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GOBERNACION QUINDIO 2018\PAGINA WEB\OCTUBRE\SGTO III TRIMESTRE PARA PUBLICAR\"/>
    </mc:Choice>
  </mc:AlternateContent>
  <bookViews>
    <workbookView xWindow="0" yWindow="0" windowWidth="11970" windowHeight="9060"/>
  </bookViews>
  <sheets>
    <sheet name="POAI SEPTIEMBRE" sheetId="7" r:id="rId1"/>
    <sheet name="LISTA PROYECTOS" sheetId="8" r:id="rId2"/>
  </sheets>
  <externalReferences>
    <externalReference r:id="rId3"/>
    <externalReference r:id="rId4"/>
  </externalReferences>
  <definedNames>
    <definedName name="_1._Apoyo_con_equipos_para_la_seguridad_vial_Licenciamiento_de_software_para_comunicaciones" localSheetId="0">#REF!</definedName>
    <definedName name="_1._Apoyo_con_equipos_para_la_seguridad_vial_Licenciamiento_de_software_para_comunicaciones">#REF!</definedName>
    <definedName name="_xlnm._FilterDatabase" localSheetId="0" hidden="1">'POAI SEPTIEMBRE'!$L:$L</definedName>
    <definedName name="CODIGO_DIVIPOLA" localSheetId="0">#REF!</definedName>
    <definedName name="CODIGO_DIVIPOLA">#REF!</definedName>
    <definedName name="DboREGISTRO_LEY_617" localSheetId="0">#REF!</definedName>
    <definedName name="DboREGISTRO_LEY_617">#REF!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8" i="8" l="1"/>
  <c r="A9" i="8" s="1"/>
  <c r="A10" i="8" s="1"/>
  <c r="A11" i="8" s="1"/>
  <c r="A13" i="8" s="1"/>
  <c r="A14" i="8" s="1"/>
  <c r="A15" i="8" s="1"/>
  <c r="A16" i="8" s="1"/>
  <c r="A17" i="8" s="1"/>
  <c r="A18" i="8" s="1"/>
  <c r="A19" i="8" s="1"/>
  <c r="A20" i="8" s="1"/>
  <c r="A21" i="8" s="1"/>
  <c r="A23" i="8" s="1"/>
  <c r="A24" i="8" s="1"/>
  <c r="A26" i="8" s="1"/>
  <c r="A27" i="8" s="1"/>
  <c r="A28" i="8" s="1"/>
  <c r="A29" i="8" s="1"/>
  <c r="A30" i="8" s="1"/>
  <c r="A31" i="8" s="1"/>
  <c r="A32" i="8" s="1"/>
  <c r="A33" i="8" s="1"/>
  <c r="A34" i="8" s="1"/>
  <c r="A35" i="8" s="1"/>
  <c r="A37" i="8" s="1"/>
  <c r="A38" i="8" s="1"/>
  <c r="A39" i="8" s="1"/>
  <c r="A40" i="8" s="1"/>
  <c r="A41" i="8" s="1"/>
  <c r="A42" i="8" s="1"/>
  <c r="A43" i="8" s="1"/>
  <c r="A44" i="8" s="1"/>
  <c r="A45" i="8" s="1"/>
  <c r="A46" i="8" s="1"/>
  <c r="A48" i="8" s="1"/>
  <c r="A49" i="8" s="1"/>
  <c r="A50" i="8" s="1"/>
  <c r="A51" i="8" s="1"/>
  <c r="A52" i="8" s="1"/>
  <c r="A53" i="8" s="1"/>
  <c r="A55" i="8" s="1"/>
  <c r="A56" i="8" s="1"/>
  <c r="A57" i="8" s="1"/>
  <c r="A58" i="8" s="1"/>
  <c r="A59" i="8" s="1"/>
  <c r="A60" i="8" s="1"/>
  <c r="A61" i="8" s="1"/>
  <c r="A63" i="8" s="1"/>
  <c r="A64" i="8" s="1"/>
  <c r="A65" i="8" s="1"/>
  <c r="A66" i="8" s="1"/>
  <c r="A67" i="8" s="1"/>
  <c r="A68" i="8" s="1"/>
  <c r="A69" i="8" s="1"/>
  <c r="A70" i="8" s="1"/>
  <c r="A71" i="8" s="1"/>
  <c r="A72" i="8" s="1"/>
  <c r="A73" i="8" s="1"/>
  <c r="A75" i="8" s="1"/>
  <c r="A76" i="8" s="1"/>
  <c r="A77" i="8" s="1"/>
  <c r="A79" i="8" s="1"/>
  <c r="A80" i="8" s="1"/>
  <c r="A81" i="8" s="1"/>
  <c r="A82" i="8" s="1"/>
  <c r="A83" i="8" s="1"/>
  <c r="A84" i="8" s="1"/>
  <c r="A85" i="8" s="1"/>
  <c r="A86" i="8" s="1"/>
  <c r="A87" i="8" s="1"/>
  <c r="A88" i="8" s="1"/>
  <c r="A89" i="8" s="1"/>
  <c r="A90" i="8" s="1"/>
  <c r="A91" i="8" s="1"/>
  <c r="A92" i="8" s="1"/>
  <c r="A93" i="8" s="1"/>
  <c r="A95" i="8" s="1"/>
  <c r="A96" i="8" s="1"/>
  <c r="A97" i="8" s="1"/>
  <c r="A98" i="8" s="1"/>
  <c r="A99" i="8" s="1"/>
  <c r="A100" i="8" s="1"/>
  <c r="A101" i="8" s="1"/>
  <c r="A102" i="8" s="1"/>
  <c r="A103" i="8" s="1"/>
  <c r="A104" i="8" s="1"/>
  <c r="A105" i="8" s="1"/>
  <c r="A106" i="8" s="1"/>
  <c r="A107" i="8" s="1"/>
  <c r="A109" i="8" s="1"/>
  <c r="A111" i="8" s="1"/>
  <c r="A112" i="8" s="1"/>
  <c r="A113" i="8" s="1"/>
  <c r="A114" i="8" s="1"/>
  <c r="A115" i="8" s="1"/>
  <c r="A116" i="8" s="1"/>
  <c r="A117" i="8" s="1"/>
  <c r="A118" i="8" s="1"/>
  <c r="A119" i="8" s="1"/>
  <c r="A120" i="8" s="1"/>
  <c r="A121" i="8" s="1"/>
  <c r="A122" i="8" s="1"/>
  <c r="A123" i="8" s="1"/>
  <c r="A124" i="8" s="1"/>
  <c r="A125" i="8" s="1"/>
  <c r="A126" i="8" s="1"/>
  <c r="A127" i="8" s="1"/>
  <c r="A128" i="8" s="1"/>
  <c r="A129" i="8" s="1"/>
  <c r="A130" i="8" s="1"/>
  <c r="A131" i="8" s="1"/>
  <c r="A132" i="8" s="1"/>
  <c r="A133" i="8" s="1"/>
  <c r="A135" i="8" s="1"/>
  <c r="A136" i="8" s="1"/>
  <c r="A137" i="8" s="1"/>
  <c r="A138" i="8" s="1"/>
  <c r="A139" i="8" s="1"/>
  <c r="A140" i="8" s="1"/>
  <c r="A142" i="8" s="1"/>
  <c r="A144" i="8" s="1"/>
  <c r="S737" i="7" l="1"/>
  <c r="S734" i="7"/>
  <c r="S735" i="7"/>
  <c r="AH731" i="7"/>
  <c r="Z637" i="7" l="1"/>
  <c r="AA637" i="7"/>
  <c r="X573" i="7" l="1"/>
  <c r="X572" i="7"/>
  <c r="X571" i="7"/>
  <c r="AG711" i="7" l="1"/>
  <c r="AG712" i="7" l="1"/>
  <c r="AH698" i="7"/>
  <c r="AI698" i="7"/>
  <c r="AJ698" i="7"/>
  <c r="AG694" i="7"/>
  <c r="AH694" i="7"/>
  <c r="AI694" i="7"/>
  <c r="AJ694" i="7"/>
  <c r="AH712" i="7"/>
  <c r="T134" i="7" l="1"/>
  <c r="AF17" i="7" l="1"/>
  <c r="AF14" i="7"/>
  <c r="AK14" i="7" s="1"/>
  <c r="D10" i="8" s="1"/>
  <c r="AF13" i="7"/>
  <c r="AK13" i="7" s="1"/>
  <c r="D9" i="8" s="1"/>
  <c r="AF163" i="7"/>
  <c r="AK163" i="7" s="1"/>
  <c r="AF162" i="7"/>
  <c r="AI318" i="7"/>
  <c r="AF423" i="7"/>
  <c r="AF420" i="7"/>
  <c r="AK420" i="7" s="1"/>
  <c r="AI95" i="7"/>
  <c r="AI319" i="7"/>
  <c r="AK319" i="7" s="1"/>
  <c r="AI98" i="7"/>
  <c r="AK98" i="7" s="1"/>
  <c r="AI93" i="7"/>
  <c r="AK93" i="7" s="1"/>
  <c r="AI19" i="7"/>
  <c r="T140" i="7"/>
  <c r="AF140" i="7"/>
  <c r="AI88" i="7"/>
  <c r="V88" i="7"/>
  <c r="AI87" i="7"/>
  <c r="V87" i="7"/>
  <c r="T139" i="7"/>
  <c r="AK139" i="7" s="1"/>
  <c r="AG715" i="7"/>
  <c r="AF328" i="7"/>
  <c r="AK328" i="7" s="1"/>
  <c r="AF330" i="7"/>
  <c r="AK330" i="7" s="1"/>
  <c r="AF72" i="7"/>
  <c r="AK72" i="7" s="1"/>
  <c r="AF74" i="7"/>
  <c r="AF73" i="7"/>
  <c r="AF329" i="7"/>
  <c r="AK329" i="7" s="1"/>
  <c r="AF48" i="7"/>
  <c r="AK48" i="7" s="1"/>
  <c r="AF49" i="7"/>
  <c r="AF45" i="7"/>
  <c r="AK45" i="7" s="1"/>
  <c r="AF51" i="7"/>
  <c r="AK51" i="7" s="1"/>
  <c r="D17" i="8" s="1"/>
  <c r="Y648" i="7"/>
  <c r="Y650" i="7" s="1"/>
  <c r="AF253" i="7"/>
  <c r="AF327" i="7"/>
  <c r="AK327" i="7" s="1"/>
  <c r="AF534" i="7"/>
  <c r="AK534" i="7" s="1"/>
  <c r="AF76" i="7"/>
  <c r="AK76" i="7" s="1"/>
  <c r="AF302" i="7"/>
  <c r="AF274" i="7"/>
  <c r="AF275" i="7" s="1"/>
  <c r="AJ591" i="7"/>
  <c r="AJ594" i="7" s="1"/>
  <c r="AB390" i="7"/>
  <c r="AB391" i="7" s="1"/>
  <c r="AJ637" i="7"/>
  <c r="AF668" i="7"/>
  <c r="AF528" i="7"/>
  <c r="AF444" i="7"/>
  <c r="AF443" i="7"/>
  <c r="AF465" i="7"/>
  <c r="AK465" i="7" s="1"/>
  <c r="AF659" i="7"/>
  <c r="AF460" i="7"/>
  <c r="AF461" i="7" s="1"/>
  <c r="AJ100" i="7"/>
  <c r="AJ648" i="7"/>
  <c r="AJ650" i="7" s="1"/>
  <c r="AF11" i="7"/>
  <c r="AK11" i="7" s="1"/>
  <c r="AF12" i="7"/>
  <c r="AK12" i="7" s="1"/>
  <c r="D8" i="8" s="1"/>
  <c r="AF15" i="7"/>
  <c r="AK15" i="7" s="1"/>
  <c r="AF16" i="7"/>
  <c r="AK16" i="7" s="1"/>
  <c r="AK17" i="7"/>
  <c r="AF18" i="7"/>
  <c r="AK18" i="7" s="1"/>
  <c r="AK19" i="7"/>
  <c r="AH227" i="7"/>
  <c r="AH228" i="7" s="1"/>
  <c r="AF421" i="7"/>
  <c r="AF178" i="7"/>
  <c r="AK178" i="7" s="1"/>
  <c r="AF177" i="7"/>
  <c r="AF96" i="7"/>
  <c r="AF95" i="7"/>
  <c r="AK95" i="7" s="1"/>
  <c r="AF298" i="7"/>
  <c r="AC390" i="7"/>
  <c r="AC391" i="7" s="1"/>
  <c r="AB423" i="7"/>
  <c r="AB422" i="7"/>
  <c r="AK422" i="7" s="1"/>
  <c r="AF464" i="7"/>
  <c r="AK464" i="7" s="1"/>
  <c r="AF415" i="7"/>
  <c r="AF414" i="7"/>
  <c r="AK414" i="7" s="1"/>
  <c r="AF410" i="7"/>
  <c r="AF409" i="7"/>
  <c r="AF445" i="7"/>
  <c r="AF397" i="7"/>
  <c r="AK397" i="7" s="1"/>
  <c r="AG702" i="7"/>
  <c r="AH702" i="7"/>
  <c r="AH704" i="7" s="1"/>
  <c r="AB415" i="7"/>
  <c r="AD376" i="7"/>
  <c r="AB456" i="7"/>
  <c r="AK456" i="7" s="1"/>
  <c r="AK457" i="7" s="1"/>
  <c r="AB427" i="7"/>
  <c r="AB421" i="7"/>
  <c r="AF387" i="7"/>
  <c r="AB386" i="7"/>
  <c r="AK386" i="7" s="1"/>
  <c r="AB376" i="7"/>
  <c r="AB378" i="7" s="1"/>
  <c r="X625" i="7"/>
  <c r="AF156" i="7"/>
  <c r="AK156" i="7" s="1"/>
  <c r="AF157" i="7"/>
  <c r="AK157" i="7" s="1"/>
  <c r="AF158" i="7"/>
  <c r="AK158" i="7" s="1"/>
  <c r="AF200" i="7"/>
  <c r="AK200" i="7" s="1"/>
  <c r="AF192" i="7"/>
  <c r="AK192" i="7" s="1"/>
  <c r="AK193" i="7"/>
  <c r="AK194" i="7"/>
  <c r="AK195" i="7"/>
  <c r="AK196" i="7"/>
  <c r="AF186" i="7"/>
  <c r="AK186" i="7" s="1"/>
  <c r="AK187" i="7" s="1"/>
  <c r="AK188" i="7" s="1"/>
  <c r="AF169" i="7"/>
  <c r="AK169" i="7" s="1"/>
  <c r="AF170" i="7"/>
  <c r="AK170" i="7" s="1"/>
  <c r="AF171" i="7"/>
  <c r="AK171" i="7" s="1"/>
  <c r="AF172" i="7"/>
  <c r="AF173" i="7"/>
  <c r="AK173" i="7" s="1"/>
  <c r="AK162" i="7"/>
  <c r="AF148" i="7"/>
  <c r="AK148" i="7" s="1"/>
  <c r="AK149" i="7"/>
  <c r="AF150" i="7"/>
  <c r="AK150" i="7" s="1"/>
  <c r="AF151" i="7"/>
  <c r="AK151" i="7" s="1"/>
  <c r="AF152" i="7"/>
  <c r="AK152" i="7" s="1"/>
  <c r="AK141" i="7"/>
  <c r="AK142" i="7"/>
  <c r="T131" i="7"/>
  <c r="AF131" i="7"/>
  <c r="AF136" i="7" s="1"/>
  <c r="AK132" i="7"/>
  <c r="T133" i="7"/>
  <c r="AK133" i="7" s="1"/>
  <c r="AK134" i="7"/>
  <c r="AK135" i="7"/>
  <c r="AK121" i="7"/>
  <c r="S108" i="7"/>
  <c r="S114" i="7" s="1"/>
  <c r="S115" i="7" s="1"/>
  <c r="S116" i="7" s="1"/>
  <c r="AE108" i="7"/>
  <c r="AE109" i="7"/>
  <c r="AK109" i="7" s="1"/>
  <c r="D29" i="8" s="1"/>
  <c r="AK110" i="7"/>
  <c r="D30" i="8" s="1"/>
  <c r="AK111" i="7"/>
  <c r="D31" i="8" s="1"/>
  <c r="AK112" i="7"/>
  <c r="D32" i="8" s="1"/>
  <c r="AK113" i="7"/>
  <c r="D33" i="8" s="1"/>
  <c r="S92" i="7"/>
  <c r="S94" i="7"/>
  <c r="AI94" i="7"/>
  <c r="AI96" i="7"/>
  <c r="AK97" i="7"/>
  <c r="AK99" i="7"/>
  <c r="AK100" i="7"/>
  <c r="D35" i="8" s="1"/>
  <c r="V86" i="7"/>
  <c r="AF86" i="7"/>
  <c r="AF89" i="7" s="1"/>
  <c r="AF75" i="7"/>
  <c r="AK75" i="7" s="1"/>
  <c r="U73" i="7"/>
  <c r="U74" i="7"/>
  <c r="AK29" i="7"/>
  <c r="AK33" i="7"/>
  <c r="AK34" i="7" s="1"/>
  <c r="AK39" i="7"/>
  <c r="AK46" i="7"/>
  <c r="AK47" i="7"/>
  <c r="AK49" i="7"/>
  <c r="AF50" i="7"/>
  <c r="AK50" i="7" s="1"/>
  <c r="D16" i="8" s="1"/>
  <c r="AF52" i="7"/>
  <c r="AK52" i="7" s="1"/>
  <c r="D18" i="8" s="1"/>
  <c r="AK53" i="7"/>
  <c r="D19" i="8" s="1"/>
  <c r="AF54" i="7"/>
  <c r="AK54" i="7" s="1"/>
  <c r="AF55" i="7"/>
  <c r="AK55" i="7" s="1"/>
  <c r="AF56" i="7"/>
  <c r="AK56" i="7" s="1"/>
  <c r="AK57" i="7"/>
  <c r="AK58" i="7"/>
  <c r="AK59" i="7"/>
  <c r="AK60" i="7"/>
  <c r="AF61" i="7"/>
  <c r="AK61" i="7" s="1"/>
  <c r="AK62" i="7"/>
  <c r="AK675" i="7"/>
  <c r="AF676" i="7"/>
  <c r="AK677" i="7"/>
  <c r="AK669" i="7"/>
  <c r="AK663" i="7"/>
  <c r="AK664" i="7"/>
  <c r="AK657" i="7"/>
  <c r="AK658" i="7"/>
  <c r="AK653" i="7"/>
  <c r="AK654" i="7" s="1"/>
  <c r="AK647" i="7"/>
  <c r="Z648" i="7"/>
  <c r="Z650" i="7" s="1"/>
  <c r="AK649" i="7"/>
  <c r="Z641" i="7"/>
  <c r="AK637" i="7"/>
  <c r="AK633" i="7"/>
  <c r="AK634" i="7" s="1"/>
  <c r="X626" i="7"/>
  <c r="AK626" i="7" s="1"/>
  <c r="X627" i="7"/>
  <c r="AK627" i="7" s="1"/>
  <c r="X620" i="7"/>
  <c r="AK621" i="7"/>
  <c r="X613" i="7"/>
  <c r="AK613" i="7" s="1"/>
  <c r="X614" i="7"/>
  <c r="X615" i="7"/>
  <c r="AK615" i="7" s="1"/>
  <c r="X616" i="7"/>
  <c r="AK616" i="7" s="1"/>
  <c r="X607" i="7"/>
  <c r="AK608" i="7"/>
  <c r="AA609" i="7"/>
  <c r="AK602" i="7"/>
  <c r="AK603" i="7"/>
  <c r="AK597" i="7"/>
  <c r="AK598" i="7"/>
  <c r="AK589" i="7"/>
  <c r="AK590" i="7"/>
  <c r="X591" i="7"/>
  <c r="X592" i="7"/>
  <c r="AK592" i="7" s="1"/>
  <c r="AK593" i="7"/>
  <c r="D118" i="8" s="1"/>
  <c r="AK583" i="7"/>
  <c r="AK584" i="7"/>
  <c r="AK585" i="7"/>
  <c r="X577" i="7"/>
  <c r="X578" i="7"/>
  <c r="AK578" i="7" s="1"/>
  <c r="X579" i="7"/>
  <c r="AK579" i="7" s="1"/>
  <c r="AK570" i="7"/>
  <c r="AK571" i="7"/>
  <c r="AK572" i="7"/>
  <c r="AK573" i="7"/>
  <c r="AK565" i="7"/>
  <c r="AK566" i="7"/>
  <c r="X557" i="7"/>
  <c r="AK558" i="7"/>
  <c r="AK559" i="7"/>
  <c r="AK547" i="7"/>
  <c r="AK548" i="7" s="1"/>
  <c r="AK549" i="7" s="1"/>
  <c r="AK550" i="7" s="1"/>
  <c r="AK551" i="7" s="1"/>
  <c r="AF535" i="7"/>
  <c r="AK535" i="7" s="1"/>
  <c r="R536" i="7"/>
  <c r="AK536" i="7" s="1"/>
  <c r="R537" i="7"/>
  <c r="AK537" i="7" s="1"/>
  <c r="AF524" i="7"/>
  <c r="AK524" i="7" s="1"/>
  <c r="AF520" i="7"/>
  <c r="AF515" i="7"/>
  <c r="AK515" i="7" s="1"/>
  <c r="D102" i="8" s="1"/>
  <c r="AF516" i="7"/>
  <c r="AK516" i="7" s="1"/>
  <c r="D103" i="8" s="1"/>
  <c r="AF510" i="7"/>
  <c r="AK510" i="7" s="1"/>
  <c r="D100" i="8" s="1"/>
  <c r="AF511" i="7"/>
  <c r="AK511" i="7" s="1"/>
  <c r="D101" i="8" s="1"/>
  <c r="AF504" i="7"/>
  <c r="AK504" i="7" s="1"/>
  <c r="AK498" i="7"/>
  <c r="AF499" i="7"/>
  <c r="AK499" i="7" s="1"/>
  <c r="AF500" i="7"/>
  <c r="AK500" i="7" s="1"/>
  <c r="AF492" i="7"/>
  <c r="AK492" i="7" s="1"/>
  <c r="AF493" i="7"/>
  <c r="AK493" i="7" s="1"/>
  <c r="AF494" i="7"/>
  <c r="AK494" i="7" s="1"/>
  <c r="AF488" i="7"/>
  <c r="AK488" i="7" s="1"/>
  <c r="AK489" i="7" s="1"/>
  <c r="AF481" i="7"/>
  <c r="AK481" i="7" s="1"/>
  <c r="AF482" i="7"/>
  <c r="AK471" i="7"/>
  <c r="AF451" i="7"/>
  <c r="AK451" i="7" s="1"/>
  <c r="AK452" i="7"/>
  <c r="AF441" i="7"/>
  <c r="AK442" i="7"/>
  <c r="AB443" i="7"/>
  <c r="AK443" i="7" s="1"/>
  <c r="AB444" i="7"/>
  <c r="W445" i="7"/>
  <c r="W446" i="7" s="1"/>
  <c r="AB445" i="7"/>
  <c r="AK433" i="7"/>
  <c r="AK434" i="7"/>
  <c r="AF435" i="7"/>
  <c r="AK435" i="7" s="1"/>
  <c r="AK436" i="7"/>
  <c r="AF437" i="7"/>
  <c r="AK437" i="7" s="1"/>
  <c r="AF407" i="7"/>
  <c r="AK407" i="7" s="1"/>
  <c r="AK408" i="7"/>
  <c r="AK410" i="7"/>
  <c r="AF411" i="7"/>
  <c r="AK411" i="7" s="1"/>
  <c r="AK412" i="7"/>
  <c r="AK413" i="7"/>
  <c r="AK416" i="7"/>
  <c r="AK396" i="7"/>
  <c r="AK398" i="7"/>
  <c r="AK399" i="7"/>
  <c r="AK400" i="7"/>
  <c r="AK401" i="7"/>
  <c r="AK402" i="7"/>
  <c r="AK403" i="7"/>
  <c r="AK381" i="7"/>
  <c r="AK382" i="7"/>
  <c r="AK383" i="7"/>
  <c r="AK384" i="7"/>
  <c r="AK385" i="7"/>
  <c r="W375" i="7"/>
  <c r="AF375" i="7"/>
  <c r="W376" i="7"/>
  <c r="AF376" i="7"/>
  <c r="W377" i="7"/>
  <c r="AK377" i="7" s="1"/>
  <c r="AF365" i="7"/>
  <c r="AK365" i="7" s="1"/>
  <c r="AF358" i="7"/>
  <c r="AK358" i="7" s="1"/>
  <c r="AK359" i="7"/>
  <c r="D77" i="8" s="1"/>
  <c r="AF344" i="7"/>
  <c r="AK344" i="7" s="1"/>
  <c r="AK345" i="7"/>
  <c r="AF346" i="7"/>
  <c r="AK346" i="7" s="1"/>
  <c r="AK347" i="7"/>
  <c r="AF348" i="7"/>
  <c r="AK348" i="7" s="1"/>
  <c r="AF334" i="7"/>
  <c r="AF335" i="7"/>
  <c r="AK335" i="7" s="1"/>
  <c r="AF336" i="7"/>
  <c r="AK336" i="7" s="1"/>
  <c r="AK320" i="7"/>
  <c r="AK321" i="7"/>
  <c r="AK322" i="7"/>
  <c r="D73" i="8" s="1"/>
  <c r="AF323" i="7"/>
  <c r="AK323" i="7" s="1"/>
  <c r="D71" i="8" s="1"/>
  <c r="AF311" i="7"/>
  <c r="AK312" i="7"/>
  <c r="AF313" i="7"/>
  <c r="AK313" i="7" s="1"/>
  <c r="AF314" i="7"/>
  <c r="AK314" i="7" s="1"/>
  <c r="AK299" i="7"/>
  <c r="AK300" i="7"/>
  <c r="AK301" i="7"/>
  <c r="AK302" i="7"/>
  <c r="AK303" i="7"/>
  <c r="AE293" i="7"/>
  <c r="AF294" i="7"/>
  <c r="AK294" i="7" s="1"/>
  <c r="AF284" i="7"/>
  <c r="AK284" i="7" s="1"/>
  <c r="AK285" i="7"/>
  <c r="AK286" i="7"/>
  <c r="AF287" i="7"/>
  <c r="AK287" i="7" s="1"/>
  <c r="AF288" i="7"/>
  <c r="AK288" i="7" s="1"/>
  <c r="AK289" i="7"/>
  <c r="AH274" i="7"/>
  <c r="AH275" i="7" s="1"/>
  <c r="AF270" i="7"/>
  <c r="AK270" i="7" s="1"/>
  <c r="AK265" i="7"/>
  <c r="AK266" i="7"/>
  <c r="AF257" i="7"/>
  <c r="AK257" i="7" s="1"/>
  <c r="AK258" i="7"/>
  <c r="AK259" i="7"/>
  <c r="AF250" i="7"/>
  <c r="AK250" i="7" s="1"/>
  <c r="AF251" i="7"/>
  <c r="AK251" i="7" s="1"/>
  <c r="AF252" i="7"/>
  <c r="AK252" i="7" s="1"/>
  <c r="AK253" i="7"/>
  <c r="AF242" i="7"/>
  <c r="AK242" i="7" s="1"/>
  <c r="AF243" i="7"/>
  <c r="AK243" i="7" s="1"/>
  <c r="AF244" i="7"/>
  <c r="AK244" i="7" s="1"/>
  <c r="AK245" i="7"/>
  <c r="AF246" i="7"/>
  <c r="AK246" i="7" s="1"/>
  <c r="AF231" i="7"/>
  <c r="AF232" i="7"/>
  <c r="AK232" i="7" s="1"/>
  <c r="AF227" i="7"/>
  <c r="Q221" i="7"/>
  <c r="AK221" i="7" s="1"/>
  <c r="AK217" i="7"/>
  <c r="AK218" i="7" s="1"/>
  <c r="Q210" i="7"/>
  <c r="AF211" i="7"/>
  <c r="Q212" i="7"/>
  <c r="AF212" i="7"/>
  <c r="Q213" i="7"/>
  <c r="AF213" i="7"/>
  <c r="AK747" i="7"/>
  <c r="AK748" i="7"/>
  <c r="AK749" i="7"/>
  <c r="AK734" i="7"/>
  <c r="AK735" i="7"/>
  <c r="AH736" i="7"/>
  <c r="AK736" i="7" s="1"/>
  <c r="AK737" i="7"/>
  <c r="AK731" i="7"/>
  <c r="AK732" i="7" s="1"/>
  <c r="AK721" i="7"/>
  <c r="AK722" i="7" s="1"/>
  <c r="AK723" i="7" s="1"/>
  <c r="AK715" i="7"/>
  <c r="AJ709" i="7"/>
  <c r="AK709" i="7" s="1"/>
  <c r="AF710" i="7"/>
  <c r="AF712" i="7" s="1"/>
  <c r="AJ710" i="7"/>
  <c r="AJ711" i="7"/>
  <c r="AK711" i="7" s="1"/>
  <c r="AG701" i="7"/>
  <c r="AK701" i="7" s="1"/>
  <c r="AG703" i="7"/>
  <c r="AK703" i="7" s="1"/>
  <c r="AG697" i="7"/>
  <c r="AG698" i="7" s="1"/>
  <c r="AK693" i="7"/>
  <c r="AK694" i="7" s="1"/>
  <c r="AG688" i="7"/>
  <c r="AG690" i="7" s="1"/>
  <c r="AF689" i="7"/>
  <c r="Y754" i="7"/>
  <c r="X754" i="7"/>
  <c r="AJ750" i="7"/>
  <c r="AJ751" i="7" s="1"/>
  <c r="AJ752" i="7" s="1"/>
  <c r="AJ753" i="7" s="1"/>
  <c r="AI750" i="7"/>
  <c r="AI751" i="7" s="1"/>
  <c r="AI752" i="7" s="1"/>
  <c r="AI753" i="7" s="1"/>
  <c r="AH750" i="7"/>
  <c r="AH751" i="7" s="1"/>
  <c r="AH752" i="7" s="1"/>
  <c r="AH753" i="7" s="1"/>
  <c r="AF750" i="7"/>
  <c r="AF751" i="7" s="1"/>
  <c r="AF752" i="7" s="1"/>
  <c r="AF753" i="7" s="1"/>
  <c r="AE750" i="7"/>
  <c r="AE751" i="7" s="1"/>
  <c r="AE752" i="7" s="1"/>
  <c r="AE753" i="7" s="1"/>
  <c r="AD750" i="7"/>
  <c r="AD751" i="7" s="1"/>
  <c r="AD752" i="7" s="1"/>
  <c r="AD753" i="7" s="1"/>
  <c r="AC750" i="7"/>
  <c r="AC751" i="7" s="1"/>
  <c r="AC752" i="7" s="1"/>
  <c r="AC753" i="7" s="1"/>
  <c r="AB750" i="7"/>
  <c r="AB751" i="7" s="1"/>
  <c r="AB752" i="7" s="1"/>
  <c r="AB753" i="7" s="1"/>
  <c r="AA750" i="7"/>
  <c r="AA751" i="7" s="1"/>
  <c r="AA752" i="7" s="1"/>
  <c r="AA753" i="7" s="1"/>
  <c r="Z750" i="7"/>
  <c r="Z751" i="7" s="1"/>
  <c r="Z752" i="7" s="1"/>
  <c r="Z753" i="7" s="1"/>
  <c r="W750" i="7"/>
  <c r="W751" i="7" s="1"/>
  <c r="W752" i="7" s="1"/>
  <c r="W753" i="7" s="1"/>
  <c r="V750" i="7"/>
  <c r="V751" i="7" s="1"/>
  <c r="V752" i="7" s="1"/>
  <c r="V753" i="7" s="1"/>
  <c r="U750" i="7"/>
  <c r="U751" i="7" s="1"/>
  <c r="U752" i="7" s="1"/>
  <c r="U753" i="7" s="1"/>
  <c r="T750" i="7"/>
  <c r="T751" i="7" s="1"/>
  <c r="T752" i="7" s="1"/>
  <c r="T753" i="7" s="1"/>
  <c r="S750" i="7"/>
  <c r="S751" i="7" s="1"/>
  <c r="S752" i="7" s="1"/>
  <c r="S753" i="7" s="1"/>
  <c r="R750" i="7"/>
  <c r="R751" i="7" s="1"/>
  <c r="R752" i="7" s="1"/>
  <c r="R753" i="7" s="1"/>
  <c r="Q750" i="7"/>
  <c r="Q751" i="7" s="1"/>
  <c r="Q752" i="7" s="1"/>
  <c r="Q753" i="7" s="1"/>
  <c r="AJ738" i="7"/>
  <c r="AI738" i="7"/>
  <c r="AF738" i="7"/>
  <c r="AE738" i="7"/>
  <c r="AE739" i="7" s="1"/>
  <c r="AE740" i="7" s="1"/>
  <c r="AE741" i="7" s="1"/>
  <c r="AD738" i="7"/>
  <c r="AD739" i="7" s="1"/>
  <c r="AD740" i="7" s="1"/>
  <c r="AD741" i="7" s="1"/>
  <c r="AC738" i="7"/>
  <c r="AC739" i="7" s="1"/>
  <c r="AC740" i="7" s="1"/>
  <c r="AC741" i="7" s="1"/>
  <c r="AB738" i="7"/>
  <c r="AB739" i="7" s="1"/>
  <c r="AB740" i="7" s="1"/>
  <c r="AB741" i="7" s="1"/>
  <c r="AA738" i="7"/>
  <c r="AA739" i="7" s="1"/>
  <c r="AA740" i="7" s="1"/>
  <c r="AA741" i="7" s="1"/>
  <c r="Z738" i="7"/>
  <c r="Z739" i="7" s="1"/>
  <c r="Z740" i="7" s="1"/>
  <c r="Z741" i="7" s="1"/>
  <c r="Y738" i="7"/>
  <c r="X738" i="7"/>
  <c r="W738" i="7"/>
  <c r="W739" i="7" s="1"/>
  <c r="W740" i="7" s="1"/>
  <c r="W741" i="7" s="1"/>
  <c r="V738" i="7"/>
  <c r="V739" i="7" s="1"/>
  <c r="V740" i="7" s="1"/>
  <c r="V741" i="7" s="1"/>
  <c r="U738" i="7"/>
  <c r="U739" i="7" s="1"/>
  <c r="U740" i="7" s="1"/>
  <c r="U741" i="7" s="1"/>
  <c r="T738" i="7"/>
  <c r="T739" i="7" s="1"/>
  <c r="T740" i="7" s="1"/>
  <c r="T741" i="7" s="1"/>
  <c r="S738" i="7"/>
  <c r="S739" i="7" s="1"/>
  <c r="S740" i="7" s="1"/>
  <c r="S741" i="7" s="1"/>
  <c r="R738" i="7"/>
  <c r="R739" i="7" s="1"/>
  <c r="R740" i="7" s="1"/>
  <c r="R741" i="7" s="1"/>
  <c r="Q738" i="7"/>
  <c r="Q739" i="7" s="1"/>
  <c r="Q740" i="7" s="1"/>
  <c r="Q741" i="7" s="1"/>
  <c r="AJ732" i="7"/>
  <c r="AI732" i="7"/>
  <c r="AH732" i="7"/>
  <c r="AG732" i="7"/>
  <c r="AF732" i="7"/>
  <c r="AE732" i="7"/>
  <c r="AD732" i="7"/>
  <c r="AC732" i="7"/>
  <c r="AB732" i="7"/>
  <c r="AA732" i="7"/>
  <c r="Z732" i="7"/>
  <c r="Y732" i="7"/>
  <c r="X732" i="7"/>
  <c r="W732" i="7"/>
  <c r="V732" i="7"/>
  <c r="U732" i="7"/>
  <c r="T732" i="7"/>
  <c r="S732" i="7"/>
  <c r="R732" i="7"/>
  <c r="Q732" i="7"/>
  <c r="AJ722" i="7"/>
  <c r="AJ723" i="7" s="1"/>
  <c r="AI722" i="7"/>
  <c r="AI723" i="7" s="1"/>
  <c r="AH722" i="7"/>
  <c r="AH723" i="7" s="1"/>
  <c r="AG722" i="7"/>
  <c r="AG723" i="7" s="1"/>
  <c r="AF722" i="7"/>
  <c r="AF723" i="7" s="1"/>
  <c r="AE722" i="7"/>
  <c r="AE723" i="7" s="1"/>
  <c r="AD722" i="7"/>
  <c r="AD723" i="7" s="1"/>
  <c r="AC722" i="7"/>
  <c r="AC723" i="7" s="1"/>
  <c r="AB722" i="7"/>
  <c r="AB723" i="7" s="1"/>
  <c r="AA722" i="7"/>
  <c r="AA723" i="7" s="1"/>
  <c r="Z722" i="7"/>
  <c r="Z723" i="7" s="1"/>
  <c r="W722" i="7"/>
  <c r="W723" i="7" s="1"/>
  <c r="V722" i="7"/>
  <c r="V723" i="7" s="1"/>
  <c r="U722" i="7"/>
  <c r="U723" i="7" s="1"/>
  <c r="T722" i="7"/>
  <c r="T723" i="7" s="1"/>
  <c r="S722" i="7"/>
  <c r="S723" i="7" s="1"/>
  <c r="R722" i="7"/>
  <c r="R723" i="7" s="1"/>
  <c r="Q722" i="7"/>
  <c r="Q723" i="7" s="1"/>
  <c r="AJ716" i="7"/>
  <c r="AI716" i="7"/>
  <c r="AH716" i="7"/>
  <c r="AH717" i="7" s="1"/>
  <c r="AG716" i="7"/>
  <c r="AG717" i="7" s="1"/>
  <c r="AF716" i="7"/>
  <c r="AE716" i="7"/>
  <c r="AD716" i="7"/>
  <c r="AC716" i="7"/>
  <c r="AC717" i="7" s="1"/>
  <c r="AB716" i="7"/>
  <c r="AA716" i="7"/>
  <c r="Z716" i="7"/>
  <c r="W716" i="7"/>
  <c r="V716" i="7"/>
  <c r="U716" i="7"/>
  <c r="T716" i="7"/>
  <c r="T717" i="7" s="1"/>
  <c r="S716" i="7"/>
  <c r="R716" i="7"/>
  <c r="Q716" i="7"/>
  <c r="AI712" i="7"/>
  <c r="AE712" i="7"/>
  <c r="AD712" i="7"/>
  <c r="AC712" i="7"/>
  <c r="AB712" i="7"/>
  <c r="AA712" i="7"/>
  <c r="Z712" i="7"/>
  <c r="W712" i="7"/>
  <c r="V712" i="7"/>
  <c r="U712" i="7"/>
  <c r="T712" i="7"/>
  <c r="S712" i="7"/>
  <c r="R712" i="7"/>
  <c r="Q712" i="7"/>
  <c r="AJ704" i="7"/>
  <c r="AI704" i="7"/>
  <c r="AF704" i="7"/>
  <c r="AE704" i="7"/>
  <c r="AD704" i="7"/>
  <c r="AC704" i="7"/>
  <c r="AB704" i="7"/>
  <c r="AA704" i="7"/>
  <c r="Z704" i="7"/>
  <c r="W704" i="7"/>
  <c r="V704" i="7"/>
  <c r="U704" i="7"/>
  <c r="T704" i="7"/>
  <c r="S704" i="7"/>
  <c r="R704" i="7"/>
  <c r="Q704" i="7"/>
  <c r="AF698" i="7"/>
  <c r="AE698" i="7"/>
  <c r="AD698" i="7"/>
  <c r="AC698" i="7"/>
  <c r="AB698" i="7"/>
  <c r="AA698" i="7"/>
  <c r="Z698" i="7"/>
  <c r="W698" i="7"/>
  <c r="V698" i="7"/>
  <c r="U698" i="7"/>
  <c r="T698" i="7"/>
  <c r="S698" i="7"/>
  <c r="R698" i="7"/>
  <c r="Q698" i="7"/>
  <c r="AF694" i="7"/>
  <c r="AE694" i="7"/>
  <c r="AD694" i="7"/>
  <c r="AC694" i="7"/>
  <c r="AB694" i="7"/>
  <c r="AA694" i="7"/>
  <c r="Z694" i="7"/>
  <c r="W694" i="7"/>
  <c r="V694" i="7"/>
  <c r="U694" i="7"/>
  <c r="T694" i="7"/>
  <c r="S694" i="7"/>
  <c r="R694" i="7"/>
  <c r="Q694" i="7"/>
  <c r="AJ690" i="7"/>
  <c r="AI690" i="7"/>
  <c r="AH690" i="7"/>
  <c r="AE690" i="7"/>
  <c r="AD690" i="7"/>
  <c r="AC690" i="7"/>
  <c r="AB690" i="7"/>
  <c r="AA690" i="7"/>
  <c r="Z690" i="7"/>
  <c r="Y690" i="7"/>
  <c r="X690" i="7"/>
  <c r="W690" i="7"/>
  <c r="V690" i="7"/>
  <c r="U690" i="7"/>
  <c r="T690" i="7"/>
  <c r="S690" i="7"/>
  <c r="R690" i="7"/>
  <c r="Q690" i="7"/>
  <c r="P690" i="7"/>
  <c r="AJ678" i="7"/>
  <c r="AJ679" i="7" s="1"/>
  <c r="AI678" i="7"/>
  <c r="AI679" i="7" s="1"/>
  <c r="AH678" i="7"/>
  <c r="AH679" i="7" s="1"/>
  <c r="AG678" i="7"/>
  <c r="AG679" i="7" s="1"/>
  <c r="AE678" i="7"/>
  <c r="AE679" i="7" s="1"/>
  <c r="AD678" i="7"/>
  <c r="AD679" i="7" s="1"/>
  <c r="AC678" i="7"/>
  <c r="AC679" i="7" s="1"/>
  <c r="AB678" i="7"/>
  <c r="AB679" i="7" s="1"/>
  <c r="AA678" i="7"/>
  <c r="AA679" i="7" s="1"/>
  <c r="Z678" i="7"/>
  <c r="Z679" i="7" s="1"/>
  <c r="Y678" i="7"/>
  <c r="Y679" i="7" s="1"/>
  <c r="X678" i="7"/>
  <c r="X679" i="7" s="1"/>
  <c r="W678" i="7"/>
  <c r="W679" i="7" s="1"/>
  <c r="V678" i="7"/>
  <c r="V679" i="7" s="1"/>
  <c r="U678" i="7"/>
  <c r="U679" i="7" s="1"/>
  <c r="T678" i="7"/>
  <c r="T679" i="7" s="1"/>
  <c r="S678" i="7"/>
  <c r="S679" i="7" s="1"/>
  <c r="R678" i="7"/>
  <c r="R679" i="7" s="1"/>
  <c r="Q678" i="7"/>
  <c r="Q679" i="7" s="1"/>
  <c r="AJ670" i="7"/>
  <c r="AI670" i="7"/>
  <c r="AH670" i="7"/>
  <c r="AG670" i="7"/>
  <c r="AE670" i="7"/>
  <c r="AD670" i="7"/>
  <c r="AC670" i="7"/>
  <c r="AB670" i="7"/>
  <c r="AA670" i="7"/>
  <c r="Z670" i="7"/>
  <c r="Y670" i="7"/>
  <c r="X670" i="7"/>
  <c r="W670" i="7"/>
  <c r="V670" i="7"/>
  <c r="U670" i="7"/>
  <c r="T670" i="7"/>
  <c r="S670" i="7"/>
  <c r="R670" i="7"/>
  <c r="Q670" i="7"/>
  <c r="AJ665" i="7"/>
  <c r="AI665" i="7"/>
  <c r="AH665" i="7"/>
  <c r="AG665" i="7"/>
  <c r="AF665" i="7"/>
  <c r="AE665" i="7"/>
  <c r="AD665" i="7"/>
  <c r="AC665" i="7"/>
  <c r="AB665" i="7"/>
  <c r="AA665" i="7"/>
  <c r="Z665" i="7"/>
  <c r="Y665" i="7"/>
  <c r="X665" i="7"/>
  <c r="W665" i="7"/>
  <c r="V665" i="7"/>
  <c r="U665" i="7"/>
  <c r="T665" i="7"/>
  <c r="S665" i="7"/>
  <c r="R665" i="7"/>
  <c r="Q665" i="7"/>
  <c r="AJ660" i="7"/>
  <c r="AI660" i="7"/>
  <c r="AH660" i="7"/>
  <c r="AG660" i="7"/>
  <c r="AE660" i="7"/>
  <c r="AD660" i="7"/>
  <c r="AC660" i="7"/>
  <c r="AB660" i="7"/>
  <c r="AA660" i="7"/>
  <c r="Z660" i="7"/>
  <c r="Y660" i="7"/>
  <c r="X660" i="7"/>
  <c r="W660" i="7"/>
  <c r="V660" i="7"/>
  <c r="U660" i="7"/>
  <c r="T660" i="7"/>
  <c r="S660" i="7"/>
  <c r="R660" i="7"/>
  <c r="Q660" i="7"/>
  <c r="AJ654" i="7"/>
  <c r="AI654" i="7"/>
  <c r="AH654" i="7"/>
  <c r="AG654" i="7"/>
  <c r="AF654" i="7"/>
  <c r="AE654" i="7"/>
  <c r="AD654" i="7"/>
  <c r="AC654" i="7"/>
  <c r="AB654" i="7"/>
  <c r="AA654" i="7"/>
  <c r="Z654" i="7"/>
  <c r="Y654" i="7"/>
  <c r="X654" i="7"/>
  <c r="W654" i="7"/>
  <c r="V654" i="7"/>
  <c r="U654" i="7"/>
  <c r="T654" i="7"/>
  <c r="S654" i="7"/>
  <c r="R654" i="7"/>
  <c r="Q654" i="7"/>
  <c r="AI650" i="7"/>
  <c r="AH650" i="7"/>
  <c r="AG650" i="7"/>
  <c r="AF650" i="7"/>
  <c r="AE650" i="7"/>
  <c r="AD650" i="7"/>
  <c r="AC650" i="7"/>
  <c r="AB650" i="7"/>
  <c r="AA650" i="7"/>
  <c r="X650" i="7"/>
  <c r="W650" i="7"/>
  <c r="V650" i="7"/>
  <c r="U650" i="7"/>
  <c r="T650" i="7"/>
  <c r="S650" i="7"/>
  <c r="R650" i="7"/>
  <c r="Q650" i="7"/>
  <c r="AJ642" i="7"/>
  <c r="AI642" i="7"/>
  <c r="AH642" i="7"/>
  <c r="AG642" i="7"/>
  <c r="AF642" i="7"/>
  <c r="AE642" i="7"/>
  <c r="AD642" i="7"/>
  <c r="AC642" i="7"/>
  <c r="AB642" i="7"/>
  <c r="AA642" i="7"/>
  <c r="Y642" i="7"/>
  <c r="X642" i="7"/>
  <c r="W642" i="7"/>
  <c r="V642" i="7"/>
  <c r="U642" i="7"/>
  <c r="U643" i="7" s="1"/>
  <c r="T642" i="7"/>
  <c r="S642" i="7"/>
  <c r="R642" i="7"/>
  <c r="Q642" i="7"/>
  <c r="AJ638" i="7"/>
  <c r="AI638" i="7"/>
  <c r="AH638" i="7"/>
  <c r="AG638" i="7"/>
  <c r="AF638" i="7"/>
  <c r="AE638" i="7"/>
  <c r="AD638" i="7"/>
  <c r="AC638" i="7"/>
  <c r="AB638" i="7"/>
  <c r="AA638" i="7"/>
  <c r="Y638" i="7"/>
  <c r="X638" i="7"/>
  <c r="W638" i="7"/>
  <c r="W634" i="7"/>
  <c r="V638" i="7"/>
  <c r="U638" i="7"/>
  <c r="T638" i="7"/>
  <c r="S638" i="7"/>
  <c r="R638" i="7"/>
  <c r="Q638" i="7"/>
  <c r="AJ634" i="7"/>
  <c r="AI634" i="7"/>
  <c r="AH634" i="7"/>
  <c r="AG634" i="7"/>
  <c r="AF634" i="7"/>
  <c r="AE634" i="7"/>
  <c r="AD634" i="7"/>
  <c r="AC634" i="7"/>
  <c r="AB634" i="7"/>
  <c r="AA634" i="7"/>
  <c r="Z634" i="7"/>
  <c r="Y634" i="7"/>
  <c r="X634" i="7"/>
  <c r="V634" i="7"/>
  <c r="U634" i="7"/>
  <c r="T634" i="7"/>
  <c r="S634" i="7"/>
  <c r="R634" i="7"/>
  <c r="Q634" i="7"/>
  <c r="AJ628" i="7"/>
  <c r="AI628" i="7"/>
  <c r="AH628" i="7"/>
  <c r="AG628" i="7"/>
  <c r="AF628" i="7"/>
  <c r="AE628" i="7"/>
  <c r="AD628" i="7"/>
  <c r="AC628" i="7"/>
  <c r="AB628" i="7"/>
  <c r="AA628" i="7"/>
  <c r="Z628" i="7"/>
  <c r="Y628" i="7"/>
  <c r="W628" i="7"/>
  <c r="V628" i="7"/>
  <c r="U628" i="7"/>
  <c r="T628" i="7"/>
  <c r="S628" i="7"/>
  <c r="R628" i="7"/>
  <c r="Q628" i="7"/>
  <c r="AJ622" i="7"/>
  <c r="AI622" i="7"/>
  <c r="AH622" i="7"/>
  <c r="AG622" i="7"/>
  <c r="AF622" i="7"/>
  <c r="AE622" i="7"/>
  <c r="AD622" i="7"/>
  <c r="AC622" i="7"/>
  <c r="AB622" i="7"/>
  <c r="AA622" i="7"/>
  <c r="Z622" i="7"/>
  <c r="Y622" i="7"/>
  <c r="W622" i="7"/>
  <c r="V622" i="7"/>
  <c r="U622" i="7"/>
  <c r="T622" i="7"/>
  <c r="S622" i="7"/>
  <c r="R622" i="7"/>
  <c r="Q622" i="7"/>
  <c r="AJ617" i="7"/>
  <c r="AI617" i="7"/>
  <c r="AH617" i="7"/>
  <c r="AG617" i="7"/>
  <c r="AF617" i="7"/>
  <c r="AE617" i="7"/>
  <c r="AD617" i="7"/>
  <c r="AC617" i="7"/>
  <c r="AB617" i="7"/>
  <c r="AA617" i="7"/>
  <c r="Z617" i="7"/>
  <c r="Y617" i="7"/>
  <c r="W617" i="7"/>
  <c r="V617" i="7"/>
  <c r="U617" i="7"/>
  <c r="T617" i="7"/>
  <c r="S617" i="7"/>
  <c r="R617" i="7"/>
  <c r="Q617" i="7"/>
  <c r="AJ610" i="7"/>
  <c r="AI610" i="7"/>
  <c r="AH610" i="7"/>
  <c r="AG610" i="7"/>
  <c r="AF610" i="7"/>
  <c r="AE610" i="7"/>
  <c r="AD610" i="7"/>
  <c r="AC610" i="7"/>
  <c r="AB610" i="7"/>
  <c r="Z610" i="7"/>
  <c r="Y610" i="7"/>
  <c r="W610" i="7"/>
  <c r="V610" i="7"/>
  <c r="U610" i="7"/>
  <c r="T610" i="7"/>
  <c r="S610" i="7"/>
  <c r="R610" i="7"/>
  <c r="Q610" i="7"/>
  <c r="AJ604" i="7"/>
  <c r="AI604" i="7"/>
  <c r="AH604" i="7"/>
  <c r="AG604" i="7"/>
  <c r="AF604" i="7"/>
  <c r="AE604" i="7"/>
  <c r="AD604" i="7"/>
  <c r="AC604" i="7"/>
  <c r="AB604" i="7"/>
  <c r="AA604" i="7"/>
  <c r="Z604" i="7"/>
  <c r="Y604" i="7"/>
  <c r="X604" i="7"/>
  <c r="W604" i="7"/>
  <c r="V604" i="7"/>
  <c r="U604" i="7"/>
  <c r="T604" i="7"/>
  <c r="S604" i="7"/>
  <c r="R604" i="7"/>
  <c r="Q604" i="7"/>
  <c r="AJ599" i="7"/>
  <c r="AI599" i="7"/>
  <c r="AH599" i="7"/>
  <c r="AG599" i="7"/>
  <c r="AF599" i="7"/>
  <c r="AE599" i="7"/>
  <c r="AD599" i="7"/>
  <c r="AC599" i="7"/>
  <c r="AB599" i="7"/>
  <c r="AA599" i="7"/>
  <c r="Z599" i="7"/>
  <c r="Y599" i="7"/>
  <c r="X599" i="7"/>
  <c r="W599" i="7"/>
  <c r="V599" i="7"/>
  <c r="U599" i="7"/>
  <c r="T599" i="7"/>
  <c r="S599" i="7"/>
  <c r="R599" i="7"/>
  <c r="Q599" i="7"/>
  <c r="AI594" i="7"/>
  <c r="AH594" i="7"/>
  <c r="AG594" i="7"/>
  <c r="AF594" i="7"/>
  <c r="AE594" i="7"/>
  <c r="AD594" i="7"/>
  <c r="AC594" i="7"/>
  <c r="AB594" i="7"/>
  <c r="AA594" i="7"/>
  <c r="Z594" i="7"/>
  <c r="Y594" i="7"/>
  <c r="W594" i="7"/>
  <c r="V594" i="7"/>
  <c r="U594" i="7"/>
  <c r="T594" i="7"/>
  <c r="S594" i="7"/>
  <c r="R594" i="7"/>
  <c r="Q594" i="7"/>
  <c r="AJ586" i="7"/>
  <c r="AI586" i="7"/>
  <c r="AH586" i="7"/>
  <c r="AG586" i="7"/>
  <c r="AF586" i="7"/>
  <c r="AE586" i="7"/>
  <c r="AD586" i="7"/>
  <c r="AC586" i="7"/>
  <c r="AB586" i="7"/>
  <c r="AA586" i="7"/>
  <c r="Z586" i="7"/>
  <c r="Y586" i="7"/>
  <c r="X586" i="7"/>
  <c r="W586" i="7"/>
  <c r="V586" i="7"/>
  <c r="U586" i="7"/>
  <c r="T586" i="7"/>
  <c r="S586" i="7"/>
  <c r="R586" i="7"/>
  <c r="Q586" i="7"/>
  <c r="AJ580" i="7"/>
  <c r="AI580" i="7"/>
  <c r="AH580" i="7"/>
  <c r="AG580" i="7"/>
  <c r="AF580" i="7"/>
  <c r="AE580" i="7"/>
  <c r="AD580" i="7"/>
  <c r="AC580" i="7"/>
  <c r="AB580" i="7"/>
  <c r="AA580" i="7"/>
  <c r="Z580" i="7"/>
  <c r="Y580" i="7"/>
  <c r="W580" i="7"/>
  <c r="V580" i="7"/>
  <c r="U580" i="7"/>
  <c r="T580" i="7"/>
  <c r="S580" i="7"/>
  <c r="R580" i="7"/>
  <c r="Q580" i="7"/>
  <c r="AJ574" i="7"/>
  <c r="AI574" i="7"/>
  <c r="AH574" i="7"/>
  <c r="AG574" i="7"/>
  <c r="AF574" i="7"/>
  <c r="AE574" i="7"/>
  <c r="AD574" i="7"/>
  <c r="AC574" i="7"/>
  <c r="AB574" i="7"/>
  <c r="AA574" i="7"/>
  <c r="Z574" i="7"/>
  <c r="Y574" i="7"/>
  <c r="X574" i="7"/>
  <c r="W574" i="7"/>
  <c r="V574" i="7"/>
  <c r="U574" i="7"/>
  <c r="T574" i="7"/>
  <c r="S574" i="7"/>
  <c r="R574" i="7"/>
  <c r="Q574" i="7"/>
  <c r="AJ567" i="7"/>
  <c r="AI567" i="7"/>
  <c r="AH567" i="7"/>
  <c r="AG567" i="7"/>
  <c r="AF567" i="7"/>
  <c r="AE567" i="7"/>
  <c r="AD567" i="7"/>
  <c r="AC567" i="7"/>
  <c r="AB567" i="7"/>
  <c r="AA567" i="7"/>
  <c r="Z567" i="7"/>
  <c r="Y567" i="7"/>
  <c r="X567" i="7"/>
  <c r="W567" i="7"/>
  <c r="V567" i="7"/>
  <c r="U567" i="7"/>
  <c r="T567" i="7"/>
  <c r="S567" i="7"/>
  <c r="R567" i="7"/>
  <c r="Q567" i="7"/>
  <c r="AJ560" i="7"/>
  <c r="AJ561" i="7" s="1"/>
  <c r="AI560" i="7"/>
  <c r="AI561" i="7" s="1"/>
  <c r="AH560" i="7"/>
  <c r="AH561" i="7" s="1"/>
  <c r="AG560" i="7"/>
  <c r="AG561" i="7" s="1"/>
  <c r="AF560" i="7"/>
  <c r="AF561" i="7" s="1"/>
  <c r="AE560" i="7"/>
  <c r="AE561" i="7" s="1"/>
  <c r="AD560" i="7"/>
  <c r="AD561" i="7" s="1"/>
  <c r="AC560" i="7"/>
  <c r="AC561" i="7" s="1"/>
  <c r="AB560" i="7"/>
  <c r="AB561" i="7" s="1"/>
  <c r="AA560" i="7"/>
  <c r="AA561" i="7" s="1"/>
  <c r="Z560" i="7"/>
  <c r="Z561" i="7" s="1"/>
  <c r="Y560" i="7"/>
  <c r="Y561" i="7" s="1"/>
  <c r="W560" i="7"/>
  <c r="W561" i="7" s="1"/>
  <c r="V560" i="7"/>
  <c r="V561" i="7" s="1"/>
  <c r="U560" i="7"/>
  <c r="U561" i="7" s="1"/>
  <c r="T560" i="7"/>
  <c r="T561" i="7" s="1"/>
  <c r="S560" i="7"/>
  <c r="S561" i="7" s="1"/>
  <c r="R560" i="7"/>
  <c r="R561" i="7" s="1"/>
  <c r="Q560" i="7"/>
  <c r="Q561" i="7" s="1"/>
  <c r="AD548" i="7"/>
  <c r="AD549" i="7" s="1"/>
  <c r="AD550" i="7" s="1"/>
  <c r="AD551" i="7" s="1"/>
  <c r="AJ548" i="7"/>
  <c r="AJ549" i="7" s="1"/>
  <c r="AJ550" i="7" s="1"/>
  <c r="AJ551" i="7" s="1"/>
  <c r="AI548" i="7"/>
  <c r="AI549" i="7" s="1"/>
  <c r="AI550" i="7" s="1"/>
  <c r="AI551" i="7" s="1"/>
  <c r="AH548" i="7"/>
  <c r="AH549" i="7" s="1"/>
  <c r="AH550" i="7" s="1"/>
  <c r="AH551" i="7" s="1"/>
  <c r="AG548" i="7"/>
  <c r="AG549" i="7" s="1"/>
  <c r="AG550" i="7" s="1"/>
  <c r="AG551" i="7" s="1"/>
  <c r="AF548" i="7"/>
  <c r="AF549" i="7" s="1"/>
  <c r="AF550" i="7" s="1"/>
  <c r="AF551" i="7" s="1"/>
  <c r="AE548" i="7"/>
  <c r="AE549" i="7" s="1"/>
  <c r="AE550" i="7" s="1"/>
  <c r="AE551" i="7" s="1"/>
  <c r="AC548" i="7"/>
  <c r="AC549" i="7" s="1"/>
  <c r="AC550" i="7" s="1"/>
  <c r="AC551" i="7" s="1"/>
  <c r="AB548" i="7"/>
  <c r="AB549" i="7" s="1"/>
  <c r="AB550" i="7" s="1"/>
  <c r="AB551" i="7" s="1"/>
  <c r="AA548" i="7"/>
  <c r="AA549" i="7" s="1"/>
  <c r="AA550" i="7" s="1"/>
  <c r="AA551" i="7" s="1"/>
  <c r="Z548" i="7"/>
  <c r="Z549" i="7" s="1"/>
  <c r="Z550" i="7" s="1"/>
  <c r="Z551" i="7" s="1"/>
  <c r="Y548" i="7"/>
  <c r="Y549" i="7" s="1"/>
  <c r="Y550" i="7" s="1"/>
  <c r="Y551" i="7" s="1"/>
  <c r="X548" i="7"/>
  <c r="X549" i="7" s="1"/>
  <c r="X550" i="7" s="1"/>
  <c r="X551" i="7" s="1"/>
  <c r="W548" i="7"/>
  <c r="W549" i="7" s="1"/>
  <c r="W550" i="7" s="1"/>
  <c r="W551" i="7" s="1"/>
  <c r="V548" i="7"/>
  <c r="V549" i="7" s="1"/>
  <c r="V550" i="7" s="1"/>
  <c r="V551" i="7" s="1"/>
  <c r="U548" i="7"/>
  <c r="U549" i="7" s="1"/>
  <c r="U550" i="7" s="1"/>
  <c r="U551" i="7" s="1"/>
  <c r="T548" i="7"/>
  <c r="T549" i="7" s="1"/>
  <c r="T550" i="7" s="1"/>
  <c r="T551" i="7" s="1"/>
  <c r="S548" i="7"/>
  <c r="S549" i="7" s="1"/>
  <c r="S550" i="7" s="1"/>
  <c r="S551" i="7" s="1"/>
  <c r="R548" i="7"/>
  <c r="R549" i="7" s="1"/>
  <c r="R550" i="7" s="1"/>
  <c r="R551" i="7" s="1"/>
  <c r="Q548" i="7"/>
  <c r="Q549" i="7" s="1"/>
  <c r="Q550" i="7" s="1"/>
  <c r="Q551" i="7" s="1"/>
  <c r="AJ538" i="7"/>
  <c r="AJ539" i="7" s="1"/>
  <c r="AI538" i="7"/>
  <c r="AI539" i="7" s="1"/>
  <c r="AH538" i="7"/>
  <c r="AH539" i="7" s="1"/>
  <c r="AG538" i="7"/>
  <c r="AG539" i="7" s="1"/>
  <c r="AE538" i="7"/>
  <c r="AE539" i="7" s="1"/>
  <c r="AD538" i="7"/>
  <c r="AD539" i="7" s="1"/>
  <c r="AC538" i="7"/>
  <c r="AC539" i="7" s="1"/>
  <c r="AB538" i="7"/>
  <c r="AB539" i="7" s="1"/>
  <c r="AA538" i="7"/>
  <c r="AA539" i="7" s="1"/>
  <c r="Z538" i="7"/>
  <c r="Z539" i="7" s="1"/>
  <c r="Y538" i="7"/>
  <c r="Y539" i="7" s="1"/>
  <c r="X538" i="7"/>
  <c r="X539" i="7" s="1"/>
  <c r="W538" i="7"/>
  <c r="W539" i="7" s="1"/>
  <c r="V538" i="7"/>
  <c r="V539" i="7" s="1"/>
  <c r="U538" i="7"/>
  <c r="U539" i="7" s="1"/>
  <c r="T538" i="7"/>
  <c r="T539" i="7" s="1"/>
  <c r="S538" i="7"/>
  <c r="S539" i="7" s="1"/>
  <c r="Q538" i="7"/>
  <c r="Q539" i="7" s="1"/>
  <c r="AJ529" i="7"/>
  <c r="AI529" i="7"/>
  <c r="AH529" i="7"/>
  <c r="AG529" i="7"/>
  <c r="AE529" i="7"/>
  <c r="AD529" i="7"/>
  <c r="AC529" i="7"/>
  <c r="AB529" i="7"/>
  <c r="AA529" i="7"/>
  <c r="Z529" i="7"/>
  <c r="Y529" i="7"/>
  <c r="X529" i="7"/>
  <c r="W529" i="7"/>
  <c r="V529" i="7"/>
  <c r="U529" i="7"/>
  <c r="T529" i="7"/>
  <c r="S529" i="7"/>
  <c r="R529" i="7"/>
  <c r="Q529" i="7"/>
  <c r="AJ525" i="7"/>
  <c r="AI525" i="7"/>
  <c r="AH525" i="7"/>
  <c r="AG525" i="7"/>
  <c r="AE525" i="7"/>
  <c r="AD525" i="7"/>
  <c r="AC525" i="7"/>
  <c r="AB525" i="7"/>
  <c r="AA525" i="7"/>
  <c r="Z525" i="7"/>
  <c r="Y525" i="7"/>
  <c r="X525" i="7"/>
  <c r="W525" i="7"/>
  <c r="V525" i="7"/>
  <c r="U525" i="7"/>
  <c r="T525" i="7"/>
  <c r="S525" i="7"/>
  <c r="R525" i="7"/>
  <c r="Q525" i="7"/>
  <c r="AJ521" i="7"/>
  <c r="AI521" i="7"/>
  <c r="AH521" i="7"/>
  <c r="AG521" i="7"/>
  <c r="AE521" i="7"/>
  <c r="AD521" i="7"/>
  <c r="AC521" i="7"/>
  <c r="AB521" i="7"/>
  <c r="AA521" i="7"/>
  <c r="Z521" i="7"/>
  <c r="Y521" i="7"/>
  <c r="X521" i="7"/>
  <c r="W521" i="7"/>
  <c r="V521" i="7"/>
  <c r="U521" i="7"/>
  <c r="T521" i="7"/>
  <c r="S521" i="7"/>
  <c r="R521" i="7"/>
  <c r="Q521" i="7"/>
  <c r="AJ517" i="7"/>
  <c r="AI517" i="7"/>
  <c r="AH517" i="7"/>
  <c r="AG517" i="7"/>
  <c r="AE517" i="7"/>
  <c r="AD517" i="7"/>
  <c r="AC517" i="7"/>
  <c r="AB517" i="7"/>
  <c r="AA517" i="7"/>
  <c r="Z517" i="7"/>
  <c r="Y517" i="7"/>
  <c r="X517" i="7"/>
  <c r="W517" i="7"/>
  <c r="V517" i="7"/>
  <c r="U517" i="7"/>
  <c r="T517" i="7"/>
  <c r="S517" i="7"/>
  <c r="R517" i="7"/>
  <c r="Q517" i="7"/>
  <c r="AJ512" i="7"/>
  <c r="AI512" i="7"/>
  <c r="AH512" i="7"/>
  <c r="AG512" i="7"/>
  <c r="AE512" i="7"/>
  <c r="AD512" i="7"/>
  <c r="AC512" i="7"/>
  <c r="AB512" i="7"/>
  <c r="AA512" i="7"/>
  <c r="Z512" i="7"/>
  <c r="Y512" i="7"/>
  <c r="X512" i="7"/>
  <c r="W512" i="7"/>
  <c r="V512" i="7"/>
  <c r="U512" i="7"/>
  <c r="T512" i="7"/>
  <c r="S512" i="7"/>
  <c r="R512" i="7"/>
  <c r="Q512" i="7"/>
  <c r="AJ505" i="7"/>
  <c r="AI505" i="7"/>
  <c r="AH505" i="7"/>
  <c r="AG505" i="7"/>
  <c r="AE505" i="7"/>
  <c r="AD505" i="7"/>
  <c r="AC505" i="7"/>
  <c r="AB505" i="7"/>
  <c r="AA505" i="7"/>
  <c r="Z505" i="7"/>
  <c r="Y505" i="7"/>
  <c r="X505" i="7"/>
  <c r="W505" i="7"/>
  <c r="V505" i="7"/>
  <c r="U505" i="7"/>
  <c r="T505" i="7"/>
  <c r="S505" i="7"/>
  <c r="R505" i="7"/>
  <c r="Q505" i="7"/>
  <c r="AF505" i="7"/>
  <c r="AJ501" i="7"/>
  <c r="AI501" i="7"/>
  <c r="AH501" i="7"/>
  <c r="AG501" i="7"/>
  <c r="AE501" i="7"/>
  <c r="AD501" i="7"/>
  <c r="AC501" i="7"/>
  <c r="AB501" i="7"/>
  <c r="AA501" i="7"/>
  <c r="Z501" i="7"/>
  <c r="Y501" i="7"/>
  <c r="X501" i="7"/>
  <c r="W501" i="7"/>
  <c r="V501" i="7"/>
  <c r="U501" i="7"/>
  <c r="T501" i="7"/>
  <c r="S501" i="7"/>
  <c r="R501" i="7"/>
  <c r="Q501" i="7"/>
  <c r="AJ495" i="7"/>
  <c r="AI495" i="7"/>
  <c r="AH495" i="7"/>
  <c r="AG495" i="7"/>
  <c r="AE495" i="7"/>
  <c r="AD495" i="7"/>
  <c r="AC495" i="7"/>
  <c r="AB495" i="7"/>
  <c r="AA495" i="7"/>
  <c r="Z495" i="7"/>
  <c r="Y495" i="7"/>
  <c r="X495" i="7"/>
  <c r="W495" i="7"/>
  <c r="V495" i="7"/>
  <c r="U495" i="7"/>
  <c r="T495" i="7"/>
  <c r="S495" i="7"/>
  <c r="R495" i="7"/>
  <c r="Q495" i="7"/>
  <c r="AJ489" i="7"/>
  <c r="AI489" i="7"/>
  <c r="AH489" i="7"/>
  <c r="AG489" i="7"/>
  <c r="AE489" i="7"/>
  <c r="AD489" i="7"/>
  <c r="AC489" i="7"/>
  <c r="AB489" i="7"/>
  <c r="AA489" i="7"/>
  <c r="Z489" i="7"/>
  <c r="Y489" i="7"/>
  <c r="X489" i="7"/>
  <c r="W489" i="7"/>
  <c r="V489" i="7"/>
  <c r="U489" i="7"/>
  <c r="T489" i="7"/>
  <c r="S489" i="7"/>
  <c r="R489" i="7"/>
  <c r="Q489" i="7"/>
  <c r="AJ483" i="7"/>
  <c r="AJ484" i="7" s="1"/>
  <c r="AI483" i="7"/>
  <c r="AI484" i="7" s="1"/>
  <c r="AH483" i="7"/>
  <c r="AH484" i="7" s="1"/>
  <c r="AG483" i="7"/>
  <c r="AG484" i="7" s="1"/>
  <c r="AE483" i="7"/>
  <c r="AE484" i="7" s="1"/>
  <c r="AD483" i="7"/>
  <c r="AD484" i="7" s="1"/>
  <c r="AC483" i="7"/>
  <c r="AC484" i="7" s="1"/>
  <c r="AB483" i="7"/>
  <c r="AB484" i="7" s="1"/>
  <c r="AA483" i="7"/>
  <c r="AA484" i="7" s="1"/>
  <c r="Z483" i="7"/>
  <c r="Z484" i="7" s="1"/>
  <c r="Y483" i="7"/>
  <c r="Y484" i="7" s="1"/>
  <c r="X483" i="7"/>
  <c r="X484" i="7" s="1"/>
  <c r="W483" i="7"/>
  <c r="W484" i="7" s="1"/>
  <c r="V483" i="7"/>
  <c r="V484" i="7" s="1"/>
  <c r="U483" i="7"/>
  <c r="U484" i="7" s="1"/>
  <c r="T483" i="7"/>
  <c r="T484" i="7" s="1"/>
  <c r="S483" i="7"/>
  <c r="S484" i="7" s="1"/>
  <c r="R483" i="7"/>
  <c r="R484" i="7" s="1"/>
  <c r="Q483" i="7"/>
  <c r="Q484" i="7" s="1"/>
  <c r="AJ472" i="7"/>
  <c r="AJ473" i="7" s="1"/>
  <c r="AI472" i="7"/>
  <c r="AI473" i="7" s="1"/>
  <c r="AH472" i="7"/>
  <c r="AH473" i="7" s="1"/>
  <c r="AG472" i="7"/>
  <c r="AG473" i="7" s="1"/>
  <c r="AF472" i="7"/>
  <c r="AF473" i="7" s="1"/>
  <c r="AE472" i="7"/>
  <c r="AE473" i="7" s="1"/>
  <c r="AD472" i="7"/>
  <c r="AD473" i="7" s="1"/>
  <c r="AC472" i="7"/>
  <c r="AC473" i="7" s="1"/>
  <c r="AB472" i="7"/>
  <c r="AB473" i="7" s="1"/>
  <c r="AA472" i="7"/>
  <c r="AA473" i="7" s="1"/>
  <c r="Z472" i="7"/>
  <c r="Z473" i="7" s="1"/>
  <c r="Y472" i="7"/>
  <c r="Y473" i="7" s="1"/>
  <c r="X472" i="7"/>
  <c r="X473" i="7" s="1"/>
  <c r="W472" i="7"/>
  <c r="W473" i="7" s="1"/>
  <c r="V472" i="7"/>
  <c r="V473" i="7" s="1"/>
  <c r="U472" i="7"/>
  <c r="U473" i="7" s="1"/>
  <c r="T472" i="7"/>
  <c r="T473" i="7" s="1"/>
  <c r="S472" i="7"/>
  <c r="S473" i="7" s="1"/>
  <c r="R472" i="7"/>
  <c r="R473" i="7" s="1"/>
  <c r="Q472" i="7"/>
  <c r="Q473" i="7" s="1"/>
  <c r="AJ466" i="7"/>
  <c r="AI466" i="7"/>
  <c r="AH466" i="7"/>
  <c r="AG466" i="7"/>
  <c r="AE466" i="7"/>
  <c r="AD466" i="7"/>
  <c r="AC466" i="7"/>
  <c r="AB466" i="7"/>
  <c r="AA466" i="7"/>
  <c r="Z466" i="7"/>
  <c r="Y466" i="7"/>
  <c r="X466" i="7"/>
  <c r="W466" i="7"/>
  <c r="V466" i="7"/>
  <c r="U466" i="7"/>
  <c r="T466" i="7"/>
  <c r="S466" i="7"/>
  <c r="R466" i="7"/>
  <c r="Q466" i="7"/>
  <c r="AH461" i="7"/>
  <c r="AE461" i="7"/>
  <c r="AD461" i="7"/>
  <c r="AC461" i="7"/>
  <c r="AB461" i="7"/>
  <c r="AA461" i="7"/>
  <c r="Z461" i="7"/>
  <c r="W461" i="7"/>
  <c r="V461" i="7"/>
  <c r="U461" i="7"/>
  <c r="T461" i="7"/>
  <c r="S461" i="7"/>
  <c r="R461" i="7"/>
  <c r="Q461" i="7"/>
  <c r="AJ457" i="7"/>
  <c r="AI457" i="7"/>
  <c r="AH457" i="7"/>
  <c r="AG457" i="7"/>
  <c r="AF457" i="7"/>
  <c r="AE457" i="7"/>
  <c r="AD457" i="7"/>
  <c r="AC457" i="7"/>
  <c r="AB457" i="7"/>
  <c r="AA457" i="7"/>
  <c r="Z457" i="7"/>
  <c r="Y457" i="7"/>
  <c r="X457" i="7"/>
  <c r="W457" i="7"/>
  <c r="V457" i="7"/>
  <c r="U457" i="7"/>
  <c r="T457" i="7"/>
  <c r="S457" i="7"/>
  <c r="R457" i="7"/>
  <c r="Q457" i="7"/>
  <c r="AJ453" i="7"/>
  <c r="AI453" i="7"/>
  <c r="AH453" i="7"/>
  <c r="AG453" i="7"/>
  <c r="AE453" i="7"/>
  <c r="AD453" i="7"/>
  <c r="AC453" i="7"/>
  <c r="AB453" i="7"/>
  <c r="AA453" i="7"/>
  <c r="Z453" i="7"/>
  <c r="Y453" i="7"/>
  <c r="X453" i="7"/>
  <c r="W453" i="7"/>
  <c r="V453" i="7"/>
  <c r="U453" i="7"/>
  <c r="T453" i="7"/>
  <c r="S453" i="7"/>
  <c r="R453" i="7"/>
  <c r="Q453" i="7"/>
  <c r="AJ446" i="7"/>
  <c r="AI446" i="7"/>
  <c r="AH446" i="7"/>
  <c r="AG446" i="7"/>
  <c r="AE446" i="7"/>
  <c r="AD446" i="7"/>
  <c r="AC446" i="7"/>
  <c r="AA446" i="7"/>
  <c r="Z446" i="7"/>
  <c r="Y446" i="7"/>
  <c r="X446" i="7"/>
  <c r="V446" i="7"/>
  <c r="U446" i="7"/>
  <c r="T446" i="7"/>
  <c r="S446" i="7"/>
  <c r="R446" i="7"/>
  <c r="Q446" i="7"/>
  <c r="AJ438" i="7"/>
  <c r="AI438" i="7"/>
  <c r="AH438" i="7"/>
  <c r="AG438" i="7"/>
  <c r="AE438" i="7"/>
  <c r="AD438" i="7"/>
  <c r="AC438" i="7"/>
  <c r="AB438" i="7"/>
  <c r="AA438" i="7"/>
  <c r="Z438" i="7"/>
  <c r="Y438" i="7"/>
  <c r="X438" i="7"/>
  <c r="W438" i="7"/>
  <c r="V438" i="7"/>
  <c r="U438" i="7"/>
  <c r="T438" i="7"/>
  <c r="S438" i="7"/>
  <c r="R438" i="7"/>
  <c r="Q438" i="7"/>
  <c r="AJ428" i="7"/>
  <c r="AI428" i="7"/>
  <c r="AH428" i="7"/>
  <c r="AG428" i="7"/>
  <c r="AF428" i="7"/>
  <c r="AE428" i="7"/>
  <c r="AD428" i="7"/>
  <c r="AC428" i="7"/>
  <c r="AA428" i="7"/>
  <c r="Z428" i="7"/>
  <c r="Y428" i="7"/>
  <c r="X428" i="7"/>
  <c r="W428" i="7"/>
  <c r="V428" i="7"/>
  <c r="U428" i="7"/>
  <c r="T428" i="7"/>
  <c r="S428" i="7"/>
  <c r="R428" i="7"/>
  <c r="Q428" i="7"/>
  <c r="AJ424" i="7"/>
  <c r="AI424" i="7"/>
  <c r="AH424" i="7"/>
  <c r="AG424" i="7"/>
  <c r="AE424" i="7"/>
  <c r="AD424" i="7"/>
  <c r="AC424" i="7"/>
  <c r="AA424" i="7"/>
  <c r="Z424" i="7"/>
  <c r="Y424" i="7"/>
  <c r="X424" i="7"/>
  <c r="W424" i="7"/>
  <c r="V424" i="7"/>
  <c r="U424" i="7"/>
  <c r="T424" i="7"/>
  <c r="S424" i="7"/>
  <c r="R424" i="7"/>
  <c r="Q424" i="7"/>
  <c r="AJ417" i="7"/>
  <c r="AI417" i="7"/>
  <c r="AH417" i="7"/>
  <c r="AG417" i="7"/>
  <c r="AE417" i="7"/>
  <c r="AD417" i="7"/>
  <c r="AC417" i="7"/>
  <c r="AA417" i="7"/>
  <c r="Z417" i="7"/>
  <c r="Y417" i="7"/>
  <c r="X417" i="7"/>
  <c r="W417" i="7"/>
  <c r="V417" i="7"/>
  <c r="U417" i="7"/>
  <c r="T417" i="7"/>
  <c r="S417" i="7"/>
  <c r="R417" i="7"/>
  <c r="Q417" i="7"/>
  <c r="AJ404" i="7"/>
  <c r="AI404" i="7"/>
  <c r="AH404" i="7"/>
  <c r="AG404" i="7"/>
  <c r="AE404" i="7"/>
  <c r="AD404" i="7"/>
  <c r="AC404" i="7"/>
  <c r="AB404" i="7"/>
  <c r="AA404" i="7"/>
  <c r="Z404" i="7"/>
  <c r="Y404" i="7"/>
  <c r="X404" i="7"/>
  <c r="W404" i="7"/>
  <c r="V404" i="7"/>
  <c r="U404" i="7"/>
  <c r="T404" i="7"/>
  <c r="S404" i="7"/>
  <c r="R404" i="7"/>
  <c r="Q404" i="7"/>
  <c r="AJ391" i="7"/>
  <c r="AI391" i="7"/>
  <c r="AH391" i="7"/>
  <c r="AG391" i="7"/>
  <c r="AF391" i="7"/>
  <c r="AE391" i="7"/>
  <c r="AD391" i="7"/>
  <c r="AA391" i="7"/>
  <c r="Z391" i="7"/>
  <c r="Y391" i="7"/>
  <c r="X391" i="7"/>
  <c r="W391" i="7"/>
  <c r="V391" i="7"/>
  <c r="V392" i="7" s="1"/>
  <c r="U391" i="7"/>
  <c r="T391" i="7"/>
  <c r="S391" i="7"/>
  <c r="R391" i="7"/>
  <c r="Q391" i="7"/>
  <c r="AJ387" i="7"/>
  <c r="AI387" i="7"/>
  <c r="AH387" i="7"/>
  <c r="AG387" i="7"/>
  <c r="AE387" i="7"/>
  <c r="AD387" i="7"/>
  <c r="AC387" i="7"/>
  <c r="AA387" i="7"/>
  <c r="Z387" i="7"/>
  <c r="Y387" i="7"/>
  <c r="X387" i="7"/>
  <c r="W387" i="7"/>
  <c r="V387" i="7"/>
  <c r="U387" i="7"/>
  <c r="T387" i="7"/>
  <c r="S387" i="7"/>
  <c r="R387" i="7"/>
  <c r="Q387" i="7"/>
  <c r="AJ378" i="7"/>
  <c r="AI378" i="7"/>
  <c r="AH378" i="7"/>
  <c r="AG378" i="7"/>
  <c r="AE378" i="7"/>
  <c r="AC378" i="7"/>
  <c r="AA378" i="7"/>
  <c r="Z378" i="7"/>
  <c r="Y378" i="7"/>
  <c r="X378" i="7"/>
  <c r="V378" i="7"/>
  <c r="U378" i="7"/>
  <c r="U392" i="7" s="1"/>
  <c r="T378" i="7"/>
  <c r="S378" i="7"/>
  <c r="R378" i="7"/>
  <c r="Q378" i="7"/>
  <c r="Q392" i="7" s="1"/>
  <c r="AJ366" i="7"/>
  <c r="AJ367" i="7" s="1"/>
  <c r="AI366" i="7"/>
  <c r="AI367" i="7" s="1"/>
  <c r="AH366" i="7"/>
  <c r="AH367" i="7" s="1"/>
  <c r="AG366" i="7"/>
  <c r="AG367" i="7" s="1"/>
  <c r="AE366" i="7"/>
  <c r="AE367" i="7" s="1"/>
  <c r="AD366" i="7"/>
  <c r="AD367" i="7" s="1"/>
  <c r="AC366" i="7"/>
  <c r="AC367" i="7" s="1"/>
  <c r="AB366" i="7"/>
  <c r="AB367" i="7" s="1"/>
  <c r="AA366" i="7"/>
  <c r="AA367" i="7" s="1"/>
  <c r="Z366" i="7"/>
  <c r="Z367" i="7" s="1"/>
  <c r="Y366" i="7"/>
  <c r="Y367" i="7" s="1"/>
  <c r="X366" i="7"/>
  <c r="X367" i="7" s="1"/>
  <c r="W366" i="7"/>
  <c r="W367" i="7" s="1"/>
  <c r="V366" i="7"/>
  <c r="V367" i="7" s="1"/>
  <c r="U366" i="7"/>
  <c r="U367" i="7" s="1"/>
  <c r="T366" i="7"/>
  <c r="T367" i="7" s="1"/>
  <c r="S366" i="7"/>
  <c r="S367" i="7" s="1"/>
  <c r="R366" i="7"/>
  <c r="R367" i="7" s="1"/>
  <c r="Q366" i="7"/>
  <c r="Q367" i="7" s="1"/>
  <c r="AF366" i="7"/>
  <c r="AF367" i="7" s="1"/>
  <c r="AJ360" i="7"/>
  <c r="AJ361" i="7" s="1"/>
  <c r="AI360" i="7"/>
  <c r="AI361" i="7" s="1"/>
  <c r="AH360" i="7"/>
  <c r="AH361" i="7" s="1"/>
  <c r="AG360" i="7"/>
  <c r="AG361" i="7" s="1"/>
  <c r="AG368" i="7" s="1"/>
  <c r="AG369" i="7" s="1"/>
  <c r="AE360" i="7"/>
  <c r="AE361" i="7" s="1"/>
  <c r="AD360" i="7"/>
  <c r="AD361" i="7" s="1"/>
  <c r="AC360" i="7"/>
  <c r="AC361" i="7" s="1"/>
  <c r="AB360" i="7"/>
  <c r="AB361" i="7" s="1"/>
  <c r="AB368" i="7" s="1"/>
  <c r="AB369" i="7" s="1"/>
  <c r="AA360" i="7"/>
  <c r="AA361" i="7" s="1"/>
  <c r="Z360" i="7"/>
  <c r="Z361" i="7" s="1"/>
  <c r="Y360" i="7"/>
  <c r="Y361" i="7" s="1"/>
  <c r="X360" i="7"/>
  <c r="X361" i="7" s="1"/>
  <c r="X368" i="7" s="1"/>
  <c r="X369" i="7" s="1"/>
  <c r="W360" i="7"/>
  <c r="W361" i="7" s="1"/>
  <c r="V360" i="7"/>
  <c r="V361" i="7" s="1"/>
  <c r="U360" i="7"/>
  <c r="U361" i="7" s="1"/>
  <c r="T360" i="7"/>
  <c r="T361" i="7" s="1"/>
  <c r="T368" i="7" s="1"/>
  <c r="T369" i="7" s="1"/>
  <c r="S360" i="7"/>
  <c r="S361" i="7" s="1"/>
  <c r="R360" i="7"/>
  <c r="R361" i="7" s="1"/>
  <c r="Q360" i="7"/>
  <c r="Q361" i="7" s="1"/>
  <c r="AF360" i="7"/>
  <c r="AF361" i="7" s="1"/>
  <c r="AF368" i="7" s="1"/>
  <c r="AF369" i="7" s="1"/>
  <c r="AJ349" i="7"/>
  <c r="AJ350" i="7" s="1"/>
  <c r="AJ351" i="7" s="1"/>
  <c r="AI349" i="7"/>
  <c r="AI350" i="7" s="1"/>
  <c r="AI351" i="7" s="1"/>
  <c r="AH349" i="7"/>
  <c r="AH350" i="7" s="1"/>
  <c r="AH351" i="7" s="1"/>
  <c r="AG349" i="7"/>
  <c r="AG350" i="7" s="1"/>
  <c r="AG351" i="7" s="1"/>
  <c r="AE349" i="7"/>
  <c r="AE350" i="7" s="1"/>
  <c r="AE351" i="7" s="1"/>
  <c r="AD349" i="7"/>
  <c r="AD350" i="7" s="1"/>
  <c r="AD351" i="7" s="1"/>
  <c r="AC349" i="7"/>
  <c r="AC350" i="7" s="1"/>
  <c r="AC351" i="7" s="1"/>
  <c r="AB349" i="7"/>
  <c r="AB350" i="7" s="1"/>
  <c r="AB351" i="7" s="1"/>
  <c r="AA349" i="7"/>
  <c r="AA350" i="7" s="1"/>
  <c r="AA351" i="7" s="1"/>
  <c r="Z349" i="7"/>
  <c r="Z350" i="7" s="1"/>
  <c r="Z351" i="7" s="1"/>
  <c r="Y349" i="7"/>
  <c r="Y350" i="7" s="1"/>
  <c r="Y351" i="7" s="1"/>
  <c r="X349" i="7"/>
  <c r="X350" i="7" s="1"/>
  <c r="X351" i="7" s="1"/>
  <c r="W349" i="7"/>
  <c r="W350" i="7" s="1"/>
  <c r="W351" i="7" s="1"/>
  <c r="V349" i="7"/>
  <c r="V350" i="7" s="1"/>
  <c r="V351" i="7" s="1"/>
  <c r="U349" i="7"/>
  <c r="U350" i="7" s="1"/>
  <c r="U351" i="7" s="1"/>
  <c r="T349" i="7"/>
  <c r="T350" i="7" s="1"/>
  <c r="T351" i="7" s="1"/>
  <c r="S349" i="7"/>
  <c r="S350" i="7" s="1"/>
  <c r="S351" i="7" s="1"/>
  <c r="R349" i="7"/>
  <c r="R350" i="7" s="1"/>
  <c r="R351" i="7" s="1"/>
  <c r="Q349" i="7"/>
  <c r="Q350" i="7" s="1"/>
  <c r="Q351" i="7" s="1"/>
  <c r="K347" i="7"/>
  <c r="AJ337" i="7"/>
  <c r="AI337" i="7"/>
  <c r="AH337" i="7"/>
  <c r="AG337" i="7"/>
  <c r="AE337" i="7"/>
  <c r="AD337" i="7"/>
  <c r="AC337" i="7"/>
  <c r="AB337" i="7"/>
  <c r="AA337" i="7"/>
  <c r="Z337" i="7"/>
  <c r="Y337" i="7"/>
  <c r="X337" i="7"/>
  <c r="W337" i="7"/>
  <c r="V337" i="7"/>
  <c r="U337" i="7"/>
  <c r="T337" i="7"/>
  <c r="S337" i="7"/>
  <c r="R337" i="7"/>
  <c r="Q337" i="7"/>
  <c r="AJ331" i="7"/>
  <c r="AI331" i="7"/>
  <c r="AH331" i="7"/>
  <c r="AG331" i="7"/>
  <c r="AE331" i="7"/>
  <c r="AD331" i="7"/>
  <c r="AC331" i="7"/>
  <c r="AB331" i="7"/>
  <c r="AA331" i="7"/>
  <c r="Z331" i="7"/>
  <c r="Y331" i="7"/>
  <c r="X331" i="7"/>
  <c r="W331" i="7"/>
  <c r="V331" i="7"/>
  <c r="U331" i="7"/>
  <c r="T331" i="7"/>
  <c r="S331" i="7"/>
  <c r="R331" i="7"/>
  <c r="Q331" i="7"/>
  <c r="AJ324" i="7"/>
  <c r="AH324" i="7"/>
  <c r="AG324" i="7"/>
  <c r="AE324" i="7"/>
  <c r="AD324" i="7"/>
  <c r="AC324" i="7"/>
  <c r="AB324" i="7"/>
  <c r="AA324" i="7"/>
  <c r="Z324" i="7"/>
  <c r="Y324" i="7"/>
  <c r="X324" i="7"/>
  <c r="W324" i="7"/>
  <c r="V324" i="7"/>
  <c r="U324" i="7"/>
  <c r="T324" i="7"/>
  <c r="S324" i="7"/>
  <c r="R324" i="7"/>
  <c r="Q324" i="7"/>
  <c r="AH317" i="7"/>
  <c r="AJ315" i="7"/>
  <c r="AI315" i="7"/>
  <c r="AH315" i="7"/>
  <c r="AG315" i="7"/>
  <c r="AE315" i="7"/>
  <c r="AD315" i="7"/>
  <c r="AC315" i="7"/>
  <c r="AB315" i="7"/>
  <c r="AA315" i="7"/>
  <c r="Z315" i="7"/>
  <c r="Y315" i="7"/>
  <c r="X315" i="7"/>
  <c r="W315" i="7"/>
  <c r="V315" i="7"/>
  <c r="U315" i="7"/>
  <c r="T315" i="7"/>
  <c r="S315" i="7"/>
  <c r="R315" i="7"/>
  <c r="Q315" i="7"/>
  <c r="AJ304" i="7"/>
  <c r="AI304" i="7"/>
  <c r="AH304" i="7"/>
  <c r="AG304" i="7"/>
  <c r="AE304" i="7"/>
  <c r="AD304" i="7"/>
  <c r="AC304" i="7"/>
  <c r="AB304" i="7"/>
  <c r="AA304" i="7"/>
  <c r="Z304" i="7"/>
  <c r="Y304" i="7"/>
  <c r="X304" i="7"/>
  <c r="W304" i="7"/>
  <c r="V304" i="7"/>
  <c r="U304" i="7"/>
  <c r="T304" i="7"/>
  <c r="S304" i="7"/>
  <c r="R304" i="7"/>
  <c r="Q304" i="7"/>
  <c r="AJ295" i="7"/>
  <c r="AI295" i="7"/>
  <c r="AH295" i="7"/>
  <c r="AG295" i="7"/>
  <c r="AD295" i="7"/>
  <c r="AC295" i="7"/>
  <c r="AB295" i="7"/>
  <c r="AA295" i="7"/>
  <c r="Z295" i="7"/>
  <c r="Y295" i="7"/>
  <c r="X295" i="7"/>
  <c r="W295" i="7"/>
  <c r="V295" i="7"/>
  <c r="U295" i="7"/>
  <c r="T295" i="7"/>
  <c r="S295" i="7"/>
  <c r="R295" i="7"/>
  <c r="Q295" i="7"/>
  <c r="AJ290" i="7"/>
  <c r="AI290" i="7"/>
  <c r="AH290" i="7"/>
  <c r="AG290" i="7"/>
  <c r="AE290" i="7"/>
  <c r="AD290" i="7"/>
  <c r="AC290" i="7"/>
  <c r="AB290" i="7"/>
  <c r="AA290" i="7"/>
  <c r="Z290" i="7"/>
  <c r="Y290" i="7"/>
  <c r="X290" i="7"/>
  <c r="W290" i="7"/>
  <c r="V290" i="7"/>
  <c r="U290" i="7"/>
  <c r="T290" i="7"/>
  <c r="S290" i="7"/>
  <c r="R290" i="7"/>
  <c r="Q290" i="7"/>
  <c r="AJ275" i="7"/>
  <c r="AI275" i="7"/>
  <c r="AG275" i="7"/>
  <c r="AE275" i="7"/>
  <c r="AD275" i="7"/>
  <c r="AC275" i="7"/>
  <c r="AB275" i="7"/>
  <c r="AA275" i="7"/>
  <c r="Z275" i="7"/>
  <c r="Y275" i="7"/>
  <c r="X275" i="7"/>
  <c r="W275" i="7"/>
  <c r="V275" i="7"/>
  <c r="U275" i="7"/>
  <c r="T275" i="7"/>
  <c r="S275" i="7"/>
  <c r="R275" i="7"/>
  <c r="Q275" i="7"/>
  <c r="AJ271" i="7"/>
  <c r="AI271" i="7"/>
  <c r="AH271" i="7"/>
  <c r="AG271" i="7"/>
  <c r="AE271" i="7"/>
  <c r="AD271" i="7"/>
  <c r="AC271" i="7"/>
  <c r="AB271" i="7"/>
  <c r="AA271" i="7"/>
  <c r="Z271" i="7"/>
  <c r="Y271" i="7"/>
  <c r="X271" i="7"/>
  <c r="W271" i="7"/>
  <c r="V271" i="7"/>
  <c r="U271" i="7"/>
  <c r="T271" i="7"/>
  <c r="S271" i="7"/>
  <c r="R271" i="7"/>
  <c r="Q271" i="7"/>
  <c r="AJ267" i="7"/>
  <c r="AI267" i="7"/>
  <c r="AH267" i="7"/>
  <c r="AG267" i="7"/>
  <c r="AF267" i="7"/>
  <c r="AE267" i="7"/>
  <c r="AD267" i="7"/>
  <c r="AC267" i="7"/>
  <c r="AB267" i="7"/>
  <c r="AA267" i="7"/>
  <c r="Z267" i="7"/>
  <c r="Y267" i="7"/>
  <c r="X267" i="7"/>
  <c r="W267" i="7"/>
  <c r="V267" i="7"/>
  <c r="U267" i="7"/>
  <c r="T267" i="7"/>
  <c r="S267" i="7"/>
  <c r="R267" i="7"/>
  <c r="Q267" i="7"/>
  <c r="AJ260" i="7"/>
  <c r="AI260" i="7"/>
  <c r="AH260" i="7"/>
  <c r="AG260" i="7"/>
  <c r="AE260" i="7"/>
  <c r="AD260" i="7"/>
  <c r="AC260" i="7"/>
  <c r="AB260" i="7"/>
  <c r="AA260" i="7"/>
  <c r="Z260" i="7"/>
  <c r="Y260" i="7"/>
  <c r="X260" i="7"/>
  <c r="W260" i="7"/>
  <c r="V260" i="7"/>
  <c r="U260" i="7"/>
  <c r="T260" i="7"/>
  <c r="S260" i="7"/>
  <c r="R260" i="7"/>
  <c r="Q260" i="7"/>
  <c r="AJ254" i="7"/>
  <c r="AI254" i="7"/>
  <c r="AH254" i="7"/>
  <c r="AG254" i="7"/>
  <c r="AE254" i="7"/>
  <c r="AD254" i="7"/>
  <c r="AC254" i="7"/>
  <c r="AB254" i="7"/>
  <c r="AA254" i="7"/>
  <c r="Z254" i="7"/>
  <c r="Y254" i="7"/>
  <c r="X254" i="7"/>
  <c r="W254" i="7"/>
  <c r="V254" i="7"/>
  <c r="U254" i="7"/>
  <c r="T254" i="7"/>
  <c r="S254" i="7"/>
  <c r="R254" i="7"/>
  <c r="Q254" i="7"/>
  <c r="AJ247" i="7"/>
  <c r="AI247" i="7"/>
  <c r="AH247" i="7"/>
  <c r="AG247" i="7"/>
  <c r="AE247" i="7"/>
  <c r="AD247" i="7"/>
  <c r="AC247" i="7"/>
  <c r="AB247" i="7"/>
  <c r="AA247" i="7"/>
  <c r="Z247" i="7"/>
  <c r="Y247" i="7"/>
  <c r="X247" i="7"/>
  <c r="W247" i="7"/>
  <c r="V247" i="7"/>
  <c r="U247" i="7"/>
  <c r="T247" i="7"/>
  <c r="S247" i="7"/>
  <c r="R247" i="7"/>
  <c r="Q247" i="7"/>
  <c r="AJ233" i="7"/>
  <c r="AI233" i="7"/>
  <c r="AI234" i="7" s="1"/>
  <c r="AH233" i="7"/>
  <c r="AG233" i="7"/>
  <c r="AE233" i="7"/>
  <c r="AD233" i="7"/>
  <c r="AC233" i="7"/>
  <c r="AB233" i="7"/>
  <c r="AA233" i="7"/>
  <c r="Z233" i="7"/>
  <c r="Y233" i="7"/>
  <c r="X233" i="7"/>
  <c r="W233" i="7"/>
  <c r="V233" i="7"/>
  <c r="U233" i="7"/>
  <c r="T233" i="7"/>
  <c r="S233" i="7"/>
  <c r="R233" i="7"/>
  <c r="Q233" i="7"/>
  <c r="AJ228" i="7"/>
  <c r="AI228" i="7"/>
  <c r="AG228" i="7"/>
  <c r="AE228" i="7"/>
  <c r="AD228" i="7"/>
  <c r="AC228" i="7"/>
  <c r="AB228" i="7"/>
  <c r="AA228" i="7"/>
  <c r="Z228" i="7"/>
  <c r="Y228" i="7"/>
  <c r="X228" i="7"/>
  <c r="W228" i="7"/>
  <c r="V228" i="7"/>
  <c r="U228" i="7"/>
  <c r="T228" i="7"/>
  <c r="S228" i="7"/>
  <c r="R228" i="7"/>
  <c r="Q228" i="7"/>
  <c r="AJ222" i="7"/>
  <c r="AI222" i="7"/>
  <c r="AH222" i="7"/>
  <c r="AG222" i="7"/>
  <c r="AF222" i="7"/>
  <c r="AE222" i="7"/>
  <c r="AD222" i="7"/>
  <c r="AC222" i="7"/>
  <c r="AB222" i="7"/>
  <c r="AA222" i="7"/>
  <c r="Z222" i="7"/>
  <c r="Y222" i="7"/>
  <c r="X222" i="7"/>
  <c r="W222" i="7"/>
  <c r="V222" i="7"/>
  <c r="U222" i="7"/>
  <c r="T222" i="7"/>
  <c r="S222" i="7"/>
  <c r="R222" i="7"/>
  <c r="AJ218" i="7"/>
  <c r="AI218" i="7"/>
  <c r="AH218" i="7"/>
  <c r="AG218" i="7"/>
  <c r="AF218" i="7"/>
  <c r="AE218" i="7"/>
  <c r="AD218" i="7"/>
  <c r="AC218" i="7"/>
  <c r="AB218" i="7"/>
  <c r="AA218" i="7"/>
  <c r="Z218" i="7"/>
  <c r="Y218" i="7"/>
  <c r="X218" i="7"/>
  <c r="W218" i="7"/>
  <c r="V218" i="7"/>
  <c r="U218" i="7"/>
  <c r="T218" i="7"/>
  <c r="S218" i="7"/>
  <c r="R218" i="7"/>
  <c r="Q218" i="7"/>
  <c r="AH214" i="7"/>
  <c r="AG214" i="7"/>
  <c r="AE214" i="7"/>
  <c r="AD214" i="7"/>
  <c r="AC214" i="7"/>
  <c r="AB214" i="7"/>
  <c r="AA214" i="7"/>
  <c r="Z214" i="7"/>
  <c r="Y214" i="7"/>
  <c r="X214" i="7"/>
  <c r="W214" i="7"/>
  <c r="V214" i="7"/>
  <c r="U214" i="7"/>
  <c r="T214" i="7"/>
  <c r="S214" i="7"/>
  <c r="R214" i="7"/>
  <c r="AJ201" i="7"/>
  <c r="AI201" i="7"/>
  <c r="AH201" i="7"/>
  <c r="AG201" i="7"/>
  <c r="AE201" i="7"/>
  <c r="AD201" i="7"/>
  <c r="AC201" i="7"/>
  <c r="AB201" i="7"/>
  <c r="AA201" i="7"/>
  <c r="Z201" i="7"/>
  <c r="Y201" i="7"/>
  <c r="X201" i="7"/>
  <c r="W201" i="7"/>
  <c r="V201" i="7"/>
  <c r="U201" i="7"/>
  <c r="T201" i="7"/>
  <c r="S201" i="7"/>
  <c r="R201" i="7"/>
  <c r="Q201" i="7"/>
  <c r="AJ197" i="7"/>
  <c r="AI197" i="7"/>
  <c r="AH197" i="7"/>
  <c r="AG197" i="7"/>
  <c r="AE197" i="7"/>
  <c r="AD197" i="7"/>
  <c r="AC197" i="7"/>
  <c r="AB197" i="7"/>
  <c r="AA197" i="7"/>
  <c r="Z197" i="7"/>
  <c r="Y197" i="7"/>
  <c r="X197" i="7"/>
  <c r="W197" i="7"/>
  <c r="V197" i="7"/>
  <c r="U197" i="7"/>
  <c r="T197" i="7"/>
  <c r="S197" i="7"/>
  <c r="R197" i="7"/>
  <c r="Q197" i="7"/>
  <c r="AJ187" i="7"/>
  <c r="AJ188" i="7" s="1"/>
  <c r="AI187" i="7"/>
  <c r="AI188" i="7" s="1"/>
  <c r="AH187" i="7"/>
  <c r="AH188" i="7" s="1"/>
  <c r="AG187" i="7"/>
  <c r="AG188" i="7" s="1"/>
  <c r="AE187" i="7"/>
  <c r="AE188" i="7" s="1"/>
  <c r="AD187" i="7"/>
  <c r="AD188" i="7" s="1"/>
  <c r="AC187" i="7"/>
  <c r="AC188" i="7" s="1"/>
  <c r="AB187" i="7"/>
  <c r="AB188" i="7" s="1"/>
  <c r="AA187" i="7"/>
  <c r="AA188" i="7" s="1"/>
  <c r="Z187" i="7"/>
  <c r="Z188" i="7" s="1"/>
  <c r="Y187" i="7"/>
  <c r="Y188" i="7" s="1"/>
  <c r="X187" i="7"/>
  <c r="X188" i="7" s="1"/>
  <c r="W187" i="7"/>
  <c r="W188" i="7" s="1"/>
  <c r="V187" i="7"/>
  <c r="V188" i="7" s="1"/>
  <c r="U187" i="7"/>
  <c r="U188" i="7" s="1"/>
  <c r="T187" i="7"/>
  <c r="T188" i="7" s="1"/>
  <c r="S187" i="7"/>
  <c r="S188" i="7" s="1"/>
  <c r="R187" i="7"/>
  <c r="R188" i="7" s="1"/>
  <c r="Q187" i="7"/>
  <c r="Q188" i="7" s="1"/>
  <c r="A186" i="7"/>
  <c r="AJ179" i="7"/>
  <c r="AI179" i="7"/>
  <c r="AH179" i="7"/>
  <c r="AH180" i="7" s="1"/>
  <c r="AG179" i="7"/>
  <c r="AE179" i="7"/>
  <c r="AD179" i="7"/>
  <c r="AC179" i="7"/>
  <c r="AB179" i="7"/>
  <c r="AA179" i="7"/>
  <c r="Z179" i="7"/>
  <c r="Y179" i="7"/>
  <c r="X179" i="7"/>
  <c r="W179" i="7"/>
  <c r="V179" i="7"/>
  <c r="U179" i="7"/>
  <c r="U180" i="7" s="1"/>
  <c r="T179" i="7"/>
  <c r="S179" i="7"/>
  <c r="R179" i="7"/>
  <c r="Q179" i="7"/>
  <c r="AJ174" i="7"/>
  <c r="AI174" i="7"/>
  <c r="AH174" i="7"/>
  <c r="AG174" i="7"/>
  <c r="AE174" i="7"/>
  <c r="AD174" i="7"/>
  <c r="AC174" i="7"/>
  <c r="AB174" i="7"/>
  <c r="AA174" i="7"/>
  <c r="Z174" i="7"/>
  <c r="Y174" i="7"/>
  <c r="X174" i="7"/>
  <c r="W174" i="7"/>
  <c r="V174" i="7"/>
  <c r="U174" i="7"/>
  <c r="T174" i="7"/>
  <c r="S174" i="7"/>
  <c r="R174" i="7"/>
  <c r="Q174" i="7"/>
  <c r="AJ164" i="7"/>
  <c r="AI164" i="7"/>
  <c r="AH164" i="7"/>
  <c r="AG164" i="7"/>
  <c r="AE164" i="7"/>
  <c r="AD164" i="7"/>
  <c r="AC164" i="7"/>
  <c r="AC165" i="7" s="1"/>
  <c r="AB164" i="7"/>
  <c r="AA164" i="7"/>
  <c r="Z164" i="7"/>
  <c r="Y164" i="7"/>
  <c r="Y165" i="7" s="1"/>
  <c r="X164" i="7"/>
  <c r="W164" i="7"/>
  <c r="W159" i="7"/>
  <c r="W153" i="7"/>
  <c r="V164" i="7"/>
  <c r="U164" i="7"/>
  <c r="T164" i="7"/>
  <c r="S164" i="7"/>
  <c r="R164" i="7"/>
  <c r="Q164" i="7"/>
  <c r="AJ159" i="7"/>
  <c r="AI159" i="7"/>
  <c r="AH159" i="7"/>
  <c r="AG159" i="7"/>
  <c r="AE159" i="7"/>
  <c r="AD159" i="7"/>
  <c r="AC159" i="7"/>
  <c r="AB159" i="7"/>
  <c r="AA159" i="7"/>
  <c r="Z159" i="7"/>
  <c r="Y159" i="7"/>
  <c r="X159" i="7"/>
  <c r="V159" i="7"/>
  <c r="U159" i="7"/>
  <c r="T159" i="7"/>
  <c r="S159" i="7"/>
  <c r="R159" i="7"/>
  <c r="Q159" i="7"/>
  <c r="AJ153" i="7"/>
  <c r="AI153" i="7"/>
  <c r="AH153" i="7"/>
  <c r="AG153" i="7"/>
  <c r="AE153" i="7"/>
  <c r="AD153" i="7"/>
  <c r="AC153" i="7"/>
  <c r="AB153" i="7"/>
  <c r="AB165" i="7" s="1"/>
  <c r="AA153" i="7"/>
  <c r="Z153" i="7"/>
  <c r="Y153" i="7"/>
  <c r="X153" i="7"/>
  <c r="V153" i="7"/>
  <c r="U153" i="7"/>
  <c r="T153" i="7"/>
  <c r="S153" i="7"/>
  <c r="R153" i="7"/>
  <c r="Q153" i="7"/>
  <c r="AJ143" i="7"/>
  <c r="AI143" i="7"/>
  <c r="AH143" i="7"/>
  <c r="AG143" i="7"/>
  <c r="AE143" i="7"/>
  <c r="AD143" i="7"/>
  <c r="AC143" i="7"/>
  <c r="AB143" i="7"/>
  <c r="AA143" i="7"/>
  <c r="Z143" i="7"/>
  <c r="Z144" i="7" s="1"/>
  <c r="Y143" i="7"/>
  <c r="X143" i="7"/>
  <c r="W143" i="7"/>
  <c r="V143" i="7"/>
  <c r="U143" i="7"/>
  <c r="S143" i="7"/>
  <c r="R143" i="7"/>
  <c r="Q143" i="7"/>
  <c r="AJ136" i="7"/>
  <c r="AI136" i="7"/>
  <c r="AH136" i="7"/>
  <c r="AG136" i="7"/>
  <c r="AE136" i="7"/>
  <c r="AD136" i="7"/>
  <c r="AC136" i="7"/>
  <c r="AB136" i="7"/>
  <c r="AA136" i="7"/>
  <c r="Z136" i="7"/>
  <c r="Y136" i="7"/>
  <c r="X136" i="7"/>
  <c r="W136" i="7"/>
  <c r="V136" i="7"/>
  <c r="U136" i="7"/>
  <c r="S136" i="7"/>
  <c r="R136" i="7"/>
  <c r="Q136" i="7"/>
  <c r="AJ122" i="7"/>
  <c r="AJ123" i="7" s="1"/>
  <c r="AJ124" i="7" s="1"/>
  <c r="AI122" i="7"/>
  <c r="AI123" i="7" s="1"/>
  <c r="AI124" i="7" s="1"/>
  <c r="AH122" i="7"/>
  <c r="AH123" i="7" s="1"/>
  <c r="AH124" i="7" s="1"/>
  <c r="AG122" i="7"/>
  <c r="AG123" i="7" s="1"/>
  <c r="AG124" i="7" s="1"/>
  <c r="AF122" i="7"/>
  <c r="AF123" i="7" s="1"/>
  <c r="AF124" i="7" s="1"/>
  <c r="AE122" i="7"/>
  <c r="AE123" i="7" s="1"/>
  <c r="AE124" i="7" s="1"/>
  <c r="AD122" i="7"/>
  <c r="AD123" i="7" s="1"/>
  <c r="AD124" i="7" s="1"/>
  <c r="AC122" i="7"/>
  <c r="AC123" i="7" s="1"/>
  <c r="AC124" i="7" s="1"/>
  <c r="AB122" i="7"/>
  <c r="AB123" i="7" s="1"/>
  <c r="AB124" i="7" s="1"/>
  <c r="AA122" i="7"/>
  <c r="AA123" i="7" s="1"/>
  <c r="AA124" i="7" s="1"/>
  <c r="Z122" i="7"/>
  <c r="Z123" i="7" s="1"/>
  <c r="Z124" i="7" s="1"/>
  <c r="Y122" i="7"/>
  <c r="Y123" i="7" s="1"/>
  <c r="Y124" i="7" s="1"/>
  <c r="X122" i="7"/>
  <c r="X123" i="7" s="1"/>
  <c r="X124" i="7" s="1"/>
  <c r="W122" i="7"/>
  <c r="W123" i="7" s="1"/>
  <c r="W124" i="7" s="1"/>
  <c r="V122" i="7"/>
  <c r="V123" i="7" s="1"/>
  <c r="V124" i="7" s="1"/>
  <c r="U122" i="7"/>
  <c r="U123" i="7" s="1"/>
  <c r="U124" i="7" s="1"/>
  <c r="T122" i="7"/>
  <c r="T123" i="7" s="1"/>
  <c r="T124" i="7" s="1"/>
  <c r="S122" i="7"/>
  <c r="S123" i="7" s="1"/>
  <c r="S124" i="7" s="1"/>
  <c r="R122" i="7"/>
  <c r="R123" i="7" s="1"/>
  <c r="R124" i="7" s="1"/>
  <c r="Q122" i="7"/>
  <c r="Q123" i="7" s="1"/>
  <c r="Q124" i="7" s="1"/>
  <c r="AJ114" i="7"/>
  <c r="AJ115" i="7" s="1"/>
  <c r="AJ116" i="7" s="1"/>
  <c r="AI114" i="7"/>
  <c r="AI115" i="7" s="1"/>
  <c r="AI116" i="7" s="1"/>
  <c r="AH114" i="7"/>
  <c r="AH115" i="7" s="1"/>
  <c r="AH116" i="7" s="1"/>
  <c r="AG114" i="7"/>
  <c r="AG115" i="7" s="1"/>
  <c r="AG116" i="7" s="1"/>
  <c r="AF114" i="7"/>
  <c r="AF115" i="7" s="1"/>
  <c r="AF116" i="7" s="1"/>
  <c r="AD114" i="7"/>
  <c r="AD115" i="7" s="1"/>
  <c r="AD116" i="7" s="1"/>
  <c r="AC114" i="7"/>
  <c r="AC115" i="7" s="1"/>
  <c r="AC116" i="7" s="1"/>
  <c r="AB114" i="7"/>
  <c r="AB115" i="7" s="1"/>
  <c r="AB116" i="7" s="1"/>
  <c r="AA114" i="7"/>
  <c r="AA115" i="7" s="1"/>
  <c r="AA116" i="7" s="1"/>
  <c r="Z114" i="7"/>
  <c r="Z115" i="7" s="1"/>
  <c r="Z116" i="7" s="1"/>
  <c r="Y114" i="7"/>
  <c r="Y115" i="7" s="1"/>
  <c r="Y116" i="7" s="1"/>
  <c r="X114" i="7"/>
  <c r="X115" i="7" s="1"/>
  <c r="X116" i="7" s="1"/>
  <c r="W114" i="7"/>
  <c r="W115" i="7" s="1"/>
  <c r="W116" i="7" s="1"/>
  <c r="V114" i="7"/>
  <c r="V115" i="7" s="1"/>
  <c r="V116" i="7" s="1"/>
  <c r="U114" i="7"/>
  <c r="U115" i="7" s="1"/>
  <c r="U116" i="7" s="1"/>
  <c r="T114" i="7"/>
  <c r="T115" i="7" s="1"/>
  <c r="T116" i="7" s="1"/>
  <c r="R114" i="7"/>
  <c r="R115" i="7" s="1"/>
  <c r="R116" i="7" s="1"/>
  <c r="Q114" i="7"/>
  <c r="Q115" i="7" s="1"/>
  <c r="Q116" i="7" s="1"/>
  <c r="AE114" i="7"/>
  <c r="AE115" i="7" s="1"/>
  <c r="AE116" i="7" s="1"/>
  <c r="AJ101" i="7"/>
  <c r="AH101" i="7"/>
  <c r="AG101" i="7"/>
  <c r="AE101" i="7"/>
  <c r="AD101" i="7"/>
  <c r="AC101" i="7"/>
  <c r="AB101" i="7"/>
  <c r="AA101" i="7"/>
  <c r="Z101" i="7"/>
  <c r="Y101" i="7"/>
  <c r="X101" i="7"/>
  <c r="X89" i="7"/>
  <c r="W101" i="7"/>
  <c r="V101" i="7"/>
  <c r="U101" i="7"/>
  <c r="U102" i="7" s="1"/>
  <c r="U103" i="7" s="1"/>
  <c r="T101" i="7"/>
  <c r="R101" i="7"/>
  <c r="Q101" i="7"/>
  <c r="L92" i="7"/>
  <c r="AJ89" i="7"/>
  <c r="AH89" i="7"/>
  <c r="AG89" i="7"/>
  <c r="AE89" i="7"/>
  <c r="AD89" i="7"/>
  <c r="AC89" i="7"/>
  <c r="AB89" i="7"/>
  <c r="AA89" i="7"/>
  <c r="Z89" i="7"/>
  <c r="Y89" i="7"/>
  <c r="W89" i="7"/>
  <c r="U89" i="7"/>
  <c r="T89" i="7"/>
  <c r="S89" i="7"/>
  <c r="R89" i="7"/>
  <c r="Q89" i="7"/>
  <c r="L86" i="7"/>
  <c r="AJ77" i="7"/>
  <c r="AJ78" i="7" s="1"/>
  <c r="AJ79" i="7" s="1"/>
  <c r="AJ80" i="7" s="1"/>
  <c r="AI77" i="7"/>
  <c r="AI78" i="7" s="1"/>
  <c r="AI79" i="7" s="1"/>
  <c r="AI80" i="7" s="1"/>
  <c r="AH77" i="7"/>
  <c r="AH78" i="7" s="1"/>
  <c r="AH79" i="7" s="1"/>
  <c r="AH80" i="7" s="1"/>
  <c r="AG77" i="7"/>
  <c r="AG78" i="7" s="1"/>
  <c r="AG79" i="7" s="1"/>
  <c r="AG80" i="7" s="1"/>
  <c r="AE77" i="7"/>
  <c r="AE78" i="7" s="1"/>
  <c r="AE79" i="7" s="1"/>
  <c r="AE80" i="7" s="1"/>
  <c r="AD77" i="7"/>
  <c r="AD78" i="7" s="1"/>
  <c r="AD79" i="7" s="1"/>
  <c r="AD80" i="7" s="1"/>
  <c r="AC77" i="7"/>
  <c r="AC78" i="7" s="1"/>
  <c r="AC79" i="7" s="1"/>
  <c r="AC80" i="7" s="1"/>
  <c r="AB77" i="7"/>
  <c r="AB78" i="7" s="1"/>
  <c r="AB79" i="7" s="1"/>
  <c r="AB80" i="7" s="1"/>
  <c r="AA77" i="7"/>
  <c r="AA78" i="7" s="1"/>
  <c r="AA79" i="7" s="1"/>
  <c r="AA80" i="7" s="1"/>
  <c r="Z77" i="7"/>
  <c r="Z78" i="7" s="1"/>
  <c r="Z79" i="7" s="1"/>
  <c r="Z80" i="7" s="1"/>
  <c r="Y77" i="7"/>
  <c r="Y78" i="7" s="1"/>
  <c r="Y79" i="7" s="1"/>
  <c r="Y80" i="7" s="1"/>
  <c r="X77" i="7"/>
  <c r="X78" i="7" s="1"/>
  <c r="X79" i="7" s="1"/>
  <c r="X80" i="7" s="1"/>
  <c r="W77" i="7"/>
  <c r="W78" i="7" s="1"/>
  <c r="W79" i="7" s="1"/>
  <c r="W80" i="7" s="1"/>
  <c r="V77" i="7"/>
  <c r="V78" i="7" s="1"/>
  <c r="V79" i="7" s="1"/>
  <c r="V80" i="7" s="1"/>
  <c r="T77" i="7"/>
  <c r="T78" i="7" s="1"/>
  <c r="T79" i="7" s="1"/>
  <c r="T80" i="7" s="1"/>
  <c r="S77" i="7"/>
  <c r="S78" i="7" s="1"/>
  <c r="S79" i="7" s="1"/>
  <c r="S80" i="7" s="1"/>
  <c r="R77" i="7"/>
  <c r="R78" i="7" s="1"/>
  <c r="R79" i="7" s="1"/>
  <c r="R80" i="7" s="1"/>
  <c r="Q77" i="7"/>
  <c r="Q78" i="7" s="1"/>
  <c r="Q79" i="7" s="1"/>
  <c r="Q80" i="7" s="1"/>
  <c r="L75" i="7"/>
  <c r="AJ63" i="7"/>
  <c r="AJ64" i="7" s="1"/>
  <c r="AI63" i="7"/>
  <c r="AI64" i="7" s="1"/>
  <c r="AH63" i="7"/>
  <c r="AH64" i="7" s="1"/>
  <c r="AG63" i="7"/>
  <c r="AG64" i="7" s="1"/>
  <c r="AE63" i="7"/>
  <c r="AE64" i="7" s="1"/>
  <c r="AD63" i="7"/>
  <c r="AD64" i="7" s="1"/>
  <c r="AC63" i="7"/>
  <c r="AC64" i="7" s="1"/>
  <c r="AB63" i="7"/>
  <c r="AB64" i="7" s="1"/>
  <c r="AA63" i="7"/>
  <c r="AA64" i="7" s="1"/>
  <c r="Z63" i="7"/>
  <c r="Z64" i="7" s="1"/>
  <c r="Y63" i="7"/>
  <c r="Y64" i="7" s="1"/>
  <c r="X63" i="7"/>
  <c r="X64" i="7" s="1"/>
  <c r="W63" i="7"/>
  <c r="W64" i="7" s="1"/>
  <c r="V63" i="7"/>
  <c r="V64" i="7" s="1"/>
  <c r="U63" i="7"/>
  <c r="U64" i="7" s="1"/>
  <c r="T63" i="7"/>
  <c r="T64" i="7" s="1"/>
  <c r="S63" i="7"/>
  <c r="S64" i="7" s="1"/>
  <c r="R63" i="7"/>
  <c r="R64" i="7" s="1"/>
  <c r="Q63" i="7"/>
  <c r="Q64" i="7" s="1"/>
  <c r="AJ40" i="7"/>
  <c r="AJ41" i="7" s="1"/>
  <c r="AI40" i="7"/>
  <c r="AI41" i="7" s="1"/>
  <c r="AH40" i="7"/>
  <c r="AH41" i="7" s="1"/>
  <c r="AG40" i="7"/>
  <c r="AG41" i="7" s="1"/>
  <c r="AF40" i="7"/>
  <c r="AF41" i="7" s="1"/>
  <c r="AE40" i="7"/>
  <c r="AE41" i="7" s="1"/>
  <c r="AD40" i="7"/>
  <c r="AD41" i="7" s="1"/>
  <c r="AC40" i="7"/>
  <c r="AC41" i="7" s="1"/>
  <c r="AB40" i="7"/>
  <c r="AB41" i="7" s="1"/>
  <c r="AA40" i="7"/>
  <c r="AA41" i="7" s="1"/>
  <c r="Z40" i="7"/>
  <c r="Z41" i="7" s="1"/>
  <c r="Y40" i="7"/>
  <c r="Y41" i="7" s="1"/>
  <c r="X40" i="7"/>
  <c r="X41" i="7" s="1"/>
  <c r="W40" i="7"/>
  <c r="W41" i="7" s="1"/>
  <c r="V40" i="7"/>
  <c r="V41" i="7" s="1"/>
  <c r="U40" i="7"/>
  <c r="U41" i="7" s="1"/>
  <c r="T40" i="7"/>
  <c r="T41" i="7" s="1"/>
  <c r="S40" i="7"/>
  <c r="S41" i="7" s="1"/>
  <c r="R40" i="7"/>
  <c r="R41" i="7" s="1"/>
  <c r="Q40" i="7"/>
  <c r="Q41" i="7" s="1"/>
  <c r="AJ34" i="7"/>
  <c r="AI34" i="7"/>
  <c r="AH34" i="7"/>
  <c r="AG34" i="7"/>
  <c r="AF34" i="7"/>
  <c r="AE34" i="7"/>
  <c r="AD34" i="7"/>
  <c r="AC34" i="7"/>
  <c r="AB34" i="7"/>
  <c r="AA34" i="7"/>
  <c r="Z34" i="7"/>
  <c r="Y34" i="7"/>
  <c r="X34" i="7"/>
  <c r="W34" i="7"/>
  <c r="V34" i="7"/>
  <c r="U34" i="7"/>
  <c r="T34" i="7"/>
  <c r="S34" i="7"/>
  <c r="R34" i="7"/>
  <c r="Q34" i="7"/>
  <c r="AJ30" i="7"/>
  <c r="AI30" i="7"/>
  <c r="AH30" i="7"/>
  <c r="AG30" i="7"/>
  <c r="AF30" i="7"/>
  <c r="AE30" i="7"/>
  <c r="AD30" i="7"/>
  <c r="AC30" i="7"/>
  <c r="AB30" i="7"/>
  <c r="AA30" i="7"/>
  <c r="Z30" i="7"/>
  <c r="Z35" i="7" s="1"/>
  <c r="Y30" i="7"/>
  <c r="X30" i="7"/>
  <c r="W30" i="7"/>
  <c r="V30" i="7"/>
  <c r="U30" i="7"/>
  <c r="T30" i="7"/>
  <c r="S30" i="7"/>
  <c r="R30" i="7"/>
  <c r="Q30" i="7"/>
  <c r="AJ20" i="7"/>
  <c r="AJ21" i="7" s="1"/>
  <c r="AJ22" i="7" s="1"/>
  <c r="AJ23" i="7" s="1"/>
  <c r="AI20" i="7"/>
  <c r="AI21" i="7" s="1"/>
  <c r="AI22" i="7" s="1"/>
  <c r="AI23" i="7" s="1"/>
  <c r="AH20" i="7"/>
  <c r="AH21" i="7" s="1"/>
  <c r="AH22" i="7" s="1"/>
  <c r="AH23" i="7" s="1"/>
  <c r="AG20" i="7"/>
  <c r="AG21" i="7" s="1"/>
  <c r="AG22" i="7" s="1"/>
  <c r="AG23" i="7" s="1"/>
  <c r="AE20" i="7"/>
  <c r="AE21" i="7" s="1"/>
  <c r="AE22" i="7" s="1"/>
  <c r="AE23" i="7" s="1"/>
  <c r="AD20" i="7"/>
  <c r="AD21" i="7" s="1"/>
  <c r="AD22" i="7" s="1"/>
  <c r="AD23" i="7" s="1"/>
  <c r="AC20" i="7"/>
  <c r="AC21" i="7" s="1"/>
  <c r="AC22" i="7" s="1"/>
  <c r="AC23" i="7" s="1"/>
  <c r="AB20" i="7"/>
  <c r="AB21" i="7" s="1"/>
  <c r="AB22" i="7" s="1"/>
  <c r="AB23" i="7" s="1"/>
  <c r="AA20" i="7"/>
  <c r="AA21" i="7" s="1"/>
  <c r="AA22" i="7" s="1"/>
  <c r="AA23" i="7" s="1"/>
  <c r="Z20" i="7"/>
  <c r="Z21" i="7" s="1"/>
  <c r="Z22" i="7" s="1"/>
  <c r="Z23" i="7" s="1"/>
  <c r="Y20" i="7"/>
  <c r="Y21" i="7" s="1"/>
  <c r="Y22" i="7" s="1"/>
  <c r="Y23" i="7" s="1"/>
  <c r="X20" i="7"/>
  <c r="X21" i="7" s="1"/>
  <c r="X22" i="7" s="1"/>
  <c r="X23" i="7" s="1"/>
  <c r="W20" i="7"/>
  <c r="W21" i="7" s="1"/>
  <c r="W22" i="7" s="1"/>
  <c r="W23" i="7" s="1"/>
  <c r="V20" i="7"/>
  <c r="V21" i="7" s="1"/>
  <c r="V22" i="7" s="1"/>
  <c r="V23" i="7" s="1"/>
  <c r="U20" i="7"/>
  <c r="U21" i="7" s="1"/>
  <c r="U22" i="7" s="1"/>
  <c r="U23" i="7" s="1"/>
  <c r="T20" i="7"/>
  <c r="T21" i="7" s="1"/>
  <c r="T22" i="7" s="1"/>
  <c r="T23" i="7" s="1"/>
  <c r="S20" i="7"/>
  <c r="S21" i="7" s="1"/>
  <c r="S22" i="7" s="1"/>
  <c r="S23" i="7" s="1"/>
  <c r="R20" i="7"/>
  <c r="R21" i="7" s="1"/>
  <c r="R22" i="7" s="1"/>
  <c r="R23" i="7" s="1"/>
  <c r="Q20" i="7"/>
  <c r="Q21" i="7" s="1"/>
  <c r="Q22" i="7" s="1"/>
  <c r="Q23" i="7" s="1"/>
  <c r="L15" i="7"/>
  <c r="L14" i="7"/>
  <c r="L13" i="7"/>
  <c r="L12" i="7"/>
  <c r="L11" i="7"/>
  <c r="AH738" i="7"/>
  <c r="AH739" i="7" s="1"/>
  <c r="AH740" i="7" s="1"/>
  <c r="AH741" i="7" s="1"/>
  <c r="Z202" i="7"/>
  <c r="R392" i="7"/>
  <c r="AF260" i="7"/>
  <c r="AF489" i="7"/>
  <c r="Z705" i="7"/>
  <c r="AF453" i="7"/>
  <c r="AD378" i="7"/>
  <c r="Z638" i="7"/>
  <c r="AJ712" i="7"/>
  <c r="AJ717" i="7" s="1"/>
  <c r="AG102" i="7" l="1"/>
  <c r="AG103" i="7" s="1"/>
  <c r="V305" i="7"/>
  <c r="V306" i="7" s="1"/>
  <c r="R671" i="7"/>
  <c r="AF739" i="7"/>
  <c r="AF740" i="7" s="1"/>
  <c r="AF741" i="7" s="1"/>
  <c r="AF290" i="7"/>
  <c r="X180" i="7"/>
  <c r="AI276" i="7"/>
  <c r="AF164" i="7"/>
  <c r="AB202" i="7"/>
  <c r="Y223" i="7"/>
  <c r="AJ234" i="7"/>
  <c r="Y261" i="7"/>
  <c r="AA447" i="7"/>
  <c r="AC643" i="7"/>
  <c r="AG643" i="7"/>
  <c r="T705" i="7"/>
  <c r="T724" i="7" s="1"/>
  <c r="T725" i="7" s="1"/>
  <c r="T754" i="7" s="1"/>
  <c r="AD705" i="7"/>
  <c r="AD717" i="7"/>
  <c r="R717" i="7"/>
  <c r="V717" i="7"/>
  <c r="AB717" i="7"/>
  <c r="AF197" i="7"/>
  <c r="S234" i="7"/>
  <c r="W234" i="7"/>
  <c r="AF271" i="7"/>
  <c r="AF276" i="7" s="1"/>
  <c r="U338" i="7"/>
  <c r="U339" i="7" s="1"/>
  <c r="R447" i="7"/>
  <c r="V447" i="7"/>
  <c r="S447" i="7"/>
  <c r="D41" i="8"/>
  <c r="AG234" i="7"/>
  <c r="W378" i="7"/>
  <c r="S165" i="7"/>
  <c r="AF295" i="7"/>
  <c r="AF247" i="7"/>
  <c r="AH305" i="7"/>
  <c r="AH306" i="7" s="1"/>
  <c r="AD338" i="7"/>
  <c r="AD339" i="7" s="1"/>
  <c r="Y392" i="7"/>
  <c r="AE392" i="7"/>
  <c r="X392" i="7"/>
  <c r="AB387" i="7"/>
  <c r="AG447" i="7"/>
  <c r="AA643" i="7"/>
  <c r="S671" i="7"/>
  <c r="AG671" i="7"/>
  <c r="U717" i="7"/>
  <c r="AA717" i="7"/>
  <c r="AI717" i="7"/>
  <c r="D91" i="8"/>
  <c r="U305" i="7"/>
  <c r="U306" i="7" s="1"/>
  <c r="AE717" i="7"/>
  <c r="AF538" i="7"/>
  <c r="AF539" i="7" s="1"/>
  <c r="AF101" i="7"/>
  <c r="S705" i="7"/>
  <c r="AD261" i="7"/>
  <c r="W705" i="7"/>
  <c r="Q717" i="7"/>
  <c r="AJ165" i="7"/>
  <c r="AJ305" i="7"/>
  <c r="AJ306" i="7" s="1"/>
  <c r="AJ352" i="7" s="1"/>
  <c r="AI165" i="7"/>
  <c r="AA276" i="7"/>
  <c r="X643" i="7"/>
  <c r="AF512" i="7"/>
  <c r="AF254" i="7"/>
  <c r="Q222" i="7"/>
  <c r="AJ223" i="7"/>
  <c r="AJ235" i="7" s="1"/>
  <c r="AJ236" i="7" s="1"/>
  <c r="U234" i="7"/>
  <c r="Y234" i="7"/>
  <c r="Y235" i="7" s="1"/>
  <c r="Y236" i="7" s="1"/>
  <c r="AC234" i="7"/>
  <c r="U261" i="7"/>
  <c r="AC261" i="7"/>
  <c r="W338" i="7"/>
  <c r="W339" i="7" s="1"/>
  <c r="AJ467" i="7"/>
  <c r="T136" i="7"/>
  <c r="AF159" i="7"/>
  <c r="AF165" i="7" s="1"/>
  <c r="Y180" i="7"/>
  <c r="AC180" i="7"/>
  <c r="AJ180" i="7"/>
  <c r="AB223" i="7"/>
  <c r="AI261" i="7"/>
  <c r="U276" i="7"/>
  <c r="T305" i="7"/>
  <c r="T306" i="7" s="1"/>
  <c r="R368" i="7"/>
  <c r="R369" i="7" s="1"/>
  <c r="AI368" i="7"/>
  <c r="AI369" i="7" s="1"/>
  <c r="AD447" i="7"/>
  <c r="Q643" i="7"/>
  <c r="AB446" i="7"/>
  <c r="V89" i="7"/>
  <c r="S276" i="7"/>
  <c r="AD392" i="7"/>
  <c r="AF153" i="7"/>
  <c r="AF349" i="7"/>
  <c r="AF350" i="7" s="1"/>
  <c r="AF351" i="7" s="1"/>
  <c r="Q35" i="7"/>
  <c r="Q65" i="7" s="1"/>
  <c r="Q66" i="7" s="1"/>
  <c r="Y35" i="7"/>
  <c r="AC35" i="7"/>
  <c r="AC65" i="7" s="1"/>
  <c r="AC66" i="7" s="1"/>
  <c r="AG35" i="7"/>
  <c r="V144" i="7"/>
  <c r="AD144" i="7"/>
  <c r="AG144" i="7"/>
  <c r="W180" i="7"/>
  <c r="V202" i="7"/>
  <c r="AD234" i="7"/>
  <c r="S305" i="7"/>
  <c r="S306" i="7" s="1"/>
  <c r="W305" i="7"/>
  <c r="W306" i="7" s="1"/>
  <c r="AC368" i="7"/>
  <c r="AC369" i="7" s="1"/>
  <c r="AE368" i="7"/>
  <c r="AE369" i="7" s="1"/>
  <c r="AH392" i="7"/>
  <c r="AI671" i="7"/>
  <c r="AI705" i="7"/>
  <c r="Q705" i="7"/>
  <c r="AE705" i="7"/>
  <c r="AB338" i="7"/>
  <c r="AB339" i="7" s="1"/>
  <c r="R538" i="7"/>
  <c r="R539" i="7" s="1"/>
  <c r="AF495" i="7"/>
  <c r="U165" i="7"/>
  <c r="R223" i="7"/>
  <c r="X261" i="7"/>
  <c r="AC276" i="7"/>
  <c r="AJ338" i="7"/>
  <c r="AJ339" i="7" s="1"/>
  <c r="AH338" i="7"/>
  <c r="AH339" i="7" s="1"/>
  <c r="S368" i="7"/>
  <c r="S369" i="7" s="1"/>
  <c r="Y368" i="7"/>
  <c r="Y369" i="7" s="1"/>
  <c r="AJ392" i="7"/>
  <c r="R429" i="7"/>
  <c r="AH447" i="7"/>
  <c r="Y506" i="7"/>
  <c r="AF102" i="7"/>
  <c r="AF103" i="7" s="1"/>
  <c r="AF125" i="7" s="1"/>
  <c r="AH234" i="7"/>
  <c r="T338" i="7"/>
  <c r="T339" i="7" s="1"/>
  <c r="AF517" i="7"/>
  <c r="AJ368" i="7"/>
  <c r="AJ369" i="7" s="1"/>
  <c r="AG429" i="7"/>
  <c r="AJ506" i="7"/>
  <c r="T643" i="7"/>
  <c r="W447" i="7"/>
  <c r="X305" i="7"/>
  <c r="X306" i="7" s="1"/>
  <c r="X338" i="7"/>
  <c r="X339" i="7" s="1"/>
  <c r="AF35" i="7"/>
  <c r="Z165" i="7"/>
  <c r="AD165" i="7"/>
  <c r="AD181" i="7" s="1"/>
  <c r="S202" i="7"/>
  <c r="S203" i="7" s="1"/>
  <c r="Z276" i="7"/>
  <c r="Q305" i="7"/>
  <c r="Q306" i="7" s="1"/>
  <c r="Y305" i="7"/>
  <c r="Y306" i="7" s="1"/>
  <c r="AC305" i="7"/>
  <c r="AC306" i="7" s="1"/>
  <c r="AG338" i="7"/>
  <c r="AG339" i="7" s="1"/>
  <c r="V368" i="7"/>
  <c r="V369" i="7" s="1"/>
  <c r="Z368" i="7"/>
  <c r="Z369" i="7" s="1"/>
  <c r="U429" i="7"/>
  <c r="Y429" i="7"/>
  <c r="V467" i="7"/>
  <c r="U671" i="7"/>
  <c r="AJ705" i="7"/>
  <c r="AJ724" i="7" s="1"/>
  <c r="AJ725" i="7" s="1"/>
  <c r="S429" i="7"/>
  <c r="U506" i="7"/>
  <c r="AK441" i="7"/>
  <c r="AF446" i="7"/>
  <c r="AK30" i="7"/>
  <c r="AK35" i="7" s="1"/>
  <c r="D13" i="8"/>
  <c r="AF501" i="7"/>
  <c r="U368" i="7"/>
  <c r="U369" i="7" s="1"/>
  <c r="T467" i="7"/>
  <c r="AK231" i="7"/>
  <c r="AK233" i="7" s="1"/>
  <c r="AF233" i="7"/>
  <c r="AH276" i="7"/>
  <c r="AK334" i="7"/>
  <c r="AK337" i="7" s="1"/>
  <c r="AF337" i="7"/>
  <c r="AK482" i="7"/>
  <c r="AK483" i="7" s="1"/>
  <c r="AK484" i="7" s="1"/>
  <c r="AF483" i="7"/>
  <c r="AF484" i="7" s="1"/>
  <c r="AK620" i="7"/>
  <c r="AK622" i="7" s="1"/>
  <c r="X622" i="7"/>
  <c r="AK676" i="7"/>
  <c r="D133" i="8" s="1"/>
  <c r="AF678" i="7"/>
  <c r="AF679" i="7" s="1"/>
  <c r="AK625" i="7"/>
  <c r="X628" i="7"/>
  <c r="AK421" i="7"/>
  <c r="AB424" i="7"/>
  <c r="AE467" i="7"/>
  <c r="Q506" i="7"/>
  <c r="AC506" i="7"/>
  <c r="T629" i="7"/>
  <c r="AF438" i="7"/>
  <c r="AF447" i="7" s="1"/>
  <c r="AA102" i="7"/>
  <c r="AA103" i="7" s="1"/>
  <c r="AA125" i="7" s="1"/>
  <c r="AA165" i="7"/>
  <c r="AE165" i="7"/>
  <c r="AH165" i="7"/>
  <c r="V165" i="7"/>
  <c r="AD180" i="7"/>
  <c r="AI180" i="7"/>
  <c r="AF201" i="7"/>
  <c r="AF202" i="7" s="1"/>
  <c r="V261" i="7"/>
  <c r="Z261" i="7"/>
  <c r="T276" i="7"/>
  <c r="X276" i="7"/>
  <c r="X277" i="7" s="1"/>
  <c r="X278" i="7" s="1"/>
  <c r="AG276" i="7"/>
  <c r="AJ276" i="7"/>
  <c r="R305" i="7"/>
  <c r="R306" i="7" s="1"/>
  <c r="Z305" i="7"/>
  <c r="Z306" i="7" s="1"/>
  <c r="AG305" i="7"/>
  <c r="AG306" i="7" s="1"/>
  <c r="AG352" i="7" s="1"/>
  <c r="Q338" i="7"/>
  <c r="Q339" i="7" s="1"/>
  <c r="Y338" i="7"/>
  <c r="Y339" i="7" s="1"/>
  <c r="AC338" i="7"/>
  <c r="AC339" i="7" s="1"/>
  <c r="S338" i="7"/>
  <c r="S339" i="7" s="1"/>
  <c r="AA338" i="7"/>
  <c r="AA339" i="7" s="1"/>
  <c r="AE338" i="7"/>
  <c r="AE339" i="7" s="1"/>
  <c r="R338" i="7"/>
  <c r="R339" i="7" s="1"/>
  <c r="V338" i="7"/>
  <c r="V339" i="7" s="1"/>
  <c r="V352" i="7" s="1"/>
  <c r="Z338" i="7"/>
  <c r="Z339" i="7" s="1"/>
  <c r="AF404" i="7"/>
  <c r="U705" i="7"/>
  <c r="U724" i="7" s="1"/>
  <c r="U725" i="7" s="1"/>
  <c r="U754" i="7" s="1"/>
  <c r="AA705" i="7"/>
  <c r="S717" i="7"/>
  <c r="S724" i="7" s="1"/>
  <c r="S725" i="7" s="1"/>
  <c r="S754" i="7" s="1"/>
  <c r="W717" i="7"/>
  <c r="D109" i="8"/>
  <c r="D108" i="8" s="1"/>
  <c r="AK311" i="7"/>
  <c r="D67" i="8" s="1"/>
  <c r="AF315" i="7"/>
  <c r="S261" i="7"/>
  <c r="W261" i="7"/>
  <c r="AE261" i="7"/>
  <c r="Q276" i="7"/>
  <c r="Y276" i="7"/>
  <c r="AA305" i="7"/>
  <c r="AA306" i="7" s="1"/>
  <c r="AC629" i="7"/>
  <c r="Z629" i="7"/>
  <c r="R705" i="7"/>
  <c r="R724" i="7" s="1"/>
  <c r="R725" i="7" s="1"/>
  <c r="R754" i="7" s="1"/>
  <c r="V705" i="7"/>
  <c r="V724" i="7" s="1"/>
  <c r="V725" i="7" s="1"/>
  <c r="V754" i="7" s="1"/>
  <c r="AB705" i="7"/>
  <c r="AB724" i="7" s="1"/>
  <c r="AB725" i="7" s="1"/>
  <c r="AB754" i="7" s="1"/>
  <c r="Z717" i="7"/>
  <c r="Z724" i="7" s="1"/>
  <c r="Z725" i="7" s="1"/>
  <c r="Z754" i="7" s="1"/>
  <c r="R144" i="7"/>
  <c r="U144" i="7"/>
  <c r="U181" i="7" s="1"/>
  <c r="T165" i="7"/>
  <c r="R165" i="7"/>
  <c r="X165" i="7"/>
  <c r="AG165" i="7"/>
  <c r="AA180" i="7"/>
  <c r="AE180" i="7"/>
  <c r="AG180" i="7"/>
  <c r="R202" i="7"/>
  <c r="R203" i="7" s="1"/>
  <c r="T202" i="7"/>
  <c r="T203" i="7" s="1"/>
  <c r="X202" i="7"/>
  <c r="X203" i="7" s="1"/>
  <c r="W276" i="7"/>
  <c r="AD276" i="7"/>
  <c r="AD277" i="7" s="1"/>
  <c r="AD278" i="7" s="1"/>
  <c r="AD305" i="7"/>
  <c r="AD306" i="7" s="1"/>
  <c r="AD352" i="7" s="1"/>
  <c r="AD429" i="7"/>
  <c r="AI643" i="7"/>
  <c r="AF717" i="7"/>
  <c r="AK227" i="7"/>
  <c r="AK228" i="7" s="1"/>
  <c r="X594" i="7"/>
  <c r="D44" i="8"/>
  <c r="AH705" i="7"/>
  <c r="AH724" i="7" s="1"/>
  <c r="AH725" i="7" s="1"/>
  <c r="AH754" i="7" s="1"/>
  <c r="AF77" i="7"/>
  <c r="AF78" i="7" s="1"/>
  <c r="AF79" i="7" s="1"/>
  <c r="AF80" i="7" s="1"/>
  <c r="AI89" i="7"/>
  <c r="T143" i="7"/>
  <c r="T144" i="7" s="1"/>
  <c r="Q180" i="7"/>
  <c r="T234" i="7"/>
  <c r="AB234" i="7"/>
  <c r="AI429" i="7"/>
  <c r="AB643" i="7"/>
  <c r="D116" i="8"/>
  <c r="AK211" i="7"/>
  <c r="AF214" i="7"/>
  <c r="AF223" i="7" s="1"/>
  <c r="Z642" i="7"/>
  <c r="Z643" i="7" s="1"/>
  <c r="AK641" i="7"/>
  <c r="AK642" i="7" s="1"/>
  <c r="AK92" i="7"/>
  <c r="S101" i="7"/>
  <c r="S102" i="7" s="1"/>
  <c r="S103" i="7" s="1"/>
  <c r="S125" i="7" s="1"/>
  <c r="AF20" i="7"/>
  <c r="AF21" i="7" s="1"/>
  <c r="AF22" i="7" s="1"/>
  <c r="AF23" i="7" s="1"/>
  <c r="T180" i="7"/>
  <c r="AB180" i="7"/>
  <c r="R234" i="7"/>
  <c r="R235" i="7" s="1"/>
  <c r="R236" i="7" s="1"/>
  <c r="V234" i="7"/>
  <c r="T447" i="7"/>
  <c r="AJ447" i="7"/>
  <c r="R467" i="7"/>
  <c r="R474" i="7" s="1"/>
  <c r="R475" i="7" s="1"/>
  <c r="Z467" i="7"/>
  <c r="AI467" i="7"/>
  <c r="Q671" i="7"/>
  <c r="AC671" i="7"/>
  <c r="AC705" i="7"/>
  <c r="AC724" i="7" s="1"/>
  <c r="AC725" i="7" s="1"/>
  <c r="AC754" i="7" s="1"/>
  <c r="AK577" i="7"/>
  <c r="D114" i="8" s="1"/>
  <c r="X580" i="7"/>
  <c r="D120" i="8"/>
  <c r="AF187" i="7"/>
  <c r="AF188" i="7" s="1"/>
  <c r="AF63" i="7"/>
  <c r="AF64" i="7" s="1"/>
  <c r="AF65" i="7" s="1"/>
  <c r="AF66" i="7" s="1"/>
  <c r="AJ102" i="7"/>
  <c r="AJ103" i="7" s="1"/>
  <c r="AJ125" i="7" s="1"/>
  <c r="V429" i="7"/>
  <c r="Z429" i="7"/>
  <c r="Y447" i="7"/>
  <c r="D128" i="8"/>
  <c r="AK96" i="7"/>
  <c r="AI101" i="7"/>
  <c r="AK415" i="7"/>
  <c r="AB417" i="7"/>
  <c r="AB392" i="7"/>
  <c r="AK427" i="7"/>
  <c r="D85" i="8" s="1"/>
  <c r="AB428" i="7"/>
  <c r="AK298" i="7"/>
  <c r="D65" i="8" s="1"/>
  <c r="AF304" i="7"/>
  <c r="AF305" i="7" s="1"/>
  <c r="AF306" i="7" s="1"/>
  <c r="AG704" i="7"/>
  <c r="AG705" i="7" s="1"/>
  <c r="AG724" i="7" s="1"/>
  <c r="AG725" i="7" s="1"/>
  <c r="AG754" i="7" s="1"/>
  <c r="AF331" i="7"/>
  <c r="AF228" i="7"/>
  <c r="U223" i="7"/>
  <c r="U235" i="7" s="1"/>
  <c r="U236" i="7" s="1"/>
  <c r="AC223" i="7"/>
  <c r="AA261" i="7"/>
  <c r="AA277" i="7" s="1"/>
  <c r="AA278" i="7" s="1"/>
  <c r="AI530" i="7"/>
  <c r="Y530" i="7"/>
  <c r="Y540" i="7" s="1"/>
  <c r="Y541" i="7" s="1"/>
  <c r="AD530" i="7"/>
  <c r="AG530" i="7"/>
  <c r="AK557" i="7"/>
  <c r="D111" i="8" s="1"/>
  <c r="X560" i="7"/>
  <c r="X561" i="7" s="1"/>
  <c r="AK607" i="7"/>
  <c r="X610" i="7"/>
  <c r="AD35" i="7"/>
  <c r="AD65" i="7" s="1"/>
  <c r="AD66" i="7" s="1"/>
  <c r="AH35" i="7"/>
  <c r="AH65" i="7" s="1"/>
  <c r="AH66" i="7" s="1"/>
  <c r="AE102" i="7"/>
  <c r="AE103" i="7" s="1"/>
  <c r="AE125" i="7" s="1"/>
  <c r="S180" i="7"/>
  <c r="AI392" i="7"/>
  <c r="AA506" i="7"/>
  <c r="AE506" i="7"/>
  <c r="AH506" i="7"/>
  <c r="R506" i="7"/>
  <c r="AB671" i="7"/>
  <c r="AI739" i="7"/>
  <c r="AI740" i="7" s="1"/>
  <c r="AI741" i="7" s="1"/>
  <c r="AK212" i="7"/>
  <c r="S35" i="7"/>
  <c r="W35" i="7"/>
  <c r="W65" i="7" s="1"/>
  <c r="W66" i="7" s="1"/>
  <c r="Y144" i="7"/>
  <c r="AC144" i="7"/>
  <c r="AJ144" i="7"/>
  <c r="R180" i="7"/>
  <c r="V180" i="7"/>
  <c r="Z180" i="7"/>
  <c r="W202" i="7"/>
  <c r="W203" i="7" s="1"/>
  <c r="AA202" i="7"/>
  <c r="AA203" i="7" s="1"/>
  <c r="AE202" i="7"/>
  <c r="AH202" i="7"/>
  <c r="AA234" i="7"/>
  <c r="AA392" i="7"/>
  <c r="AA429" i="7"/>
  <c r="AE429" i="7"/>
  <c r="AH429" i="7"/>
  <c r="AI447" i="7"/>
  <c r="Q447" i="7"/>
  <c r="U447" i="7"/>
  <c r="AD467" i="7"/>
  <c r="AA467" i="7"/>
  <c r="AH467" i="7"/>
  <c r="T530" i="7"/>
  <c r="R530" i="7"/>
  <c r="V530" i="7"/>
  <c r="Z530" i="7"/>
  <c r="V643" i="7"/>
  <c r="D58" i="8"/>
  <c r="AF378" i="7"/>
  <c r="AF392" i="7" s="1"/>
  <c r="D129" i="8"/>
  <c r="AC392" i="7"/>
  <c r="W671" i="7"/>
  <c r="T429" i="7"/>
  <c r="AK293" i="7"/>
  <c r="AE295" i="7"/>
  <c r="AE305" i="7" s="1"/>
  <c r="AE306" i="7" s="1"/>
  <c r="D14" i="8"/>
  <c r="AK40" i="7"/>
  <c r="AK41" i="7" s="1"/>
  <c r="AK122" i="7"/>
  <c r="AK123" i="7" s="1"/>
  <c r="AK124" i="7" s="1"/>
  <c r="D34" i="8"/>
  <c r="AK172" i="7"/>
  <c r="AK174" i="7" s="1"/>
  <c r="AF174" i="7"/>
  <c r="AK409" i="7"/>
  <c r="AF417" i="7"/>
  <c r="AK668" i="7"/>
  <c r="D132" i="8" s="1"/>
  <c r="AF670" i="7"/>
  <c r="AK318" i="7"/>
  <c r="AI324" i="7"/>
  <c r="AI338" i="7" s="1"/>
  <c r="AI339" i="7" s="1"/>
  <c r="W392" i="7"/>
  <c r="Q102" i="7"/>
  <c r="Q103" i="7" s="1"/>
  <c r="Q125" i="7" s="1"/>
  <c r="AK609" i="7"/>
  <c r="AA610" i="7"/>
  <c r="AA629" i="7" s="1"/>
  <c r="Y671" i="7"/>
  <c r="AB447" i="7"/>
  <c r="AC235" i="7"/>
  <c r="AC236" i="7" s="1"/>
  <c r="AD202" i="7"/>
  <c r="AD203" i="7" s="1"/>
  <c r="AG202" i="7"/>
  <c r="AG203" i="7" s="1"/>
  <c r="AB261" i="7"/>
  <c r="AE643" i="7"/>
  <c r="AK210" i="7"/>
  <c r="D48" i="8" s="1"/>
  <c r="Q214" i="7"/>
  <c r="Q223" i="7" s="1"/>
  <c r="V102" i="7"/>
  <c r="V103" i="7" s="1"/>
  <c r="V125" i="7" s="1"/>
  <c r="AK177" i="7"/>
  <c r="D43" i="8" s="1"/>
  <c r="AF179" i="7"/>
  <c r="Z203" i="7"/>
  <c r="V203" i="7"/>
  <c r="Q429" i="7"/>
  <c r="Q530" i="7"/>
  <c r="U530" i="7"/>
  <c r="U540" i="7" s="1"/>
  <c r="U541" i="7" s="1"/>
  <c r="V671" i="7"/>
  <c r="AD671" i="7"/>
  <c r="AK689" i="7"/>
  <c r="AF690" i="7"/>
  <c r="AF705" i="7" s="1"/>
  <c r="D72" i="8"/>
  <c r="AK614" i="7"/>
  <c r="D122" i="8" s="1"/>
  <c r="X617" i="7"/>
  <c r="AA35" i="7"/>
  <c r="AA65" i="7" s="1"/>
  <c r="AA66" i="7" s="1"/>
  <c r="AE35" i="7"/>
  <c r="AE65" i="7" s="1"/>
  <c r="AE66" i="7" s="1"/>
  <c r="AI35" i="7"/>
  <c r="AI65" i="7" s="1"/>
  <c r="AI66" i="7" s="1"/>
  <c r="AH203" i="7"/>
  <c r="W223" i="7"/>
  <c r="AH368" i="7"/>
  <c r="AH369" i="7" s="1"/>
  <c r="T392" i="7"/>
  <c r="AG392" i="7"/>
  <c r="X429" i="7"/>
  <c r="AC429" i="7"/>
  <c r="AJ429" i="7"/>
  <c r="S530" i="7"/>
  <c r="W530" i="7"/>
  <c r="AK274" i="7"/>
  <c r="D61" i="8" s="1"/>
  <c r="D112" i="8"/>
  <c r="D115" i="8"/>
  <c r="AK88" i="7"/>
  <c r="X35" i="7"/>
  <c r="X65" i="7" s="1"/>
  <c r="X66" i="7" s="1"/>
  <c r="Z102" i="7"/>
  <c r="Z103" i="7" s="1"/>
  <c r="Z125" i="7" s="1"/>
  <c r="AI202" i="7"/>
  <c r="AI203" i="7" s="1"/>
  <c r="X223" i="7"/>
  <c r="AG223" i="7"/>
  <c r="AG235" i="7" s="1"/>
  <c r="AG236" i="7" s="1"/>
  <c r="Q234" i="7"/>
  <c r="AE234" i="7"/>
  <c r="AG261" i="7"/>
  <c r="Q261" i="7"/>
  <c r="Q277" i="7" s="1"/>
  <c r="Q278" i="7" s="1"/>
  <c r="AH261" i="7"/>
  <c r="AH277" i="7" s="1"/>
  <c r="AH278" i="7" s="1"/>
  <c r="AJ261" i="7"/>
  <c r="AJ277" i="7" s="1"/>
  <c r="AJ278" i="7" s="1"/>
  <c r="R276" i="7"/>
  <c r="V276" i="7"/>
  <c r="V277" i="7" s="1"/>
  <c r="V278" i="7" s="1"/>
  <c r="AE276" i="7"/>
  <c r="AB276" i="7"/>
  <c r="AB305" i="7"/>
  <c r="AB306" i="7" s="1"/>
  <c r="AB352" i="7" s="1"/>
  <c r="AI305" i="7"/>
  <c r="AI306" i="7" s="1"/>
  <c r="Q368" i="7"/>
  <c r="Q369" i="7" s="1"/>
  <c r="W368" i="7"/>
  <c r="W369" i="7" s="1"/>
  <c r="X467" i="7"/>
  <c r="AB467" i="7"/>
  <c r="Q467" i="7"/>
  <c r="Q474" i="7" s="1"/>
  <c r="Q475" i="7" s="1"/>
  <c r="U467" i="7"/>
  <c r="S506" i="7"/>
  <c r="W506" i="7"/>
  <c r="AJ671" i="7"/>
  <c r="D64" i="8"/>
  <c r="D98" i="8"/>
  <c r="AF261" i="7"/>
  <c r="AE352" i="7"/>
  <c r="Z277" i="7"/>
  <c r="Z278" i="7" s="1"/>
  <c r="U352" i="7"/>
  <c r="AJ181" i="7"/>
  <c r="U125" i="7"/>
  <c r="AD724" i="7"/>
  <c r="AD725" i="7" s="1"/>
  <c r="AD754" i="7" s="1"/>
  <c r="AE447" i="7"/>
  <c r="AE474" i="7" s="1"/>
  <c r="AE475" i="7" s="1"/>
  <c r="AK74" i="7"/>
  <c r="U77" i="7"/>
  <c r="U78" i="7" s="1"/>
  <c r="U79" i="7" s="1"/>
  <c r="U80" i="7" s="1"/>
  <c r="AK659" i="7"/>
  <c r="D130" i="8" s="1"/>
  <c r="AF660" i="7"/>
  <c r="AF671" i="7" s="1"/>
  <c r="AK528" i="7"/>
  <c r="AF529" i="7"/>
  <c r="AK140" i="7"/>
  <c r="AK143" i="7" s="1"/>
  <c r="AF143" i="7"/>
  <c r="AF144" i="7" s="1"/>
  <c r="AK423" i="7"/>
  <c r="AF424" i="7"/>
  <c r="W102" i="7"/>
  <c r="W103" i="7" s="1"/>
  <c r="W125" i="7" s="1"/>
  <c r="Q724" i="7"/>
  <c r="Q725" i="7" s="1"/>
  <c r="Q754" i="7" s="1"/>
  <c r="R261" i="7"/>
  <c r="AD629" i="7"/>
  <c r="AH629" i="7"/>
  <c r="AF629" i="7"/>
  <c r="AJ629" i="7"/>
  <c r="R643" i="7"/>
  <c r="AD643" i="7"/>
  <c r="AH643" i="7"/>
  <c r="X671" i="7"/>
  <c r="AH102" i="7"/>
  <c r="AH103" i="7" s="1"/>
  <c r="AH125" i="7" s="1"/>
  <c r="Y202" i="7"/>
  <c r="Y203" i="7" s="1"/>
  <c r="AC202" i="7"/>
  <c r="AC203" i="7" s="1"/>
  <c r="AJ202" i="7"/>
  <c r="AJ203" i="7" s="1"/>
  <c r="T223" i="7"/>
  <c r="T235" i="7" s="1"/>
  <c r="T236" i="7" s="1"/>
  <c r="AI223" i="7"/>
  <c r="AI235" i="7" s="1"/>
  <c r="AI236" i="7" s="1"/>
  <c r="AA368" i="7"/>
  <c r="AA369" i="7" s="1"/>
  <c r="S392" i="7"/>
  <c r="Z447" i="7"/>
  <c r="AC447" i="7"/>
  <c r="Y467" i="7"/>
  <c r="V506" i="7"/>
  <c r="Z506" i="7"/>
  <c r="Z540" i="7" s="1"/>
  <c r="Z541" i="7" s="1"/>
  <c r="AG506" i="7"/>
  <c r="AG540" i="7" s="1"/>
  <c r="AG541" i="7" s="1"/>
  <c r="X530" i="7"/>
  <c r="AB530" i="7"/>
  <c r="Z671" i="7"/>
  <c r="T35" i="7"/>
  <c r="T65" i="7" s="1"/>
  <c r="T66" i="7" s="1"/>
  <c r="T102" i="7"/>
  <c r="T103" i="7" s="1"/>
  <c r="T125" i="7" s="1"/>
  <c r="Q202" i="7"/>
  <c r="Q203" i="7" s="1"/>
  <c r="U202" i="7"/>
  <c r="U203" i="7" s="1"/>
  <c r="V223" i="7"/>
  <c r="Z223" i="7"/>
  <c r="AD223" i="7"/>
  <c r="AH223" i="7"/>
  <c r="AH235" i="7" s="1"/>
  <c r="AH236" i="7" s="1"/>
  <c r="Z234" i="7"/>
  <c r="AK520" i="7"/>
  <c r="AF521" i="7"/>
  <c r="S65" i="7"/>
  <c r="S66" i="7" s="1"/>
  <c r="AC102" i="7"/>
  <c r="AC103" i="7" s="1"/>
  <c r="AC125" i="7" s="1"/>
  <c r="AD102" i="7"/>
  <c r="AD103" i="7" s="1"/>
  <c r="AD125" i="7" s="1"/>
  <c r="X447" i="7"/>
  <c r="AK750" i="7"/>
  <c r="AK751" i="7" s="1"/>
  <c r="AK752" i="7" s="1"/>
  <c r="AK753" i="7" s="1"/>
  <c r="D80" i="8"/>
  <c r="AK591" i="7"/>
  <c r="AK594" i="7" s="1"/>
  <c r="AK87" i="7"/>
  <c r="AG467" i="7"/>
  <c r="AG474" i="7" s="1"/>
  <c r="AG475" i="7" s="1"/>
  <c r="S467" i="7"/>
  <c r="W467" i="7"/>
  <c r="AC467" i="7"/>
  <c r="X506" i="7"/>
  <c r="AB506" i="7"/>
  <c r="AI506" i="7"/>
  <c r="T506" i="7"/>
  <c r="T540" i="7" s="1"/>
  <c r="T541" i="7" s="1"/>
  <c r="AC530" i="7"/>
  <c r="AJ530" i="7"/>
  <c r="AJ540" i="7" s="1"/>
  <c r="AJ541" i="7" s="1"/>
  <c r="AA530" i="7"/>
  <c r="AA540" i="7" s="1"/>
  <c r="AA541" i="7" s="1"/>
  <c r="AE530" i="7"/>
  <c r="AH530" i="7"/>
  <c r="S629" i="7"/>
  <c r="W629" i="7"/>
  <c r="R629" i="7"/>
  <c r="R680" i="7" s="1"/>
  <c r="R681" i="7" s="1"/>
  <c r="Q629" i="7"/>
  <c r="U629" i="7"/>
  <c r="AE629" i="7"/>
  <c r="AI629" i="7"/>
  <c r="AI680" i="7" s="1"/>
  <c r="AI681" i="7" s="1"/>
  <c r="Y643" i="7"/>
  <c r="AF643" i="7"/>
  <c r="AJ643" i="7"/>
  <c r="S643" i="7"/>
  <c r="W643" i="7"/>
  <c r="AA671" i="7"/>
  <c r="AE671" i="7"/>
  <c r="AH671" i="7"/>
  <c r="AA223" i="7"/>
  <c r="AD506" i="7"/>
  <c r="AG629" i="7"/>
  <c r="AG680" i="7" s="1"/>
  <c r="AG681" i="7" s="1"/>
  <c r="AB629" i="7"/>
  <c r="V629" i="7"/>
  <c r="R102" i="7"/>
  <c r="R103" i="7" s="1"/>
  <c r="R125" i="7" s="1"/>
  <c r="AE203" i="7"/>
  <c r="S223" i="7"/>
  <c r="S235" i="7" s="1"/>
  <c r="S236" i="7" s="1"/>
  <c r="AE223" i="7"/>
  <c r="Y629" i="7"/>
  <c r="T671" i="7"/>
  <c r="AC181" i="7"/>
  <c r="T261" i="7"/>
  <c r="AK404" i="7"/>
  <c r="D125" i="8"/>
  <c r="D24" i="8"/>
  <c r="AG125" i="7"/>
  <c r="Q144" i="7"/>
  <c r="X144" i="7"/>
  <c r="AB144" i="7"/>
  <c r="AI144" i="7"/>
  <c r="AI181" i="7" s="1"/>
  <c r="W144" i="7"/>
  <c r="AA144" i="7"/>
  <c r="AE144" i="7"/>
  <c r="AH144" i="7"/>
  <c r="AF525" i="7"/>
  <c r="D89" i="8"/>
  <c r="AK710" i="7"/>
  <c r="D138" i="8" s="1"/>
  <c r="AK376" i="7"/>
  <c r="AK444" i="7"/>
  <c r="AK460" i="7"/>
  <c r="AK461" i="7" s="1"/>
  <c r="AK648" i="7"/>
  <c r="D127" i="8" s="1"/>
  <c r="AJ35" i="7"/>
  <c r="AJ65" i="7" s="1"/>
  <c r="AJ66" i="7" s="1"/>
  <c r="AB102" i="7"/>
  <c r="AB103" i="7" s="1"/>
  <c r="AB125" i="7" s="1"/>
  <c r="Y102" i="7"/>
  <c r="Y103" i="7" s="1"/>
  <c r="Y125" i="7" s="1"/>
  <c r="X234" i="7"/>
  <c r="AF466" i="7"/>
  <c r="AF467" i="7" s="1"/>
  <c r="AJ739" i="7"/>
  <c r="AJ740" i="7" s="1"/>
  <c r="AJ741" i="7" s="1"/>
  <c r="AK375" i="7"/>
  <c r="AF324" i="7"/>
  <c r="D96" i="8"/>
  <c r="AK213" i="7"/>
  <c r="D59" i="8"/>
  <c r="AK445" i="7"/>
  <c r="D93" i="8" s="1"/>
  <c r="AK604" i="7"/>
  <c r="AK86" i="7"/>
  <c r="AK94" i="7"/>
  <c r="AK131" i="7"/>
  <c r="AK136" i="7" s="1"/>
  <c r="AK390" i="7"/>
  <c r="D81" i="8" s="1"/>
  <c r="AB203" i="7"/>
  <c r="Q540" i="7"/>
  <c r="Q541" i="7" s="1"/>
  <c r="Q352" i="7"/>
  <c r="Y65" i="7"/>
  <c r="Y66" i="7" s="1"/>
  <c r="AG65" i="7"/>
  <c r="AG66" i="7" s="1"/>
  <c r="AH352" i="7"/>
  <c r="R35" i="7"/>
  <c r="R65" i="7" s="1"/>
  <c r="R66" i="7" s="1"/>
  <c r="U35" i="7"/>
  <c r="U65" i="7" s="1"/>
  <c r="U66" i="7" s="1"/>
  <c r="Z65" i="7"/>
  <c r="Z66" i="7" s="1"/>
  <c r="Q165" i="7"/>
  <c r="X102" i="7"/>
  <c r="X103" i="7" s="1"/>
  <c r="X125" i="7" s="1"/>
  <c r="V35" i="7"/>
  <c r="V65" i="7" s="1"/>
  <c r="V66" i="7" s="1"/>
  <c r="AB35" i="7"/>
  <c r="AB65" i="7" s="1"/>
  <c r="AB66" i="7" s="1"/>
  <c r="D139" i="8"/>
  <c r="AK716" i="7"/>
  <c r="D66" i="8"/>
  <c r="D92" i="8"/>
  <c r="AK472" i="7"/>
  <c r="AK473" i="7" s="1"/>
  <c r="AK665" i="7"/>
  <c r="D131" i="8"/>
  <c r="AD368" i="7"/>
  <c r="AD369" i="7" s="1"/>
  <c r="Z392" i="7"/>
  <c r="D46" i="8"/>
  <c r="AK304" i="7"/>
  <c r="AK360" i="7"/>
  <c r="AK361" i="7" s="1"/>
  <c r="D76" i="8"/>
  <c r="AK387" i="7"/>
  <c r="AK505" i="7"/>
  <c r="D99" i="8"/>
  <c r="AK599" i="7"/>
  <c r="D119" i="8"/>
  <c r="D39" i="8"/>
  <c r="S144" i="7"/>
  <c r="W165" i="7"/>
  <c r="AK260" i="7"/>
  <c r="AK453" i="7"/>
  <c r="D88" i="8"/>
  <c r="D20" i="8"/>
  <c r="AK201" i="7"/>
  <c r="D45" i="8"/>
  <c r="D68" i="8"/>
  <c r="D15" i="8"/>
  <c r="AK324" i="7"/>
  <c r="D95" i="8"/>
  <c r="AK628" i="7"/>
  <c r="D124" i="8"/>
  <c r="D50" i="8"/>
  <c r="D82" i="8"/>
  <c r="D140" i="8"/>
  <c r="AK697" i="7"/>
  <c r="AK466" i="7"/>
  <c r="AK501" i="7"/>
  <c r="AK567" i="7"/>
  <c r="AK164" i="7"/>
  <c r="AK702" i="7"/>
  <c r="D137" i="8" s="1"/>
  <c r="D63" i="8"/>
  <c r="AK63" i="7"/>
  <c r="AK64" i="7" s="1"/>
  <c r="D11" i="8"/>
  <c r="D56" i="8"/>
  <c r="AK267" i="7"/>
  <c r="AK295" i="7"/>
  <c r="AK331" i="7"/>
  <c r="D70" i="8"/>
  <c r="AK586" i="7"/>
  <c r="AK73" i="7"/>
  <c r="D23" i="8" s="1"/>
  <c r="AK108" i="7"/>
  <c r="D28" i="8" s="1"/>
  <c r="AK197" i="7"/>
  <c r="AI724" i="7"/>
  <c r="AI725" i="7" s="1"/>
  <c r="W429" i="7"/>
  <c r="AK271" i="7"/>
  <c r="D60" i="8"/>
  <c r="AK290" i="7"/>
  <c r="AK349" i="7"/>
  <c r="AK350" i="7" s="1"/>
  <c r="AK351" i="7" s="1"/>
  <c r="AK438" i="7"/>
  <c r="AK512" i="7"/>
  <c r="D107" i="8"/>
  <c r="AK538" i="7"/>
  <c r="AK539" i="7" s="1"/>
  <c r="AK247" i="7"/>
  <c r="D55" i="8"/>
  <c r="AK254" i="7"/>
  <c r="D57" i="8"/>
  <c r="D40" i="8"/>
  <c r="AK159" i="7"/>
  <c r="AK20" i="7"/>
  <c r="AK21" i="7" s="1"/>
  <c r="AK22" i="7" s="1"/>
  <c r="AK23" i="7" s="1"/>
  <c r="D7" i="8"/>
  <c r="AK222" i="7"/>
  <c r="D51" i="8"/>
  <c r="AK366" i="7"/>
  <c r="AK367" i="7" s="1"/>
  <c r="D75" i="8"/>
  <c r="AK617" i="7"/>
  <c r="D86" i="8"/>
  <c r="AK495" i="7"/>
  <c r="D97" i="8"/>
  <c r="AK517" i="7"/>
  <c r="D105" i="8"/>
  <c r="AK525" i="7"/>
  <c r="D126" i="8"/>
  <c r="AK688" i="7"/>
  <c r="AK153" i="7"/>
  <c r="AK738" i="7"/>
  <c r="AK739" i="7" s="1"/>
  <c r="AK740" i="7" s="1"/>
  <c r="AK741" i="7" s="1"/>
  <c r="AK638" i="7"/>
  <c r="AK643" i="7" s="1"/>
  <c r="AK574" i="7"/>
  <c r="D113" i="8"/>
  <c r="AH181" i="7" l="1"/>
  <c r="Y277" i="7"/>
  <c r="Y278" i="7" s="1"/>
  <c r="X235" i="7"/>
  <c r="X236" i="7" s="1"/>
  <c r="Q235" i="7"/>
  <c r="Q236" i="7" s="1"/>
  <c r="AK101" i="7"/>
  <c r="AB235" i="7"/>
  <c r="AB236" i="7" s="1"/>
  <c r="AA724" i="7"/>
  <c r="AA725" i="7" s="1"/>
  <c r="AA754" i="7" s="1"/>
  <c r="AI277" i="7"/>
  <c r="AI278" i="7" s="1"/>
  <c r="W352" i="7"/>
  <c r="X352" i="7"/>
  <c r="AC277" i="7"/>
  <c r="AC278" i="7" s="1"/>
  <c r="AE724" i="7"/>
  <c r="AE725" i="7" s="1"/>
  <c r="AE754" i="7" s="1"/>
  <c r="D117" i="8"/>
  <c r="D53" i="8"/>
  <c r="D87" i="8"/>
  <c r="X181" i="7"/>
  <c r="U204" i="7"/>
  <c r="AG277" i="7"/>
  <c r="AG278" i="7" s="1"/>
  <c r="W235" i="7"/>
  <c r="W236" i="7" s="1"/>
  <c r="AB429" i="7"/>
  <c r="AB474" i="7" s="1"/>
  <c r="AB475" i="7" s="1"/>
  <c r="W724" i="7"/>
  <c r="W725" i="7" s="1"/>
  <c r="W754" i="7" s="1"/>
  <c r="U277" i="7"/>
  <c r="U278" i="7" s="1"/>
  <c r="D69" i="8"/>
  <c r="D123" i="8"/>
  <c r="AE540" i="7"/>
  <c r="AE541" i="7" s="1"/>
  <c r="AD235" i="7"/>
  <c r="AD236" i="7" s="1"/>
  <c r="U474" i="7"/>
  <c r="U475" i="7" s="1"/>
  <c r="AB277" i="7"/>
  <c r="AB278" i="7" s="1"/>
  <c r="D121" i="8"/>
  <c r="AI102" i="7"/>
  <c r="AI103" i="7" s="1"/>
  <c r="AI125" i="7" s="1"/>
  <c r="AF203" i="7"/>
  <c r="D22" i="8"/>
  <c r="X629" i="7"/>
  <c r="X680" i="7" s="1"/>
  <c r="X681" i="7" s="1"/>
  <c r="AA181" i="7"/>
  <c r="AC680" i="7"/>
  <c r="AC681" i="7" s="1"/>
  <c r="AK424" i="7"/>
  <c r="AF234" i="7"/>
  <c r="AF235" i="7" s="1"/>
  <c r="AF236" i="7" s="1"/>
  <c r="AC352" i="7"/>
  <c r="S352" i="7"/>
  <c r="Y181" i="7"/>
  <c r="Y204" i="7" s="1"/>
  <c r="R540" i="7"/>
  <c r="R541" i="7" s="1"/>
  <c r="D27" i="8"/>
  <c r="AG181" i="7"/>
  <c r="AG204" i="7" s="1"/>
  <c r="AG682" i="7" s="1"/>
  <c r="AG755" i="7" s="1"/>
  <c r="D79" i="8"/>
  <c r="AI474" i="7"/>
  <c r="AI475" i="7" s="1"/>
  <c r="D83" i="8"/>
  <c r="T352" i="7"/>
  <c r="D49" i="8"/>
  <c r="AD474" i="7"/>
  <c r="AD475" i="7" s="1"/>
  <c r="AE181" i="7"/>
  <c r="AE204" i="7" s="1"/>
  <c r="AF530" i="7"/>
  <c r="AB181" i="7"/>
  <c r="AI540" i="7"/>
  <c r="AI541" i="7" s="1"/>
  <c r="AF724" i="7"/>
  <c r="AF725" i="7" s="1"/>
  <c r="AF754" i="7" s="1"/>
  <c r="AH474" i="7"/>
  <c r="AH475" i="7" s="1"/>
  <c r="AA352" i="7"/>
  <c r="W277" i="7"/>
  <c r="W278" i="7" s="1"/>
  <c r="R352" i="7"/>
  <c r="X204" i="7"/>
  <c r="AC540" i="7"/>
  <c r="AC541" i="7" s="1"/>
  <c r="AB540" i="7"/>
  <c r="AB541" i="7" s="1"/>
  <c r="AE277" i="7"/>
  <c r="AE278" i="7" s="1"/>
  <c r="AJ474" i="7"/>
  <c r="AJ475" i="7" s="1"/>
  <c r="Z181" i="7"/>
  <c r="Z204" i="7" s="1"/>
  <c r="V474" i="7"/>
  <c r="V475" i="7" s="1"/>
  <c r="S277" i="7"/>
  <c r="S278" i="7" s="1"/>
  <c r="Z352" i="7"/>
  <c r="AK560" i="7"/>
  <c r="AK561" i="7" s="1"/>
  <c r="AK712" i="7"/>
  <c r="AK717" i="7" s="1"/>
  <c r="D52" i="8"/>
  <c r="AK678" i="7"/>
  <c r="AK679" i="7" s="1"/>
  <c r="AK391" i="7"/>
  <c r="AK650" i="7"/>
  <c r="AK428" i="7"/>
  <c r="AA680" i="7"/>
  <c r="AA681" i="7" s="1"/>
  <c r="D84" i="8"/>
  <c r="AJ754" i="7"/>
  <c r="V680" i="7"/>
  <c r="V681" i="7" s="1"/>
  <c r="AF277" i="7"/>
  <c r="AF278" i="7" s="1"/>
  <c r="V181" i="7"/>
  <c r="V204" i="7" s="1"/>
  <c r="AK214" i="7"/>
  <c r="AK223" i="7" s="1"/>
  <c r="AH204" i="7"/>
  <c r="AB680" i="7"/>
  <c r="AB681" i="7" s="1"/>
  <c r="AA235" i="7"/>
  <c r="AA236" i="7" s="1"/>
  <c r="U680" i="7"/>
  <c r="U681" i="7" s="1"/>
  <c r="X540" i="7"/>
  <c r="X541" i="7" s="1"/>
  <c r="Y474" i="7"/>
  <c r="Y475" i="7" s="1"/>
  <c r="AI204" i="7"/>
  <c r="W540" i="7"/>
  <c r="W541" i="7" s="1"/>
  <c r="AA474" i="7"/>
  <c r="AA475" i="7" s="1"/>
  <c r="R181" i="7"/>
  <c r="R204" i="7" s="1"/>
  <c r="Y352" i="7"/>
  <c r="AF506" i="7"/>
  <c r="D42" i="8"/>
  <c r="D74" i="8"/>
  <c r="AK670" i="7"/>
  <c r="AK315" i="7"/>
  <c r="AK338" i="7" s="1"/>
  <c r="AK339" i="7" s="1"/>
  <c r="T680" i="7"/>
  <c r="T681" i="7" s="1"/>
  <c r="W680" i="7"/>
  <c r="W681" i="7" s="1"/>
  <c r="AF680" i="7"/>
  <c r="AF681" i="7" s="1"/>
  <c r="AH540" i="7"/>
  <c r="AH541" i="7" s="1"/>
  <c r="S474" i="7"/>
  <c r="S475" i="7" s="1"/>
  <c r="Z235" i="7"/>
  <c r="Z236" i="7" s="1"/>
  <c r="AI352" i="7"/>
  <c r="AK417" i="7"/>
  <c r="AK368" i="7"/>
  <c r="AK369" i="7" s="1"/>
  <c r="W474" i="7"/>
  <c r="W475" i="7" s="1"/>
  <c r="AK660" i="7"/>
  <c r="S181" i="7"/>
  <c r="S204" i="7" s="1"/>
  <c r="D26" i="8"/>
  <c r="T277" i="7"/>
  <c r="T278" i="7" s="1"/>
  <c r="AD540" i="7"/>
  <c r="AD541" i="7" s="1"/>
  <c r="V540" i="7"/>
  <c r="V541" i="7" s="1"/>
  <c r="T181" i="7"/>
  <c r="T204" i="7" s="1"/>
  <c r="AB204" i="7"/>
  <c r="AD204" i="7"/>
  <c r="AC474" i="7"/>
  <c r="AC475" i="7" s="1"/>
  <c r="Q680" i="7"/>
  <c r="Q681" i="7" s="1"/>
  <c r="Z680" i="7"/>
  <c r="Z681" i="7" s="1"/>
  <c r="AK580" i="7"/>
  <c r="AI754" i="7"/>
  <c r="AK179" i="7"/>
  <c r="AK180" i="7" s="1"/>
  <c r="AE235" i="7"/>
  <c r="AE236" i="7" s="1"/>
  <c r="X474" i="7"/>
  <c r="X475" i="7" s="1"/>
  <c r="V235" i="7"/>
  <c r="V236" i="7" s="1"/>
  <c r="R277" i="7"/>
  <c r="R278" i="7" s="1"/>
  <c r="T474" i="7"/>
  <c r="T475" i="7" s="1"/>
  <c r="AK610" i="7"/>
  <c r="AF338" i="7"/>
  <c r="AF339" i="7" s="1"/>
  <c r="AF352" i="7" s="1"/>
  <c r="AE680" i="7"/>
  <c r="AE681" i="7" s="1"/>
  <c r="AJ680" i="7"/>
  <c r="AJ681" i="7" s="1"/>
  <c r="AF180" i="7"/>
  <c r="AF181" i="7" s="1"/>
  <c r="AF204" i="7" s="1"/>
  <c r="AK165" i="7"/>
  <c r="AK275" i="7"/>
  <c r="AK276" i="7" s="1"/>
  <c r="Z474" i="7"/>
  <c r="Z475" i="7" s="1"/>
  <c r="D144" i="8"/>
  <c r="D143" i="8" s="1"/>
  <c r="Q181" i="7"/>
  <c r="Q204" i="7" s="1"/>
  <c r="AA204" i="7"/>
  <c r="D38" i="8"/>
  <c r="AJ204" i="7"/>
  <c r="AF429" i="7"/>
  <c r="AF474" i="7" s="1"/>
  <c r="AF475" i="7" s="1"/>
  <c r="S540" i="7"/>
  <c r="S541" i="7" s="1"/>
  <c r="AK89" i="7"/>
  <c r="AK102" i="7" s="1"/>
  <c r="AK103" i="7" s="1"/>
  <c r="AK378" i="7"/>
  <c r="AH680" i="7"/>
  <c r="AH681" i="7" s="1"/>
  <c r="S680" i="7"/>
  <c r="S681" i="7" s="1"/>
  <c r="AK521" i="7"/>
  <c r="D104" i="8"/>
  <c r="U682" i="7"/>
  <c r="U755" i="7" s="1"/>
  <c r="W181" i="7"/>
  <c r="W204" i="7" s="1"/>
  <c r="Y680" i="7"/>
  <c r="Y681" i="7" s="1"/>
  <c r="AD680" i="7"/>
  <c r="AD681" i="7" s="1"/>
  <c r="AK529" i="7"/>
  <c r="D106" i="8"/>
  <c r="AK506" i="7"/>
  <c r="D37" i="8"/>
  <c r="D90" i="8"/>
  <c r="AK65" i="7"/>
  <c r="AK66" i="7" s="1"/>
  <c r="AK261" i="7"/>
  <c r="D12" i="8"/>
  <c r="AK305" i="7"/>
  <c r="AK306" i="7" s="1"/>
  <c r="AK234" i="7"/>
  <c r="AK446" i="7"/>
  <c r="AK447" i="7" s="1"/>
  <c r="AK467" i="7"/>
  <c r="AC204" i="7"/>
  <c r="AK144" i="7"/>
  <c r="AK114" i="7"/>
  <c r="AK115" i="7" s="1"/>
  <c r="AK116" i="7" s="1"/>
  <c r="AK704" i="7"/>
  <c r="D6" i="8"/>
  <c r="AK77" i="7"/>
  <c r="AK78" i="7" s="1"/>
  <c r="AK79" i="7" s="1"/>
  <c r="AK80" i="7" s="1"/>
  <c r="AK202" i="7"/>
  <c r="AK203" i="7" s="1"/>
  <c r="AK698" i="7"/>
  <c r="D136" i="8"/>
  <c r="D142" i="8"/>
  <c r="D141" i="8" s="1"/>
  <c r="D110" i="8"/>
  <c r="D62" i="8"/>
  <c r="D135" i="8"/>
  <c r="AK690" i="7"/>
  <c r="D54" i="8"/>
  <c r="Q682" i="7" l="1"/>
  <c r="Q755" i="7" s="1"/>
  <c r="AK429" i="7"/>
  <c r="D78" i="8"/>
  <c r="D47" i="8"/>
  <c r="D25" i="8"/>
  <c r="D94" i="8"/>
  <c r="AK392" i="7"/>
  <c r="AF540" i="7"/>
  <c r="AF541" i="7" s="1"/>
  <c r="AB682" i="7"/>
  <c r="AB755" i="7" s="1"/>
  <c r="T682" i="7"/>
  <c r="T755" i="7" s="1"/>
  <c r="AK629" i="7"/>
  <c r="Z682" i="7"/>
  <c r="Z755" i="7" s="1"/>
  <c r="AK671" i="7"/>
  <c r="AK680" i="7" s="1"/>
  <c r="AK681" i="7" s="1"/>
  <c r="AD682" i="7"/>
  <c r="AD755" i="7" s="1"/>
  <c r="AA682" i="7"/>
  <c r="AA755" i="7" s="1"/>
  <c r="R682" i="7"/>
  <c r="R755" i="7" s="1"/>
  <c r="AI682" i="7"/>
  <c r="AI755" i="7" s="1"/>
  <c r="V682" i="7"/>
  <c r="V755" i="7" s="1"/>
  <c r="AC682" i="7"/>
  <c r="AC755" i="7" s="1"/>
  <c r="AK530" i="7"/>
  <c r="AK540" i="7" s="1"/>
  <c r="AK541" i="7" s="1"/>
  <c r="W682" i="7"/>
  <c r="W755" i="7" s="1"/>
  <c r="AK352" i="7"/>
  <c r="AJ682" i="7"/>
  <c r="AJ755" i="7" s="1"/>
  <c r="AH682" i="7"/>
  <c r="AH755" i="7" s="1"/>
  <c r="S682" i="7"/>
  <c r="S755" i="7" s="1"/>
  <c r="AF682" i="7"/>
  <c r="AF755" i="7" s="1"/>
  <c r="AE682" i="7"/>
  <c r="AE755" i="7" s="1"/>
  <c r="AK125" i="7"/>
  <c r="X682" i="7"/>
  <c r="X755" i="7" s="1"/>
  <c r="D36" i="8"/>
  <c r="AK277" i="7"/>
  <c r="AK278" i="7" s="1"/>
  <c r="Y682" i="7"/>
  <c r="Y755" i="7" s="1"/>
  <c r="AK235" i="7"/>
  <c r="AK236" i="7" s="1"/>
  <c r="AK181" i="7"/>
  <c r="AK204" i="7" s="1"/>
  <c r="AK705" i="7"/>
  <c r="AK724" i="7" s="1"/>
  <c r="AK725" i="7" s="1"/>
  <c r="AK754" i="7" s="1"/>
  <c r="AK474" i="7"/>
  <c r="AK475" i="7" s="1"/>
  <c r="D134" i="8"/>
  <c r="D145" i="8" l="1"/>
  <c r="AK682" i="7"/>
  <c r="AK755" i="7" s="1"/>
</calcChain>
</file>

<file path=xl/sharedStrings.xml><?xml version="1.0" encoding="utf-8"?>
<sst xmlns="http://schemas.openxmlformats.org/spreadsheetml/2006/main" count="2025" uniqueCount="1061">
  <si>
    <t xml:space="preserve">CODIGO:  </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</si>
  <si>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</si>
  <si>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</si>
  <si>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</si>
  <si>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</si>
  <si>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</si>
  <si>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</si>
  <si>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</si>
  <si>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</si>
  <si>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</si>
  <si>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</si>
  <si>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</si>
  <si>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</si>
  <si>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LINEA ESPERADA 2018</t>
  </si>
  <si>
    <t>CÓDIGO WEB</t>
  </si>
  <si>
    <t xml:space="preserve">CÓDIGO SECTOR </t>
  </si>
  <si>
    <t>CÓDIGO</t>
  </si>
  <si>
    <t xml:space="preserve">NOMBRE DEL PROYECTO </t>
  </si>
  <si>
    <t>TIPO DE META</t>
  </si>
  <si>
    <t>ESTAMPILLA PRO - CULTURA</t>
  </si>
  <si>
    <t>ESTAMPILLA PRO - ADULTO MAYOR</t>
  </si>
  <si>
    <t>ESTAMPILLA PRO - DESARROLLO</t>
  </si>
  <si>
    <t>CONVENIO ANTICONTRABANDO</t>
  </si>
  <si>
    <t>SGP APORTES PATRONALES -EDUCACION  - CANCELACIÓN DE PRESTACIONES SOCIALES -EDUCACIÓN</t>
  </si>
  <si>
    <t xml:space="preserve">FONDO DE EDUCACION,  PAE, CONVENIO MEN  </t>
  </si>
  <si>
    <t>SGP AGUA POTABLE SSF</t>
  </si>
  <si>
    <t xml:space="preserve">RECURSO ORDINARIO </t>
  </si>
  <si>
    <t xml:space="preserve">LEY 1816 (3% MONOPOLIO LICORES) (DEPORTES) </t>
  </si>
  <si>
    <t>TOTAL 2018</t>
  </si>
  <si>
    <t>PRESUPUESTADO</t>
  </si>
  <si>
    <t>304 -Secretaría Administrativa</t>
  </si>
  <si>
    <t>BUEN GOBIERNO</t>
  </si>
  <si>
    <t>Gestión Territorial</t>
  </si>
  <si>
    <t>Modernización tecnológica y Administrativa</t>
  </si>
  <si>
    <t>37
38</t>
  </si>
  <si>
    <t xml:space="preserve">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</si>
  <si>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</si>
  <si>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</si>
  <si>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</si>
  <si>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</si>
  <si>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</si>
  <si>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</si>
  <si>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</si>
  <si>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</si>
  <si>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</si>
  <si>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</si>
  <si>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</si>
  <si>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</si>
  <si>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Fortalecer el programa de  infraestructura tecnológica de la  Administración Departamental (hadware, aplicativos, redes, y capacitación)</t>
  </si>
  <si>
    <t>201663000-0003</t>
  </si>
  <si>
    <t>Actualización de la infraestructura tecnológica de la Gobernación del Quindío.</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</si>
  <si>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</si>
  <si>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</si>
  <si>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</si>
  <si>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</si>
  <si>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</si>
  <si>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</si>
  <si>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</si>
  <si>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 xml:space="preserve">Realizar un (1) estudio de modernización administrativa en el departamento </t>
  </si>
  <si>
    <t>Implementar un (1) programa de modernización de la gestión documental en el departamento</t>
  </si>
  <si>
    <t>Adquirir  un (1) bien inmueble para adelantar acciones de cara al servicio de la comunidad</t>
  </si>
  <si>
    <t>I</t>
  </si>
  <si>
    <t>305 Secretaría de Planeación</t>
  </si>
  <si>
    <t xml:space="preserve"> </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</si>
  <si>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</si>
  <si>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</si>
  <si>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</si>
  <si>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</si>
  <si>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</si>
  <si>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</si>
  <si>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</si>
  <si>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</si>
  <si>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</si>
  <si>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</si>
  <si>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</si>
  <si>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</si>
  <si>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</si>
  <si>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</si>
  <si>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</si>
  <si>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</si>
  <si>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</si>
  <si>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</si>
  <si>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</si>
  <si>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</si>
  <si>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</si>
  <si>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</si>
  <si>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</si>
  <si>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</si>
  <si>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</si>
  <si>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</si>
  <si>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</si>
  <si>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</si>
  <si>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</si>
  <si>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</si>
  <si>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</si>
  <si>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</si>
  <si>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</si>
  <si>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</si>
  <si>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</si>
  <si>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</si>
  <si>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</si>
  <si>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</si>
  <si>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201663000-0014</t>
  </si>
  <si>
    <t>Asistencia  técnica, seguimiento y evaluación  de la gestión  territorial en los  munipicios del Departamento del  Quindío.</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</si>
  <si>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</si>
  <si>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</si>
  <si>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</si>
  <si>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</si>
  <si>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</si>
  <si>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</si>
  <si>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</si>
  <si>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</si>
  <si>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</si>
  <si>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</si>
  <si>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</si>
  <si>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</si>
  <si>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</si>
  <si>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</si>
  <si>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</si>
  <si>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</si>
  <si>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</si>
  <si>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</si>
  <si>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</si>
  <si>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</si>
  <si>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</si>
  <si>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</si>
  <si>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</si>
  <si>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</si>
  <si>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</si>
  <si>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</si>
  <si>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</si>
  <si>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</si>
  <si>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Realizar ocho (8) estudios y/o diseños para el mantenimiento, mejoramiento y/o rehabilitación de la infraestructura vial en el departamento para la implementación del Plan vial departamental</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</si>
  <si>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</si>
  <si>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</si>
  <si>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</si>
  <si>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</si>
  <si>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</si>
  <si>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</si>
  <si>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</si>
  <si>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</si>
  <si>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</si>
  <si>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</si>
  <si>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cuatro (4) obras físicas de infraestructura de bienestar social, de seguridad y de justicia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</si>
  <si>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</si>
  <si>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</si>
  <si>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</si>
  <si>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</si>
  <si>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Apoyar la construcción, mejoramiento y/o  rehabilitación de la infraestructura de doce (12) escenarios deportivos y/o recreativos en el departamento del Quindío</t>
  </si>
  <si>
    <t>0.50</t>
  </si>
  <si>
    <t>2018003630- 002</t>
  </si>
  <si>
    <t>Construcion Cancha Sintetica y Adecuacion del Polideportivo en el Sector de Naranjal, Quimbaya Quindio</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</si>
  <si>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</si>
  <si>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</si>
  <si>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</si>
  <si>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</si>
  <si>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</si>
  <si>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</si>
  <si>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</si>
  <si>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</si>
  <si>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</si>
  <si>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</si>
  <si>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</si>
  <si>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</si>
  <si>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 xml:space="preserve">Dsiminuir la presión por cargas contaminantes medida por el indice de alteración potencial de la calidad del agua (IACAL), a categoria moderada </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</si>
  <si>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</si>
  <si>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</si>
  <si>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</si>
  <si>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</si>
  <si>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</si>
  <si>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</si>
  <si>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</si>
  <si>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</si>
  <si>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</si>
  <si>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Formular e implementar dos (2) proyectos para la gestión del riesgo del sector de agua potable y saneamiento básico. </t>
  </si>
  <si>
    <t>201663000-0027</t>
  </si>
  <si>
    <t>Formulación y ejecución de proyectos para la gestión del riesgo del sector de agua potable y saneamiento básico en el Departamento del Quindio.</t>
  </si>
  <si>
    <t>SEGURIDAD HUMANA</t>
  </si>
  <si>
    <t>Seguridad humana como dinamizador de la vida, dignidad y libertad en el Quindío </t>
  </si>
  <si>
    <t>FORTALECIMIENTO DE LA SEGURIDAD VIAL DEPARTAMENTAL</t>
  </si>
  <si>
    <t>Implementar un programa para disminuir la accidentalidad en las vías del departamento</t>
  </si>
  <si>
    <t>2018003630-001</t>
  </si>
  <si>
    <t>Implementacion Plataforma Tecnologica para la Recoleccion Actualizada y Analisis de Datos de Siniestralidad Vial, Mapa de Siniestralidad e Insumos linea Base Plan Seguridad Vial Quindio</t>
  </si>
  <si>
    <t>309 Secretaría del Interior</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</si>
  <si>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</si>
  <si>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</si>
  <si>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</si>
  <si>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</si>
  <si>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</si>
  <si>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</si>
  <si>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</si>
  <si>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</si>
  <si>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</si>
  <si>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</si>
  <si>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</si>
  <si>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</si>
  <si>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</si>
  <si>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</si>
  <si>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</si>
  <si>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</si>
  <si>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</si>
  <si>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</si>
  <si>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</si>
  <si>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</si>
  <si>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</si>
  <si>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el código departamental de Policía</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</si>
  <si>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</si>
  <si>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</si>
  <si>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</si>
  <si>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</si>
  <si>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</si>
  <si>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</si>
  <si>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</si>
  <si>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</si>
  <si>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</si>
  <si>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</si>
  <si>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</si>
  <si>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</si>
  <si>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</si>
  <si>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</si>
  <si>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</si>
  <si>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</si>
  <si>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</si>
  <si>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</si>
  <si>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</si>
  <si>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</si>
  <si>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</si>
  <si>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</si>
  <si>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</si>
  <si>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</si>
  <si>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</si>
  <si>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</si>
  <si>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</si>
  <si>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</si>
  <si>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</si>
  <si>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</si>
  <si>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</si>
  <si>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</si>
  <si>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</si>
  <si>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</si>
  <si>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</si>
  <si>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</si>
  <si>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</si>
  <si>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</si>
  <si>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</si>
  <si>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</si>
  <si>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</si>
  <si>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</si>
  <si>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</si>
  <si>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</si>
  <si>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</si>
  <si>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</si>
  <si>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</si>
  <si>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</si>
  <si>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</si>
  <si>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</si>
  <si>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</si>
  <si>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</si>
  <si>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</si>
  <si>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</si>
  <si>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</si>
  <si>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</si>
  <si>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</si>
  <si>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</si>
  <si>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</si>
  <si>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</si>
  <si>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</si>
  <si>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</si>
  <si>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 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</si>
  <si>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</si>
  <si>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</si>
  <si>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</si>
  <si>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</si>
  <si>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</si>
  <si>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</si>
  <si>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</si>
  <si>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</si>
  <si>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8,06% EBS 5,77% EM    
 174,7*100.000
30.7%
24,9%
6 de cada 10</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</si>
  <si>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</si>
  <si>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</si>
  <si>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</si>
  <si>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</si>
  <si>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</si>
  <si>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</si>
  <si>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</si>
  <si>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</si>
  <si>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</si>
  <si>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</si>
  <si>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</si>
  <si>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</si>
  <si>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</si>
  <si>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</si>
  <si>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</si>
  <si>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</si>
  <si>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</si>
  <si>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</si>
  <si>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</si>
  <si>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</si>
  <si>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</si>
  <si>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</si>
  <si>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</si>
  <si>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   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</si>
  <si>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</si>
  <si>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</si>
  <si>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</si>
  <si>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</si>
  <si>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</si>
  <si>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</si>
  <si>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</si>
  <si>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</si>
  <si>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</si>
  <si>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</si>
  <si>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</si>
  <si>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</si>
  <si>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</si>
  <si>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</si>
  <si>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</si>
  <si>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</si>
  <si>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</si>
  <si>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</si>
  <si>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</si>
  <si>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</si>
  <si>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</si>
  <si>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</si>
  <si>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</si>
  <si>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</si>
  <si>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</si>
  <si>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</si>
  <si>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</si>
  <si>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</si>
  <si>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</si>
  <si>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</si>
  <si>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</si>
  <si>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</si>
  <si>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</si>
  <si>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</si>
  <si>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</si>
  <si>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</si>
  <si>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</si>
  <si>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</si>
  <si>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</si>
  <si>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</si>
  <si>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</si>
  <si>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</si>
  <si>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</si>
  <si>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</si>
  <si>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</si>
  <si>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</si>
  <si>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</si>
  <si>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</si>
  <si>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</si>
  <si>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</si>
  <si>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</si>
  <si>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</si>
  <si>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</si>
  <si>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</si>
  <si>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 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</si>
  <si>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</si>
  <si>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</si>
  <si>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</si>
  <si>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</si>
  <si>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</si>
  <si>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</si>
  <si>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</si>
  <si>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</si>
  <si>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</si>
  <si>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</si>
  <si>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</si>
  <si>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</si>
  <si>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</si>
  <si>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</si>
  <si>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</si>
  <si>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</si>
  <si>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</si>
  <si>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</si>
  <si>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</si>
  <si>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</si>
  <si>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</si>
  <si>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</si>
  <si>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</si>
  <si>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</si>
  <si>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</si>
  <si>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</si>
  <si>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Disminuir la presión por cargas contaminantes, medida por el Índice de Alteración Potencial de la Calidad del Agua (IACAL), a categoría “moderada”</t>
  </si>
  <si>
    <t>Muy Alta</t>
  </si>
  <si>
    <t xml:space="preserve">Desarrollar en (5) cinco de los sectores productivos del departamento, actividades de producción más limpia y Buenas  Prácticas Ambientales (BPA) </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</si>
  <si>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</si>
  <si>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</si>
  <si>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</si>
  <si>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</si>
  <si>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</si>
  <si>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</si>
  <si>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</si>
  <si>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2
4</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</si>
  <si>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</si>
  <si>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43,29 m3/s
2.730 Hectareas</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</si>
  <si>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</si>
  <si>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</si>
  <si>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</si>
  <si>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</si>
  <si>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</si>
  <si>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</si>
  <si>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</si>
  <si>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</si>
  <si>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</si>
  <si>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</si>
  <si>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</si>
  <si>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</si>
  <si>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</si>
  <si>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</si>
  <si>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</si>
  <si>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12.9
3.4
31.70</t>
  </si>
  <si>
    <t>8.9
4.6
27</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</si>
  <si>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</si>
  <si>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</si>
  <si>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</si>
  <si>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</si>
  <si>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</si>
  <si>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</si>
  <si>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</si>
  <si>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</si>
  <si>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</si>
  <si>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</si>
  <si>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</si>
  <si>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</si>
  <si>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</si>
  <si>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</si>
  <si>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</si>
  <si>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</si>
  <si>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</si>
  <si>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</si>
  <si>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</si>
  <si>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</si>
  <si>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</si>
  <si>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</si>
  <si>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</si>
  <si>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</si>
  <si>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</si>
  <si>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</si>
  <si>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</si>
  <si>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</si>
  <si>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</si>
  <si>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</si>
  <si>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</si>
  <si>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</si>
  <si>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Realizar (3) tres eventos  de capacitación para acceder a mercados internacionales</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</si>
  <si>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</si>
  <si>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</si>
  <si>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</si>
  <si>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</si>
  <si>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</si>
  <si>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</si>
  <si>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</si>
  <si>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</si>
  <si>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</si>
  <si>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</si>
  <si>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</si>
  <si>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</si>
  <si>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</si>
  <si>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</si>
  <si>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</si>
  <si>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</si>
  <si>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</si>
  <si>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</si>
  <si>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</si>
  <si>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</si>
  <si>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</si>
  <si>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</si>
  <si>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</si>
  <si>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</si>
  <si>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</si>
  <si>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</si>
  <si>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</si>
  <si>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</si>
  <si>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</si>
  <si>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</si>
  <si>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</si>
  <si>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</si>
  <si>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</si>
  <si>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</si>
  <si>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</si>
  <si>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</si>
  <si>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</si>
  <si>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8.06  EBS
5.77 EM </t>
  </si>
  <si>
    <t>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</si>
  <si>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</si>
  <si>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</si>
  <si>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</si>
  <si>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</si>
  <si>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</si>
  <si>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</si>
  <si>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</si>
  <si>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</si>
  <si>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8.06 EBS
5.77 EM </t>
  </si>
  <si>
    <t>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</si>
  <si>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</si>
  <si>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</si>
  <si>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</si>
  <si>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</si>
  <si>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</si>
  <si>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</si>
  <si>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</si>
  <si>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</si>
  <si>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</si>
  <si>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</si>
  <si>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</si>
  <si>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</si>
  <si>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</si>
  <si>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</si>
  <si>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</si>
  <si>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</si>
  <si>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</si>
  <si>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</si>
  <si>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</si>
  <si>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</si>
  <si>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</si>
  <si>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</si>
  <si>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</si>
  <si>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</si>
  <si>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</si>
  <si>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</si>
  <si>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</si>
  <si>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</si>
  <si>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</si>
  <si>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</si>
  <si>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</si>
  <si>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</si>
  <si>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</si>
  <si>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</si>
  <si>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8.06   EBS
5.77 EM </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</si>
  <si>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</si>
  <si>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</si>
  <si>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</si>
  <si>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</si>
  <si>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</si>
  <si>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</si>
  <si>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</si>
  <si>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</si>
  <si>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</si>
  <si>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</si>
  <si>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</si>
  <si>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</si>
  <si>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</si>
  <si>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</si>
  <si>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3
78
5 EBS
 4 EM </t>
  </si>
  <si>
    <t>Contar con cincuenta y dos (52) instituciones educativas con  mayor eficiencia en la gestión de sus procesos y proyectos  ante la entidad  territorial y la Secretaria de Educación Departamental</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</si>
  <si>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</si>
  <si>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</si>
  <si>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</si>
  <si>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</si>
  <si>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</si>
  <si>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</si>
  <si>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</si>
  <si>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</si>
  <si>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</si>
  <si>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</si>
  <si>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</si>
  <si>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</si>
  <si>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</si>
  <si>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</si>
  <si>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</si>
  <si>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</si>
  <si>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</si>
  <si>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</si>
  <si>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</si>
  <si>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</si>
  <si>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</si>
  <si>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</si>
  <si>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</si>
  <si>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</si>
  <si>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</si>
  <si>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</si>
  <si>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</si>
  <si>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</si>
  <si>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</si>
  <si>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14
15
19 </t>
  </si>
  <si>
    <t>6.20
73.23
8.06 EBS
5.77 EM         </t>
  </si>
  <si>
    <t>3
78
5 EBS
4 EM </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</si>
  <si>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</si>
  <si>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</si>
  <si>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</si>
  <si>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</si>
  <si>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</si>
  <si>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</si>
  <si>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</si>
  <si>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</si>
  <si>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</si>
  <si>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</si>
  <si>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</si>
  <si>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</si>
  <si>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</si>
  <si>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6.20
73.23
8.06 EBS
5.77 EM</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</si>
  <si>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</si>
  <si>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</si>
  <si>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</si>
  <si>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</si>
  <si>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</si>
  <si>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</si>
  <si>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</si>
  <si>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</si>
  <si>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</si>
  <si>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</si>
  <si>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</si>
  <si>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</si>
  <si>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2.1/100
13/100.000
8.8/1000
11.34/1000
0</t>
  </si>
  <si>
    <t>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</si>
  <si>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</si>
  <si>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</si>
  <si>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</si>
  <si>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</si>
  <si>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</si>
  <si>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24                                                 25                                                 29                                    30                                         33</t>
  </si>
  <si>
    <t xml:space="preserve">2.1/100                    13/100.000                                    8.8/1000                 11.34/1000                 0                      </t>
  </si>
  <si>
    <t xml:space="preserve"> 2.1/100                                         10/100.000                           8.8/1000                               11.34/1000                                 0</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</si>
  <si>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</si>
  <si>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</si>
  <si>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</si>
  <si>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</si>
  <si>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</si>
  <si>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</si>
  <si>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</si>
  <si>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</si>
  <si>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</si>
  <si>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</si>
  <si>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</si>
  <si>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</si>
  <si>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</si>
  <si>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</si>
  <si>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</si>
  <si>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</si>
  <si>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</si>
  <si>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</si>
  <si>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</si>
  <si>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</si>
  <si>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</si>
  <si>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</si>
  <si>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</si>
  <si>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</si>
  <si>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</si>
  <si>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</si>
  <si>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</si>
  <si>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</si>
  <si>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</si>
  <si>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</si>
  <si>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</si>
  <si>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</si>
  <si>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12"/>
        <color theme="1"/>
        <rFont val="Arial"/>
        <family val="2"/>
      </rPr>
      <t xml:space="preserve"> 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</si>
  <si>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</si>
  <si>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</si>
  <si>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</si>
  <si>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</si>
  <si>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</si>
  <si>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</si>
  <si>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</si>
  <si>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</si>
  <si>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</si>
  <si>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</si>
  <si>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</si>
  <si>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</si>
  <si>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Diseño e implementación  de una estrategia para la atención de la  población  en vulnerabiliadad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</si>
  <si>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</si>
  <si>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</si>
  <si>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</si>
  <si>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</si>
  <si>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</si>
  <si>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</si>
  <si>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</si>
  <si>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</si>
  <si>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</si>
  <si>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</si>
  <si>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</si>
  <si>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</si>
  <si>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</si>
  <si>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</si>
  <si>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</si>
  <si>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</si>
  <si>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</si>
  <si>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r>
      <t xml:space="preserve"> </t>
    </r>
    <r>
      <rPr>
        <sz val="12"/>
        <color theme="1"/>
        <rFont val="Arial"/>
        <family val="2"/>
      </rPr>
      <t xml:space="preserve"> 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</si>
  <si>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</si>
  <si>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</si>
  <si>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</si>
  <si>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</si>
  <si>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</si>
  <si>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</si>
  <si>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12"/>
        <color theme="1"/>
        <rFont val="Arial"/>
        <family val="2"/>
      </rPr>
      <t xml:space="preserve"> 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</si>
  <si>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</si>
  <si>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</si>
  <si>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</si>
  <si>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</si>
  <si>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</si>
  <si>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</si>
  <si>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</si>
  <si>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</si>
  <si>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</si>
  <si>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</si>
  <si>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</si>
  <si>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</si>
  <si>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</si>
  <si>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</si>
  <si>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</si>
  <si>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</si>
  <si>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</si>
  <si>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</si>
  <si>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</si>
  <si>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</si>
  <si>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</si>
  <si>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</si>
  <si>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</si>
  <si>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</si>
  <si>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</si>
  <si>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</si>
  <si>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</si>
  <si>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</si>
  <si>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</si>
  <si>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</si>
  <si>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</si>
  <si>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</si>
  <si>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</si>
  <si>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</si>
  <si>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</si>
  <si>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</si>
  <si>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</si>
  <si>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</si>
  <si>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</si>
  <si>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</si>
  <si>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</si>
  <si>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12"/>
        <color theme="1"/>
        <rFont val="Arial"/>
        <family val="2"/>
      </rPr>
      <t xml:space="preserve"> 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</si>
  <si>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</si>
  <si>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</si>
  <si>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</si>
  <si>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</si>
  <si>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</si>
  <si>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</si>
  <si>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</si>
  <si>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</si>
  <si>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</si>
  <si>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</si>
  <si>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</si>
  <si>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</si>
  <si>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</si>
  <si>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</si>
  <si>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</si>
  <si>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</si>
  <si>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</si>
  <si>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</si>
  <si>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</si>
  <si>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</si>
  <si>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</si>
  <si>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</si>
  <si>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</si>
  <si>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</si>
  <si>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</si>
  <si>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</si>
  <si>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</si>
  <si>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</si>
  <si>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</si>
  <si>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</si>
  <si>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</si>
  <si>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</si>
  <si>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</si>
  <si>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</si>
  <si>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</si>
  <si>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</si>
  <si>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</si>
  <si>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</si>
  <si>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</si>
  <si>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</si>
  <si>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</si>
  <si>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</si>
  <si>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12"/>
        <color theme="1"/>
        <rFont val="Arial"/>
        <family val="2"/>
      </rPr>
      <t xml:space="preserve"> 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</si>
  <si>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</si>
  <si>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</si>
  <si>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</si>
  <si>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</si>
  <si>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</si>
  <si>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</si>
  <si>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</si>
  <si>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</si>
  <si>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</si>
  <si>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</si>
  <si>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</si>
  <si>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</si>
  <si>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</si>
  <si>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</si>
  <si>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</si>
  <si>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</si>
  <si>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</si>
  <si>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</si>
  <si>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</si>
  <si>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</si>
  <si>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</si>
  <si>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</si>
  <si>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</si>
  <si>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</si>
  <si>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</si>
  <si>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12"/>
        <color theme="1"/>
        <rFont val="Arial"/>
        <family val="2"/>
      </rPr>
      <t xml:space="preserve"> 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</si>
  <si>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</si>
  <si>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</si>
  <si>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</si>
  <si>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</si>
  <si>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</si>
  <si>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</si>
  <si>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12"/>
        <color theme="1"/>
        <rFont val="Arial"/>
        <family val="2"/>
      </rPr>
      <t>  Aumentar el % de personas discapacitadas atendidas</t>
    </r>
  </si>
  <si>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</si>
  <si>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</si>
  <si>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</si>
  <si>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</si>
  <si>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</si>
  <si>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</si>
  <si>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</si>
  <si>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</si>
  <si>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</si>
  <si>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</si>
  <si>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</si>
  <si>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</si>
  <si>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</si>
  <si>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</si>
  <si>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</si>
  <si>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</si>
  <si>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</si>
  <si>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</si>
  <si>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</si>
  <si>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</si>
  <si>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</si>
  <si>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</si>
  <si>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</si>
  <si>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</si>
  <si>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</si>
  <si>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</si>
  <si>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</si>
  <si>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</si>
  <si>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</si>
  <si>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</si>
  <si>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</si>
  <si>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</si>
  <si>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</si>
  <si>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</si>
  <si>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</si>
  <si>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</si>
  <si>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</si>
  <si>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</si>
  <si>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</si>
  <si>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</si>
  <si>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</si>
  <si>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</si>
  <si>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</si>
  <si>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</si>
  <si>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</si>
  <si>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</si>
  <si>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</si>
  <si>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</si>
  <si>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</si>
  <si>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</si>
  <si>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</si>
  <si>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</si>
  <si>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</si>
  <si>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</si>
  <si>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</si>
  <si>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</si>
  <si>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</si>
  <si>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</si>
  <si>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</si>
  <si>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</si>
  <si>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</si>
  <si>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</si>
  <si>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</si>
  <si>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</si>
  <si>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</si>
  <si>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</si>
  <si>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</si>
  <si>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</si>
  <si>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</si>
  <si>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</si>
  <si>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</si>
  <si>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Mejorar el % de ejecución presupuestal</t>
  </si>
  <si>
    <t>Seguimiento trimestral a la ejecución presupuestal de los recursos del Sector Salud</t>
  </si>
  <si>
    <t>TOTAL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</si>
  <si>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</si>
  <si>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</si>
  <si>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</si>
  <si>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</si>
  <si>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</si>
  <si>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</si>
  <si>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</si>
  <si>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</si>
  <si>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</si>
  <si>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</si>
  <si>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</si>
  <si>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</si>
  <si>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</si>
  <si>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</si>
  <si>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</si>
  <si>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</si>
  <si>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</si>
  <si>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</si>
  <si>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</si>
  <si>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</si>
  <si>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</si>
  <si>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</si>
  <si>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</si>
  <si>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</si>
  <si>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</si>
  <si>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</si>
  <si>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</si>
  <si>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</si>
  <si>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</si>
  <si>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</si>
  <si>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</si>
  <si>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</si>
  <si>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</si>
  <si>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</si>
  <si>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</si>
  <si>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</si>
  <si>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</si>
  <si>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</si>
  <si>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</si>
  <si>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</si>
  <si>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</si>
  <si>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</si>
  <si>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</si>
  <si>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</si>
  <si>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</si>
  <si>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</si>
  <si>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</si>
  <si>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</si>
  <si>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</si>
  <si>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</si>
  <si>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</si>
  <si>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</si>
  <si>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</si>
  <si>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</si>
  <si>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  CONTRIBUCION ESPECIAL           (FONDO DE SEGURIDAD 5%)  (92) (42)</t>
  </si>
  <si>
    <t> SOBRETASA AL ACPM  (23)(89)</t>
  </si>
  <si>
    <t> MONOPOLIO EDUCACIÓN  51% DESTINACION ESPECIFICA   (91)</t>
  </si>
  <si>
    <t> SGP PRESTACION DE SERVCIOS  (59)</t>
  </si>
  <si>
    <t>    FONDO LOCAL DE SALUD  - RENTAS CEDIDAS   
(58)(71)(72)(96)(155)   </t>
  </si>
  <si>
    <t> FONDO LOCAL DE SALUD  - ESTUPEFACIENTES -  LEY 1393  -LOTERIAS-RIFAS-PREMIOS 
(100)</t>
  </si>
  <si>
    <t>   SGP PRESTACIÓN DE SERVICIOS - EDUCACIÓN  - CONECTIVIDAD (09)(25)(21)  </t>
  </si>
  <si>
    <t>   OTROS (IVA TELEFONIA MÓVIL  - REGISTRO- MATERIAL RIO)
(152)    </t>
  </si>
  <si>
    <t>   RECURSOS DEL CREDITO 
(46)</t>
  </si>
  <si>
    <t>       NACIÓN  - COFINANCIACIÓN 
(65)(110)(111)(145)(149)(148)(151)    </t>
  </si>
  <si>
    <t xml:space="preserve">  </t>
  </si>
  <si>
    <t>Implementación de un programa  de  modernización de la gestión administrativa en el Departamento del Quindio</t>
  </si>
  <si>
    <t>0,98</t>
  </si>
  <si>
    <t>Realización procesos de capacitación,  asistencia técnica, seguimiento  y evaluación en la aplicabilidad de los componentes   del Índice de Transparencia en el Departamento del Quindio</t>
  </si>
  <si>
    <t>Realización procesos de Rendición Publica de Cuentas Departamentales enlos  entes territoriales municipales del Departamento del Quindio </t>
  </si>
  <si>
    <t> Diseño e implementación instrumentos de  planificación para el  ordenamiento  territorial, social y económico del  Departamento del Quindio </t>
  </si>
  <si>
    <t>Diseño    e implementación del Observatorio  de Desarrollo Humano en el Departamento del Quindio </t>
  </si>
  <si>
    <t>Diseño  e implementación del Tablero de Control  para el seguimiento y evalución del Plan de Desarrollo y las Políticas Públicas del  Departamento del Quindio</t>
  </si>
  <si>
    <t> Implementación Sistema de Cooperación Internacional y  de Gestión de proyectos  del Depratamento del Quindío - " Fabrica de Proyectos</t>
  </si>
  <si>
    <t>Actualizar y/o  ajustar el Sistema Integrado de Gestión Administrativa SIGA del Departamento del Quindío </t>
  </si>
  <si>
    <t>Implementar el Comité  de Planificación  Departamental   </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</si>
  <si>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</si>
  <si>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</si>
  <si>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Mejoramiento de la sostenibilidad de los procesos de fiscalización liquidación control y cobranza de los tributos en el Departamento del Quindío</t>
  </si>
  <si>
    <t>Implementación de un programa de gestión fianciera para la optimización de los procesos en el area de tesorería, presupuesto y contabilidad en el Departamento del Quindio </t>
  </si>
  <si>
    <t>Actualización e implementación del  Plan Ambiental para el sector de agua potable y saneamiento básico en el Departamento del Quindio</t>
  </si>
  <si>
    <t>Construcción integral de la seguridad humana en el Departamento de Quindio.  </t>
  </si>
  <si>
    <t>Apoyo a la convivencia, justicia y cultura de paz en el Departamento del  Quindio.</t>
  </si>
  <si>
    <t>Implementación del Plan Integral de prevención de vulneraciones de los Derechos Humanos DDHH e infracciones  al Derecho Internacional Humanitario DIH en el departamento del Quindio</t>
  </si>
  <si>
    <t>Administración del  riesgo mediante el conocimiento, la reducción y el manejo del desastre  en el Departamento del Quindio. </t>
  </si>
  <si>
    <t>Apoyo institucional en la gestión del riesgo  en el Departamento del Quindio</t>
  </si>
  <si>
    <t>Fortalecimiento de las veedurias ciudadanas en el Departamento del Quindio </t>
  </si>
  <si>
    <t>Desarrollo de los Organismos Comunales en el Departamento del Quindio </t>
  </si>
  <si>
    <t>Apoyo a seguridad social del creador y gestor cultural del Departamento del Quindio </t>
  </si>
  <si>
    <t>Fortalecimiento y promoción del  emprendimiento cultural y las industrias creativas en el Departamento </t>
  </si>
  <si>
    <t> Fortalecimiento al  Plan Departamental  de lectura, escritura y bibliotecas en el Departamento del Quindio .</t>
  </si>
  <si>
    <t>Apoyo al mejoramiento de la competitividad a iniciativas  productivas en el  Departamento del Quindío</t>
  </si>
  <si>
    <t> Fortalecimiento de  la   competitividad  a través de la  gestión de la innovación  y la tecnocología en el Departamento del Quindio</t>
  </si>
  <si>
    <t> Apoyo al emprendimiento, empresarismo, asociatividad y generación de empleo en el departamento del Quindío.</t>
  </si>
  <si>
    <t>Fortalecimiento del sector empresarial  hacia mercados globales en el Departamento del Quindio .   </t>
  </si>
  <si>
    <t>Apoyo a la competitividad  como destino turístico en el Departamento del Quindío.</t>
  </si>
  <si>
    <t>Apoyo a la promoción nacional e internacional como destino  turísmo del Departamento del Quindío.</t>
  </si>
  <si>
    <t>Fortalecimiento  y potencialización de los servicios ecosistemicos en el Departamento del Quindío</t>
  </si>
  <si>
    <t>Fortalecimiento e innovación empresarial  de la caficultura en el Departamento del Quindio</t>
  </si>
  <si>
    <t>Creacion e implementacion de los centros agroindustriales para  la paz CAPAZ en el Deparamento del Quindio</t>
  </si>
  <si>
    <t>Fomento al emprendimiento y  al empleo rural en el Departamento del Quindío  </t>
  </si>
  <si>
    <t>Fomento a la agricultura familiar , urbana y  mercados campesinos para la soberanía y  Seguridad alimentaria en el Departamento del Quindio.</t>
  </si>
  <si>
    <t>Desarrollar y fortalecer la cultura de la transparencia, participación, buen gobierno  y valores éticos y morales en el Departamento del Quindio</t>
  </si>
  <si>
    <t>Implementación de  la estrategia de comunicaciones para  la divulgación de  los programas, proyectos,  actividades y servicios del Departamento del Quindío </t>
  </si>
  <si>
    <t> Fortalecimiento de las estrategias para el acceso,  permanencia y seguridad  de los niños, niñas y jóvenes en el  sistema  educativo del Departamento del Quindio. </t>
  </si>
  <si>
    <t>Implementación de estrategias de inclusión para garantizar la atención educativa a población vulnerable en el  Departamento del  Quindío.</t>
  </si>
  <si>
    <t xml:space="preserve">
Implementación de  estrategias para el mejoramiento continuo del indice sintetico de calidad educativa en los niveles de básica primaria, básica secundaria y nivel de media en el Departamento del Quindio 
</t>
  </si>
  <si>
    <t>Mejoramiento de ambientes escolares y  fortalecimiento de modelos educativos articuladores de la ciencia, los lenguajes, las artes y el deporte en el Departamento del Quindio</t>
  </si>
  <si>
    <t>Implementación de  estrategias educativas en  lectura y escritura en las instituciones educativas en el Departamento del Quindío.</t>
  </si>
  <si>
    <t>Fortalecimiento de los niveles de educación  básica y media para la articulación con la educación terciaria en el Departamento del Quindio </t>
  </si>
  <si>
    <t>Fortalecimiento de los niveles de eficiencia administrativa en la Secretaría de Educación Departamental del Quindío </t>
  </si>
  <si>
    <t>Fortalecimiento de las herramientas tecnológicas en las Instituciones Educativas del Departamento del Quindío </t>
  </si>
  <si>
    <t>Funcionamiento y Prestación de Servicios del Sector Educativo del nivel Central  en el Departamento del Quindio</t>
  </si>
  <si>
    <t>Mejoramiento  de la gestión admnistrativa y docente para la eficiencia del bienestar laboral   del Departamento del Quindio</t>
  </si>
  <si>
    <t>Implementación del modelo de atención integral de la educación inicial en el Departamento del  Quindio. </t>
  </si>
  <si>
    <t>Formulación e implementación de  la politica pública  de la familia en el departamento del Quindio</t>
  </si>
  <si>
    <t>Implementación de la  política de primera infancia, infancia y adolescencia en el Departamento del Quindio</t>
  </si>
  <si>
    <t>Desarrollo de acciones encaminadas a la atención integral  de los adolescentes y jóvenes del Departamento del Quindio</t>
  </si>
  <si>
    <t>Actualización e implementación  de   la política pública departamental de discapacidad  "Capacidad sin limites" en el Quindio.</t>
  </si>
  <si>
    <t>Implementación del programa  para la atención y acompañamiento  del ciudadano migrante  y de repatración en el Departamento del Quindio.</t>
  </si>
  <si>
    <t>Fortalecimiento resguardo  indígena DACHI AGORE DRUA del municipio de Calarcá del Departamento del Quindío.</t>
  </si>
  <si>
    <t>Implementación de un  programa de atención integral a la población  afrodescendiente en el Departamento del Quindio </t>
  </si>
  <si>
    <t>Fomulación e implementación de la politca pública  de diversidad sexual en el Departamento del Quindio</t>
  </si>
  <si>
    <t>Apoyo y bienestar integral a las personas mayores del Departamento del Quindio </t>
  </si>
  <si>
    <t>Aprovechamiento biológico y consumo de  alimentos idóneos  en el Departamento del Quindio</t>
  </si>
  <si>
    <t>Fortalecimiento de acciones de intervención inherentes a los derechos sexuales y reproductivos  en el Departamento del Quindio.</t>
  </si>
  <si>
    <t>Control y vigilancia en las acciones de condiciones no transmisibles y promoción de estilos de vida saludable en el Quindio  </t>
  </si>
  <si>
    <t>Fortalecimiento de estrategia de gestión integral, vectores, cambio climático y zoonosis en el Departamento  del Quindio </t>
  </si>
  <si>
    <t>Fortalecimiento de la inclusión social para la disminución de riesgos de contraer enfermedades transmisibles  en el Departamento del Quindio </t>
  </si>
  <si>
    <t>Prevención en emergencias y desastres de eventos relacionados con la salud pública en el Departamento del  Quindio</t>
  </si>
  <si>
    <t> Prevención vigilancia y control de eventos de origen laboral en el Departamento del Quindío.</t>
  </si>
  <si>
    <t>Fortalecimiento de la autoridad sanitaria en el Departamento del Quindio </t>
  </si>
  <si>
    <t>Implementación de programas de promoción social en poblaciones  especiales en el Departamento del Quindío.</t>
  </si>
  <si>
    <t>Asistencia atención a las personas y prioridades en salud pública en el  Departamento del Quindío- Plan de Intervenciones Colectivas PIC. </t>
  </si>
  <si>
    <t>Fortalecimiento de las actividades de vigilancia y control del laboratorio de salud pública en el Departamento del Quindio </t>
  </si>
  <si>
    <t>Prestación de Servicios a la Población no Afiliada al Sistema General de Seguridad Social en Salud  y en los no POS  a la Población Afiliada al Régimen Subsidiado.</t>
  </si>
  <si>
    <t>Asistencia técnica para el fortalecimiento de la gestión de las entidades territoriales del Departamento del Quindio </t>
  </si>
  <si>
    <t>Fortalecimiento de la red de urgencias y emergencias en el Departamento del Quindio </t>
  </si>
  <si>
    <t>Fortalecimiento de la red de prestación de servicios pública  del Departamento del Quindío</t>
  </si>
  <si>
    <t>apoyar y gestionar  3 procesos administrativos y misionales por parte de la Dirección estratégica.</t>
  </si>
  <si>
    <t>OFICINA PRIVADA</t>
  </si>
  <si>
    <t>INDEPORTES</t>
  </si>
  <si>
    <t>GOBERNACIÓN DEL QUINDÍO</t>
  </si>
  <si>
    <t>SECRETARIA DE PLANEACÍON</t>
  </si>
  <si>
    <t xml:space="preserve"> PROYECTOS VIGENCIA 2018</t>
  </si>
  <si>
    <t>No.</t>
  </si>
  <si>
    <t>Identificación Proyecto</t>
  </si>
  <si>
    <t>Nombre proyecto</t>
  </si>
  <si>
    <t>Valor Proyecto</t>
  </si>
  <si>
    <t>SECRETARIA ADMINISTRATIVA</t>
  </si>
  <si>
    <t>SECRETARIA DE PLANEACIÓN</t>
  </si>
  <si>
    <t>SECRETARIA DE HACIENDA</t>
  </si>
  <si>
    <t>SECRETARIA DE AGUAS E INFRAESTRUCTURA</t>
  </si>
  <si>
    <t>2018003630-002</t>
  </si>
  <si>
    <t>Construcción Cancha Sintetica y Adecuacion del Polideportivo en el Sector de Naranjal, Quimbaya Quindio</t>
  </si>
  <si>
    <t>SECRETARIA DEL INTERIOR</t>
  </si>
  <si>
    <t>SECRETARIA DE CULTURA</t>
  </si>
  <si>
    <t>Fortalecimiento de la comunicación, la ciudadanía  y el sistema departamental de cultura  en el Quindio.</t>
  </si>
  <si>
    <t>SECRETARIA DE INDUSTRIA, COMERCIO Y TURISMO</t>
  </si>
  <si>
    <t>SECRETARIA DE AGRICULTURA, DESARROLLO RURAL Y MEDIO AMBIENTE</t>
  </si>
  <si>
    <t>Creacion e implementacion de los centros agroindustriales para  la paz CARPAZ en el Deparamento del Quindio</t>
  </si>
  <si>
    <t xml:space="preserve">SECRETARIA DE EDUCACIÓN </t>
  </si>
  <si>
    <t xml:space="preserve">Implementación de  estrategias para el mejoramiento continuo del indice sintetico de calidad educativa en los niveles de básica primaria, básica secundaria y nivel de media en el Departamento del Quindio </t>
  </si>
  <si>
    <t>SECRETARIA DE FAMILIA</t>
  </si>
  <si>
    <t xml:space="preserve">Diseño e implementación  de una estrategia para la atención de la  población  en vulnerabilidad extrema  en el Departamento del Quindio  </t>
  </si>
  <si>
    <t>OFICINA DE REPRESENTACIÓN JUDICIAL</t>
  </si>
  <si>
    <t>SECRETARIA DE SALUD</t>
  </si>
  <si>
    <t>Aprovechamiento biológico y consumo de  alimentos idoneos en el Departamento del Quindio</t>
  </si>
  <si>
    <t>Apoyo a la Recreación,  para el Bien Común en el Departamento del Quindío</t>
  </si>
  <si>
    <t>Apoyo a la actividad fisica, salud y productividad en el Departamento del Quindio</t>
  </si>
  <si>
    <t>PROMOTORA DE VIVIENDA</t>
  </si>
  <si>
    <t>I.D.T.Q.</t>
  </si>
  <si>
    <t>TOTAL:</t>
  </si>
  <si>
    <t> SGP SALÚD PUBLICA  </t>
  </si>
  <si>
    <t>III TRIMESTRE 2018</t>
  </si>
  <si>
    <t xml:space="preserve"> Igualar la tasa de desempleo del Departamento al promedio nacional para el 2019
Aumentar el 20%, en pesos constantes, el valor de “hoteles, restaurantes, bares y similares” en el PIB.  </t>
  </si>
  <si>
    <t xml:space="preserve">Igualar la tasa de desempleo del departamento al promedio nacional para el 2019
Equiparar el crecimiento del PIB del departamento  del Quindio al PIB Nacional
Disminuir el Procentajes de personas en situción de pobreza                                                                                                                                                       </t>
  </si>
  <si>
    <t>5
6
7</t>
  </si>
  <si>
    <t xml:space="preserve">Declarar al Departamento  libre de analfabetismo
Aumentar la cobertura neta en la educación secundaria en el departamento del Quindio.
Disminuir la proporción de niños que desertan en educación básica secundaria y media.                                                                                                      </t>
  </si>
  <si>
    <t xml:space="preserve">14
15
19 </t>
  </si>
  <si>
    <t>Declarar al Departamento  libre de analfabetismo
Aumentar la cobertura neta en la educación secundaria en el departamento del Quindio.
 Disminuir la proporción de niños que desertan en educación básica secundaria y media.</t>
  </si>
  <si>
    <t>14
15
19 </t>
  </si>
  <si>
    <t>24
25
26
29
30
     PTS</t>
  </si>
  <si>
    <t>F-PLA-42</t>
  </si>
  <si>
    <t>PLAN OPERATIVO ANUAL DE INVERSIONES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</si>
</sst>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_(* #,##0_);_(* \(#,##0\);_(* &quot;-&quot;??_);_(@_)"/>
    <numFmt numFmtId="166" formatCode="_-* #,##0_-;\-* #,##0_-;_-* &quot;-&quot;??_-;_-@_-"/>
  </numFmts>
  <fonts count="19" x14ac:knownFonts="1">
    <font>
      <sz val="11"/>
      <color theme="1"/>
      <name val="Calibri"/>
      <family val="2"/>
      <scheme val="minor"/>
    </font>
    <font>
      <sz val="11"/>
      <color theme="1"/>
      <name val="Calibri"/>
      <family val="2"/>
      <scheme val="minor"/>
    </font>
    <font>
      <b/>
      <sz val="14"/>
      <name val="Arial"/>
      <family val="2"/>
    </font>
    <font>
      <b/>
      <sz val="12"/>
      <name val="Arial"/>
      <family val="2"/>
    </font>
    <font>
      <b/>
      <sz val="11"/>
      <name val="Arial"/>
      <family val="2"/>
    </font>
    <font>
      <b/>
      <sz val="10"/>
      <name val="Arial"/>
      <family val="2"/>
    </font>
    <font>
      <sz val="11"/>
      <color indexed="8"/>
      <name val="Calibri"/>
      <family val="2"/>
    </font>
    <font>
      <b/>
      <sz val="16"/>
      <name val="Arial"/>
      <family val="2"/>
    </font>
    <font>
      <sz val="11"/>
      <name val="Arial"/>
      <family val="2"/>
    </font>
    <font>
      <sz val="11"/>
      <color theme="1"/>
      <name val="Arial"/>
      <family val="2"/>
    </font>
    <font>
      <sz val="12"/>
      <name val="Arial"/>
      <family val="2"/>
    </font>
    <font>
      <sz val="10"/>
      <name val="Arial"/>
      <family val="2"/>
    </font>
    <font>
      <sz val="12"/>
      <color theme="1"/>
      <name val="Arial"/>
      <family val="2"/>
    </font>
    <font>
      <sz val="12"/>
      <color rgb="FF000000"/>
      <name val="Arial"/>
      <family val="2"/>
    </font>
    <font>
      <b/>
      <sz val="12"/>
      <color theme="1"/>
      <name val="Arial"/>
      <family val="2"/>
    </font>
    <font>
      <sz val="12"/>
      <color indexed="8"/>
      <name val="Arial"/>
      <family val="2"/>
    </font>
    <font>
      <sz val="12"/>
      <color rgb="FFFF0000"/>
      <name val="Arial"/>
      <family val="2"/>
    </font>
    <font>
      <b/>
      <sz val="11"/>
      <color theme="0"/>
      <name val="Arial"/>
      <family val="2"/>
    </font>
    <font>
      <b/>
      <sz val="10"/>
      <color rgb="FFFF0000"/>
      <name val="Arial"/>
      <family val="2"/>
    </font>
  </fonts>
  <fills count="1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indexed="47"/>
        <bgColor indexed="64"/>
      </patternFill>
    </fill>
    <fill>
      <patternFill patternType="solid">
        <fgColor indexed="2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2" tint="-0.249977111117893"/>
        <bgColor indexed="64"/>
      </patternFill>
    </fill>
    <fill>
      <patternFill patternType="solid">
        <fgColor rgb="FFFFFFFF"/>
        <bgColor indexed="64"/>
      </patternFill>
    </fill>
    <fill>
      <patternFill patternType="solid">
        <fgColor rgb="FFC00000"/>
        <bgColor indexed="64"/>
      </patternFill>
    </fill>
    <fill>
      <patternFill patternType="solid">
        <fgColor theme="3" tint="0.79998168889431442"/>
        <bgColor indexed="64"/>
      </patternFill>
    </fill>
    <fill>
      <patternFill patternType="solid">
        <fgColor theme="3" tint="0.59999389629810485"/>
        <bgColor indexed="64"/>
      </patternFill>
    </fill>
  </fills>
  <borders count="1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thin">
        <color indexed="64"/>
      </bottom>
      <diagonal/>
    </border>
    <border>
      <left/>
      <right style="thin">
        <color auto="1"/>
      </right>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auto="1"/>
      </bottom>
      <diagonal/>
    </border>
    <border>
      <left style="thin">
        <color indexed="64"/>
      </left>
      <right style="thin">
        <color indexed="64"/>
      </right>
      <top/>
      <bottom style="double">
        <color indexed="64"/>
      </bottom>
      <diagonal/>
    </border>
  </borders>
  <cellStyleXfs count="4">
    <xf numFmtId="0" fontId="0" fillId="0" borderId="0"/>
    <xf numFmtId="43"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861">
    <xf numFmtId="0" fontId="0" fillId="0" borderId="0" xfId="0"/>
    <xf numFmtId="0" fontId="5" fillId="0" borderId="0" xfId="0" applyFont="1" applyAlignment="1">
      <alignment horizontal="center" vertical="center"/>
    </xf>
    <xf numFmtId="0" fontId="7" fillId="0" borderId="0" xfId="0" applyFont="1" applyAlignment="1">
      <alignment vertical="center"/>
    </xf>
    <xf numFmtId="0" fontId="10" fillId="7" borderId="2" xfId="0" applyFont="1" applyFill="1" applyBorder="1" applyAlignment="1">
      <alignment horizontal="right" vertical="center" wrapText="1"/>
    </xf>
    <xf numFmtId="0" fontId="10" fillId="6" borderId="2" xfId="0" applyFont="1" applyFill="1" applyBorder="1" applyAlignment="1">
      <alignment horizontal="right" vertical="center" wrapText="1"/>
    </xf>
    <xf numFmtId="0" fontId="7" fillId="2" borderId="0" xfId="0" applyFont="1" applyFill="1" applyAlignment="1">
      <alignment vertical="center"/>
    </xf>
    <xf numFmtId="0" fontId="7" fillId="3" borderId="0" xfId="0" applyFont="1" applyFill="1" applyAlignment="1">
      <alignment vertical="center"/>
    </xf>
    <xf numFmtId="0" fontId="4" fillId="0" borderId="13" xfId="0" applyFont="1" applyBorder="1" applyAlignment="1">
      <alignment horizontal="center" vertical="center"/>
    </xf>
    <xf numFmtId="0" fontId="7" fillId="0" borderId="0" xfId="0" applyFont="1" applyAlignment="1">
      <alignment vertical="center" wrapText="1"/>
    </xf>
    <xf numFmtId="0" fontId="8" fillId="0" borderId="0" xfId="0" applyFont="1"/>
    <xf numFmtId="0" fontId="7" fillId="0" borderId="0" xfId="0" applyFont="1" applyAlignment="1">
      <alignment horizontal="right" vertical="center"/>
    </xf>
    <xf numFmtId="43" fontId="8" fillId="0" borderId="2" xfId="1" applyFont="1" applyBorder="1" applyAlignment="1">
      <alignment horizontal="center" vertical="center"/>
    </xf>
    <xf numFmtId="43" fontId="9" fillId="0" borderId="2" xfId="1" applyFont="1" applyBorder="1" applyAlignment="1">
      <alignment horizontal="center" vertical="center" wrapText="1"/>
    </xf>
    <xf numFmtId="0" fontId="8" fillId="2" borderId="0" xfId="0" applyFont="1" applyFill="1"/>
    <xf numFmtId="166" fontId="8" fillId="2" borderId="0" xfId="1" applyNumberFormat="1" applyFont="1" applyFill="1" applyAlignment="1">
      <alignment horizontal="center"/>
    </xf>
    <xf numFmtId="165" fontId="8" fillId="2" borderId="0" xfId="0" applyNumberFormat="1" applyFont="1" applyFill="1"/>
    <xf numFmtId="43" fontId="8" fillId="2" borderId="0" xfId="0" applyNumberFormat="1" applyFont="1" applyFill="1" applyAlignment="1">
      <alignment vertical="center"/>
    </xf>
    <xf numFmtId="0" fontId="8" fillId="10" borderId="0" xfId="0" applyFont="1" applyFill="1"/>
    <xf numFmtId="166" fontId="8" fillId="0" borderId="0" xfId="1" applyNumberFormat="1" applyFont="1" applyAlignment="1">
      <alignment horizontal="center"/>
    </xf>
    <xf numFmtId="0" fontId="4" fillId="0" borderId="13" xfId="0" applyFont="1" applyBorder="1" applyAlignment="1">
      <alignment vertical="center"/>
    </xf>
    <xf numFmtId="0" fontId="4" fillId="2" borderId="13" xfId="0"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horizontal="left" vertical="center"/>
    </xf>
    <xf numFmtId="164" fontId="5" fillId="0" borderId="2" xfId="0" applyNumberFormat="1" applyFont="1" applyBorder="1" applyAlignment="1">
      <alignment horizontal="left" vertical="center"/>
    </xf>
    <xf numFmtId="17" fontId="5" fillId="0" borderId="2" xfId="0" applyNumberFormat="1" applyFont="1" applyBorder="1" applyAlignment="1">
      <alignment horizontal="left" vertical="center"/>
    </xf>
    <xf numFmtId="3" fontId="5" fillId="3" borderId="2" xfId="0" applyNumberFormat="1" applyFont="1" applyFill="1" applyBorder="1" applyAlignment="1">
      <alignment horizontal="left" vertical="center" wrapText="1"/>
    </xf>
    <xf numFmtId="0" fontId="3" fillId="0" borderId="4" xfId="0" applyFont="1" applyBorder="1" applyAlignment="1">
      <alignment horizontal="center" vertical="center" wrapText="1"/>
    </xf>
    <xf numFmtId="165" fontId="3" fillId="0" borderId="2" xfId="2" applyNumberFormat="1" applyFont="1" applyBorder="1" applyAlignment="1">
      <alignment horizontal="center" vertical="center" wrapText="1"/>
    </xf>
    <xf numFmtId="0" fontId="3" fillId="4" borderId="6" xfId="0" applyFont="1" applyFill="1" applyBorder="1" applyAlignment="1">
      <alignment horizontal="left" vertical="center"/>
    </xf>
    <xf numFmtId="0" fontId="3" fillId="4" borderId="7" xfId="0" applyFont="1" applyFill="1" applyBorder="1" applyAlignment="1">
      <alignment horizontal="left" vertical="center"/>
    </xf>
    <xf numFmtId="0" fontId="3" fillId="4" borderId="7" xfId="0" applyFont="1" applyFill="1" applyBorder="1" applyAlignment="1">
      <alignment horizontal="center" vertical="center"/>
    </xf>
    <xf numFmtId="0" fontId="3" fillId="5" borderId="7" xfId="0" applyFont="1" applyFill="1" applyBorder="1" applyAlignment="1">
      <alignment vertical="center"/>
    </xf>
    <xf numFmtId="0" fontId="3" fillId="5" borderId="7" xfId="0" applyFont="1" applyFill="1" applyBorder="1" applyAlignment="1">
      <alignment horizontal="center" vertical="center"/>
    </xf>
    <xf numFmtId="0" fontId="3" fillId="0" borderId="9" xfId="0" applyFont="1" applyBorder="1" applyAlignment="1">
      <alignment vertical="center" wrapText="1"/>
    </xf>
    <xf numFmtId="0" fontId="3" fillId="6" borderId="6" xfId="0" applyFont="1" applyFill="1" applyBorder="1" applyAlignment="1">
      <alignment horizontal="left" vertical="center"/>
    </xf>
    <xf numFmtId="0" fontId="3" fillId="6" borderId="7" xfId="0" applyFont="1" applyFill="1" applyBorder="1" applyAlignment="1">
      <alignment horizontal="left" vertical="center"/>
    </xf>
    <xf numFmtId="0" fontId="3" fillId="6" borderId="7" xfId="0" applyFont="1" applyFill="1" applyBorder="1" applyAlignment="1">
      <alignment vertical="center"/>
    </xf>
    <xf numFmtId="0" fontId="3" fillId="6" borderId="7" xfId="0" applyFont="1" applyFill="1" applyBorder="1" applyAlignment="1">
      <alignment horizontal="center" vertical="center"/>
    </xf>
    <xf numFmtId="0" fontId="3" fillId="0" borderId="7" xfId="0" applyFont="1" applyBorder="1" applyAlignment="1">
      <alignment vertical="center"/>
    </xf>
    <xf numFmtId="0" fontId="3" fillId="0" borderId="11"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horizontal="center" vertical="center"/>
    </xf>
    <xf numFmtId="1" fontId="10" fillId="0" borderId="2" xfId="0" applyNumberFormat="1" applyFont="1" applyBorder="1" applyAlignment="1">
      <alignment horizontal="center" vertical="center"/>
    </xf>
    <xf numFmtId="1" fontId="12" fillId="0" borderId="2" xfId="0" applyNumberFormat="1" applyFont="1" applyBorder="1" applyAlignment="1">
      <alignment horizontal="center" vertical="center"/>
    </xf>
    <xf numFmtId="0" fontId="10" fillId="0" borderId="2" xfId="0" applyFont="1" applyBorder="1" applyAlignment="1">
      <alignment horizontal="justify" vertical="center"/>
    </xf>
    <xf numFmtId="43" fontId="10" fillId="0" borderId="2" xfId="1" applyFont="1" applyBorder="1" applyAlignment="1">
      <alignment horizontal="right" vertical="center" wrapText="1"/>
    </xf>
    <xf numFmtId="0" fontId="10" fillId="0" borderId="11" xfId="0" applyFont="1" applyBorder="1" applyAlignment="1">
      <alignment vertical="center" wrapText="1"/>
    </xf>
    <xf numFmtId="1" fontId="10" fillId="0" borderId="4" xfId="0" applyNumberFormat="1" applyFont="1" applyBorder="1" applyAlignment="1">
      <alignment horizontal="center" vertical="center"/>
    </xf>
    <xf numFmtId="0" fontId="10" fillId="0" borderId="1" xfId="0" applyFont="1" applyBorder="1" applyAlignment="1">
      <alignment vertical="center" wrapText="1"/>
    </xf>
    <xf numFmtId="1" fontId="10" fillId="0" borderId="11" xfId="0" applyNumberFormat="1" applyFont="1" applyBorder="1" applyAlignment="1">
      <alignment horizontal="center" vertical="center"/>
    </xf>
    <xf numFmtId="0" fontId="10" fillId="0" borderId="14" xfId="0" applyFont="1" applyBorder="1" applyAlignment="1">
      <alignment vertical="center" wrapText="1"/>
    </xf>
    <xf numFmtId="1" fontId="10" fillId="0" borderId="12" xfId="0" applyNumberFormat="1" applyFont="1" applyBorder="1" applyAlignment="1">
      <alignment horizontal="center" vertical="center"/>
    </xf>
    <xf numFmtId="0" fontId="3" fillId="0" borderId="12" xfId="0" applyFont="1" applyBorder="1" applyAlignment="1">
      <alignment vertical="center" wrapText="1"/>
    </xf>
    <xf numFmtId="0" fontId="10" fillId="0" borderId="2" xfId="0" applyFont="1" applyBorder="1" applyAlignment="1">
      <alignment horizontal="justify" vertical="center" wrapText="1"/>
    </xf>
    <xf numFmtId="0" fontId="10" fillId="0" borderId="2" xfId="0" applyFont="1" applyBorder="1" applyAlignment="1">
      <alignment horizontal="center" vertical="center" wrapText="1"/>
    </xf>
    <xf numFmtId="0" fontId="10" fillId="7" borderId="2" xfId="0" applyFont="1" applyFill="1" applyBorder="1" applyAlignment="1">
      <alignment horizontal="justify" vertical="center" wrapText="1"/>
    </xf>
    <xf numFmtId="0" fontId="10" fillId="7" borderId="2" xfId="0" applyFont="1" applyFill="1" applyBorder="1" applyAlignment="1">
      <alignment horizontal="center" vertical="center" wrapText="1"/>
    </xf>
    <xf numFmtId="0" fontId="10" fillId="7" borderId="2" xfId="0" applyFont="1" applyFill="1" applyBorder="1" applyAlignment="1">
      <alignment horizontal="center" vertical="center"/>
    </xf>
    <xf numFmtId="0" fontId="3" fillId="0" borderId="13" xfId="0" applyFont="1" applyBorder="1" applyAlignment="1">
      <alignment vertical="center" wrapText="1"/>
    </xf>
    <xf numFmtId="0" fontId="10" fillId="6" borderId="2" xfId="0" applyFont="1" applyFill="1" applyBorder="1" applyAlignment="1">
      <alignment horizontal="justify" vertical="center" wrapText="1"/>
    </xf>
    <xf numFmtId="0" fontId="10" fillId="6" borderId="2" xfId="0" applyFont="1" applyFill="1" applyBorder="1" applyAlignment="1">
      <alignment horizontal="center" vertical="center" wrapText="1"/>
    </xf>
    <xf numFmtId="0" fontId="10" fillId="6" borderId="2" xfId="0" applyFont="1" applyFill="1" applyBorder="1" applyAlignment="1">
      <alignment horizontal="center" vertical="center"/>
    </xf>
    <xf numFmtId="0" fontId="10" fillId="5" borderId="2" xfId="0" applyFont="1" applyFill="1" applyBorder="1" applyAlignment="1">
      <alignment horizontal="justify"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center" vertical="center"/>
    </xf>
    <xf numFmtId="0" fontId="10" fillId="8" borderId="2" xfId="0" applyFont="1" applyFill="1" applyBorder="1" applyAlignment="1">
      <alignment horizontal="justify" vertical="center" wrapText="1"/>
    </xf>
    <xf numFmtId="0" fontId="10" fillId="8" borderId="2" xfId="0" applyFont="1" applyFill="1" applyBorder="1" applyAlignment="1">
      <alignment horizontal="center" vertical="center" wrapText="1"/>
    </xf>
    <xf numFmtId="0" fontId="10" fillId="8" borderId="2" xfId="0" applyFont="1" applyFill="1" applyBorder="1" applyAlignment="1">
      <alignment horizontal="center" vertical="center"/>
    </xf>
    <xf numFmtId="0" fontId="10" fillId="0" borderId="6" xfId="0" applyFont="1" applyBorder="1" applyAlignment="1">
      <alignment horizontal="justify" vertical="center" wrapText="1"/>
    </xf>
    <xf numFmtId="0" fontId="10" fillId="0" borderId="7" xfId="0" applyFont="1" applyBorder="1" applyAlignment="1">
      <alignment horizontal="justify" vertical="center" wrapText="1"/>
    </xf>
    <xf numFmtId="0" fontId="10" fillId="0" borderId="7" xfId="0" applyFont="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7" borderId="6" xfId="0" applyFont="1" applyFill="1" applyBorder="1" applyAlignment="1">
      <alignment horizontal="justify" vertical="center" wrapText="1"/>
    </xf>
    <xf numFmtId="0" fontId="3" fillId="7" borderId="7" xfId="0" applyFont="1" applyFill="1" applyBorder="1" applyAlignment="1">
      <alignment horizontal="left" vertical="center"/>
    </xf>
    <xf numFmtId="0" fontId="3" fillId="7" borderId="7" xfId="0" applyFont="1" applyFill="1" applyBorder="1" applyAlignment="1">
      <alignment vertical="center"/>
    </xf>
    <xf numFmtId="0" fontId="3" fillId="7" borderId="8" xfId="0" applyFont="1" applyFill="1" applyBorder="1" applyAlignment="1">
      <alignment vertical="center"/>
    </xf>
    <xf numFmtId="0" fontId="10" fillId="0" borderId="8" xfId="0" applyFont="1" applyBorder="1" applyAlignment="1">
      <alignment horizontal="justify" vertical="center" wrapText="1"/>
    </xf>
    <xf numFmtId="2" fontId="10" fillId="0" borderId="7" xfId="0" applyNumberFormat="1" applyFont="1" applyBorder="1" applyAlignment="1">
      <alignment horizontal="center" vertical="center"/>
    </xf>
    <xf numFmtId="2" fontId="10" fillId="7" borderId="2" xfId="0" applyNumberFormat="1" applyFont="1" applyFill="1" applyBorder="1" applyAlignment="1">
      <alignment horizontal="center" vertical="center"/>
    </xf>
    <xf numFmtId="0" fontId="10" fillId="6" borderId="7" xfId="0" applyFont="1" applyFill="1" applyBorder="1" applyAlignment="1">
      <alignment horizontal="justify" vertical="center" wrapText="1"/>
    </xf>
    <xf numFmtId="0" fontId="10" fillId="6" borderId="7" xfId="0" applyFont="1" applyFill="1" applyBorder="1" applyAlignment="1">
      <alignment horizontal="center" vertical="center" wrapText="1"/>
    </xf>
    <xf numFmtId="0" fontId="10" fillId="6" borderId="7" xfId="0" applyFont="1" applyFill="1" applyBorder="1" applyAlignment="1">
      <alignment horizontal="center" vertical="center"/>
    </xf>
    <xf numFmtId="2" fontId="10" fillId="6" borderId="7" xfId="0" applyNumberFormat="1" applyFont="1" applyFill="1" applyBorder="1" applyAlignment="1">
      <alignment horizontal="center" vertical="center"/>
    </xf>
    <xf numFmtId="0" fontId="10" fillId="6" borderId="7" xfId="0" applyFont="1" applyFill="1" applyBorder="1" applyAlignment="1">
      <alignment horizontal="justify" vertical="center"/>
    </xf>
    <xf numFmtId="0" fontId="10" fillId="0" borderId="7" xfId="0" applyFont="1" applyBorder="1" applyAlignment="1">
      <alignment horizontal="justify" vertical="center"/>
    </xf>
    <xf numFmtId="2" fontId="3" fillId="6" borderId="7" xfId="0" applyNumberFormat="1" applyFont="1" applyFill="1" applyBorder="1" applyAlignment="1">
      <alignment vertical="center"/>
    </xf>
    <xf numFmtId="2" fontId="3" fillId="7" borderId="7" xfId="0" applyNumberFormat="1" applyFont="1" applyFill="1" applyBorder="1" applyAlignment="1">
      <alignment vertical="center"/>
    </xf>
    <xf numFmtId="0" fontId="10" fillId="0" borderId="12" xfId="0" applyFont="1" applyBorder="1" applyAlignment="1">
      <alignment vertical="center" wrapText="1"/>
    </xf>
    <xf numFmtId="0" fontId="10" fillId="7" borderId="4" xfId="0" applyFont="1" applyFill="1" applyBorder="1" applyAlignment="1">
      <alignment horizontal="justify" vertical="center" wrapText="1"/>
    </xf>
    <xf numFmtId="0" fontId="10" fillId="7" borderId="4" xfId="0" applyFont="1" applyFill="1" applyBorder="1" applyAlignment="1">
      <alignment horizontal="center" vertical="center" wrapText="1"/>
    </xf>
    <xf numFmtId="0" fontId="10" fillId="6" borderId="8" xfId="0" applyFont="1" applyFill="1" applyBorder="1" applyAlignment="1">
      <alignment horizontal="justify" vertical="center" wrapText="1"/>
    </xf>
    <xf numFmtId="0" fontId="10" fillId="6" borderId="6" xfId="0" applyFont="1" applyFill="1" applyBorder="1" applyAlignment="1">
      <alignment horizontal="center" vertical="center" wrapText="1"/>
    </xf>
    <xf numFmtId="0" fontId="10" fillId="6" borderId="8" xfId="0" applyFont="1" applyFill="1" applyBorder="1" applyAlignment="1">
      <alignment horizontal="center" vertical="center" wrapText="1"/>
    </xf>
    <xf numFmtId="0" fontId="10" fillId="6" borderId="4" xfId="0" applyFont="1" applyFill="1" applyBorder="1" applyAlignment="1">
      <alignment horizontal="justify" vertical="center" wrapText="1"/>
    </xf>
    <xf numFmtId="0" fontId="10" fillId="6" borderId="4" xfId="0" applyFont="1" applyFill="1" applyBorder="1" applyAlignment="1">
      <alignment horizontal="center" vertical="center" wrapText="1"/>
    </xf>
    <xf numFmtId="2" fontId="10" fillId="6" borderId="2" xfId="0" applyNumberFormat="1" applyFont="1" applyFill="1" applyBorder="1" applyAlignment="1">
      <alignment horizontal="center" vertical="center"/>
    </xf>
    <xf numFmtId="0" fontId="10" fillId="0" borderId="9" xfId="0" applyFont="1" applyBorder="1" applyAlignment="1">
      <alignment horizontal="justify" vertical="center" wrapText="1"/>
    </xf>
    <xf numFmtId="0" fontId="3" fillId="6" borderId="8" xfId="0" applyFont="1" applyFill="1" applyBorder="1" applyAlignment="1">
      <alignment horizontal="justify" vertical="center" wrapText="1"/>
    </xf>
    <xf numFmtId="0" fontId="3" fillId="6" borderId="6" xfId="0" applyFont="1" applyFill="1" applyBorder="1" applyAlignment="1">
      <alignment horizontal="center" vertical="center"/>
    </xf>
    <xf numFmtId="0" fontId="3" fillId="9" borderId="6" xfId="0" applyFont="1" applyFill="1" applyBorder="1" applyAlignment="1">
      <alignment horizontal="left" vertical="center"/>
    </xf>
    <xf numFmtId="0" fontId="3" fillId="9" borderId="7" xfId="0" applyFont="1" applyFill="1" applyBorder="1" applyAlignment="1">
      <alignment vertical="center"/>
    </xf>
    <xf numFmtId="2" fontId="3" fillId="9" borderId="7" xfId="0" applyNumberFormat="1" applyFont="1" applyFill="1" applyBorder="1" applyAlignment="1">
      <alignment vertical="center"/>
    </xf>
    <xf numFmtId="1" fontId="10" fillId="0" borderId="2" xfId="0" applyNumberFormat="1" applyFont="1" applyBorder="1" applyAlignment="1">
      <alignment horizontal="center" vertical="center" wrapText="1"/>
    </xf>
    <xf numFmtId="165" fontId="10" fillId="0" borderId="2" xfId="2" applyNumberFormat="1" applyFont="1" applyBorder="1" applyAlignment="1">
      <alignment horizontal="center" vertical="center" wrapText="1"/>
    </xf>
    <xf numFmtId="2" fontId="10" fillId="0" borderId="2" xfId="0" applyNumberFormat="1" applyFont="1" applyBorder="1" applyAlignment="1">
      <alignment horizontal="center" vertical="center"/>
    </xf>
    <xf numFmtId="3" fontId="10" fillId="0" borderId="2" xfId="0" applyNumberFormat="1" applyFont="1" applyBorder="1" applyAlignment="1">
      <alignment vertical="center"/>
    </xf>
    <xf numFmtId="1" fontId="10" fillId="7" borderId="2" xfId="0" applyNumberFormat="1" applyFont="1" applyFill="1" applyBorder="1" applyAlignment="1">
      <alignment horizontal="center" vertical="center"/>
    </xf>
    <xf numFmtId="0" fontId="3" fillId="0" borderId="14" xfId="0" applyFont="1" applyBorder="1" applyAlignment="1">
      <alignment vertical="center" wrapText="1"/>
    </xf>
    <xf numFmtId="1" fontId="10" fillId="6" borderId="2" xfId="0" applyNumberFormat="1" applyFont="1" applyFill="1" applyBorder="1" applyAlignment="1">
      <alignment horizontal="center" vertical="center"/>
    </xf>
    <xf numFmtId="1" fontId="10" fillId="5" borderId="2" xfId="0" applyNumberFormat="1" applyFont="1" applyFill="1" applyBorder="1" applyAlignment="1">
      <alignment horizontal="center" vertical="center"/>
    </xf>
    <xf numFmtId="1" fontId="10" fillId="8" borderId="2" xfId="0" applyNumberFormat="1" applyFont="1" applyFill="1" applyBorder="1" applyAlignment="1">
      <alignment horizontal="center" vertical="center"/>
    </xf>
    <xf numFmtId="0" fontId="10" fillId="0" borderId="5" xfId="0" applyFont="1" applyBorder="1" applyAlignment="1">
      <alignment horizontal="justify" vertical="center" wrapText="1"/>
    </xf>
    <xf numFmtId="0" fontId="10" fillId="0" borderId="9" xfId="0" applyFont="1" applyBorder="1" applyAlignment="1">
      <alignment horizontal="center" vertical="center"/>
    </xf>
    <xf numFmtId="0" fontId="3" fillId="4" borderId="5" xfId="0" applyFont="1" applyFill="1" applyBorder="1" applyAlignment="1">
      <alignment horizontal="left" vertical="center"/>
    </xf>
    <xf numFmtId="0" fontId="3" fillId="4" borderId="9" xfId="0" applyFont="1" applyFill="1" applyBorder="1" applyAlignment="1">
      <alignment horizontal="left" vertical="center"/>
    </xf>
    <xf numFmtId="0" fontId="3" fillId="4" borderId="9" xfId="0" applyFont="1" applyFill="1" applyBorder="1" applyAlignment="1">
      <alignment horizontal="center" vertical="center"/>
    </xf>
    <xf numFmtId="1" fontId="3" fillId="4" borderId="9" xfId="0" applyNumberFormat="1" applyFont="1" applyFill="1" applyBorder="1" applyAlignment="1">
      <alignment horizontal="left" vertical="center"/>
    </xf>
    <xf numFmtId="1" fontId="3" fillId="5" borderId="7" xfId="0" applyNumberFormat="1" applyFont="1" applyFill="1" applyBorder="1" applyAlignment="1">
      <alignment vertical="center"/>
    </xf>
    <xf numFmtId="0" fontId="3" fillId="6" borderId="7" xfId="0" applyFont="1" applyFill="1" applyBorder="1" applyAlignment="1">
      <alignment horizontal="justify" vertical="center" wrapText="1"/>
    </xf>
    <xf numFmtId="1" fontId="3" fillId="6" borderId="7" xfId="0" applyNumberFormat="1" applyFont="1" applyFill="1" applyBorder="1" applyAlignment="1">
      <alignment vertical="center"/>
    </xf>
    <xf numFmtId="0" fontId="3" fillId="0" borderId="7" xfId="0" applyFont="1" applyBorder="1" applyAlignment="1">
      <alignment horizontal="center" vertical="center" wrapText="1"/>
    </xf>
    <xf numFmtId="1" fontId="3" fillId="7" borderId="7" xfId="0" applyNumberFormat="1" applyFont="1" applyFill="1" applyBorder="1" applyAlignment="1">
      <alignment vertical="center"/>
    </xf>
    <xf numFmtId="2" fontId="10" fillId="5" borderId="2" xfId="0" applyNumberFormat="1" applyFont="1" applyFill="1" applyBorder="1" applyAlignment="1">
      <alignment horizontal="center" vertical="center"/>
    </xf>
    <xf numFmtId="2" fontId="10" fillId="8" borderId="2" xfId="0" applyNumberFormat="1" applyFont="1" applyFill="1" applyBorder="1" applyAlignment="1">
      <alignment horizontal="center" vertical="center"/>
    </xf>
    <xf numFmtId="2" fontId="3" fillId="4" borderId="7" xfId="0" applyNumberFormat="1" applyFont="1" applyFill="1" applyBorder="1" applyAlignment="1">
      <alignment horizontal="left" vertical="center"/>
    </xf>
    <xf numFmtId="2" fontId="3" fillId="5" borderId="7" xfId="0" applyNumberFormat="1" applyFont="1" applyFill="1" applyBorder="1" applyAlignment="1">
      <alignment vertical="center"/>
    </xf>
    <xf numFmtId="0" fontId="3" fillId="6" borderId="6" xfId="0" applyFont="1" applyFill="1" applyBorder="1" applyAlignment="1">
      <alignment horizontal="justify" vertical="center" wrapText="1"/>
    </xf>
    <xf numFmtId="0" fontId="10" fillId="0" borderId="2" xfId="1" applyNumberFormat="1" applyFont="1" applyBorder="1" applyAlignment="1">
      <alignment horizontal="center" vertical="center" wrapText="1"/>
    </xf>
    <xf numFmtId="43" fontId="10" fillId="0" borderId="2" xfId="1" applyFont="1" applyBorder="1" applyAlignment="1">
      <alignment horizontal="center" vertical="center" wrapText="1"/>
    </xf>
    <xf numFmtId="1" fontId="10" fillId="7" borderId="2" xfId="0" applyNumberFormat="1" applyFont="1" applyFill="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3" fillId="7" borderId="2" xfId="0" applyFont="1" applyFill="1" applyBorder="1" applyAlignment="1">
      <alignment horizontal="justify" vertical="center" wrapText="1"/>
    </xf>
    <xf numFmtId="0" fontId="3" fillId="7" borderId="6" xfId="0" applyFont="1" applyFill="1" applyBorder="1" applyAlignment="1">
      <alignment horizontal="left" vertical="center"/>
    </xf>
    <xf numFmtId="43" fontId="10" fillId="0" borderId="6" xfId="1" applyFont="1" applyBorder="1" applyAlignment="1">
      <alignment horizontal="center" vertical="center" wrapText="1"/>
    </xf>
    <xf numFmtId="0" fontId="10" fillId="0" borderId="2" xfId="0" applyFont="1" applyBorder="1"/>
    <xf numFmtId="0" fontId="10" fillId="0" borderId="2" xfId="0" applyFont="1" applyBorder="1" applyAlignment="1">
      <alignment vertical="center" wrapText="1"/>
    </xf>
    <xf numFmtId="165" fontId="10" fillId="7" borderId="2" xfId="0" applyNumberFormat="1" applyFont="1" applyFill="1" applyBorder="1" applyAlignment="1">
      <alignment horizontal="justify" vertical="center" wrapText="1"/>
    </xf>
    <xf numFmtId="165" fontId="10" fillId="7" borderId="2" xfId="0" applyNumberFormat="1" applyFont="1" applyFill="1" applyBorder="1" applyAlignment="1">
      <alignment horizontal="center" vertical="center" wrapText="1"/>
    </xf>
    <xf numFmtId="1" fontId="10" fillId="6" borderId="2" xfId="0" applyNumberFormat="1" applyFont="1" applyFill="1" applyBorder="1" applyAlignment="1">
      <alignment horizontal="center" vertical="center" wrapText="1"/>
    </xf>
    <xf numFmtId="0" fontId="10" fillId="5" borderId="8" xfId="0" applyFont="1" applyFill="1" applyBorder="1" applyAlignment="1">
      <alignment horizontal="justify" vertical="center" wrapText="1"/>
    </xf>
    <xf numFmtId="1" fontId="10" fillId="5" borderId="2" xfId="0" applyNumberFormat="1" applyFont="1" applyFill="1" applyBorder="1" applyAlignment="1">
      <alignment horizontal="center" vertical="center" wrapText="1"/>
    </xf>
    <xf numFmtId="0" fontId="10" fillId="0" borderId="7" xfId="0" applyFont="1" applyBorder="1" applyAlignment="1">
      <alignment horizontal="center" vertical="center" wrapText="1"/>
    </xf>
    <xf numFmtId="1" fontId="10" fillId="0" borderId="7" xfId="0" applyNumberFormat="1" applyFont="1" applyBorder="1" applyAlignment="1">
      <alignment horizontal="center" vertical="center" wrapText="1"/>
    </xf>
    <xf numFmtId="0" fontId="3" fillId="6" borderId="2" xfId="0" applyFont="1" applyFill="1" applyBorder="1" applyAlignment="1">
      <alignment horizontal="justify" vertical="center" wrapText="1"/>
    </xf>
    <xf numFmtId="3" fontId="3" fillId="7" borderId="7" xfId="0" applyNumberFormat="1" applyFont="1" applyFill="1" applyBorder="1" applyAlignment="1">
      <alignment vertical="center"/>
    </xf>
    <xf numFmtId="0" fontId="10" fillId="0" borderId="2" xfId="2" applyNumberFormat="1" applyFont="1" applyBorder="1" applyAlignment="1">
      <alignment horizontal="center" vertical="center" wrapText="1"/>
    </xf>
    <xf numFmtId="1" fontId="10" fillId="0" borderId="2" xfId="2" applyNumberFormat="1" applyFont="1" applyBorder="1" applyAlignment="1">
      <alignment horizontal="center" vertical="center" wrapText="1"/>
    </xf>
    <xf numFmtId="0" fontId="10" fillId="9" borderId="2" xfId="0" applyFont="1" applyFill="1" applyBorder="1" applyAlignment="1">
      <alignment horizontal="center" vertical="center" wrapText="1"/>
    </xf>
    <xf numFmtId="0" fontId="10" fillId="9" borderId="2" xfId="0" applyFont="1" applyFill="1" applyBorder="1" applyAlignment="1">
      <alignment horizontal="justify" vertical="center" wrapText="1"/>
    </xf>
    <xf numFmtId="165" fontId="10" fillId="9" borderId="2" xfId="0" applyNumberFormat="1" applyFont="1" applyFill="1" applyBorder="1" applyAlignment="1">
      <alignment horizontal="justify" vertical="center" wrapText="1"/>
    </xf>
    <xf numFmtId="0" fontId="3" fillId="0" borderId="5" xfId="0" applyFont="1" applyBorder="1" applyAlignment="1">
      <alignment vertical="center" wrapText="1"/>
    </xf>
    <xf numFmtId="0" fontId="3" fillId="7" borderId="8" xfId="0" applyFont="1" applyFill="1" applyBorder="1" applyAlignment="1">
      <alignment horizontal="justify" vertical="center" wrapText="1"/>
    </xf>
    <xf numFmtId="0" fontId="3" fillId="7" borderId="5" xfId="0" applyFont="1" applyFill="1" applyBorder="1" applyAlignment="1">
      <alignment vertical="center"/>
    </xf>
    <xf numFmtId="0" fontId="3" fillId="7" borderId="9" xfId="0" applyFont="1" applyFill="1" applyBorder="1" applyAlignment="1">
      <alignment vertical="center"/>
    </xf>
    <xf numFmtId="2" fontId="3" fillId="7" borderId="9" xfId="0" applyNumberFormat="1" applyFont="1" applyFill="1" applyBorder="1" applyAlignment="1">
      <alignment vertical="center"/>
    </xf>
    <xf numFmtId="0" fontId="3" fillId="0" borderId="17" xfId="0" applyFont="1" applyBorder="1" applyAlignment="1">
      <alignment vertical="center"/>
    </xf>
    <xf numFmtId="0" fontId="10" fillId="0" borderId="3" xfId="0" applyFont="1" applyBorder="1" applyAlignment="1">
      <alignment vertical="center" wrapText="1"/>
    </xf>
    <xf numFmtId="0" fontId="10" fillId="9" borderId="12" xfId="0" applyFont="1" applyFill="1" applyBorder="1" applyAlignment="1">
      <alignment horizontal="center" vertical="center" wrapText="1"/>
    </xf>
    <xf numFmtId="1" fontId="10" fillId="8" borderId="2" xfId="0" applyNumberFormat="1" applyFont="1" applyFill="1" applyBorder="1" applyAlignment="1">
      <alignment horizontal="justify" vertical="center" wrapText="1"/>
    </xf>
    <xf numFmtId="1" fontId="10" fillId="0" borderId="6" xfId="0" applyNumberFormat="1" applyFont="1" applyBorder="1" applyAlignment="1">
      <alignment horizontal="center" vertical="center"/>
    </xf>
    <xf numFmtId="3" fontId="10" fillId="0" borderId="2" xfId="0" applyNumberFormat="1" applyFont="1" applyBorder="1" applyAlignment="1">
      <alignment horizontal="center" vertical="center" wrapText="1"/>
    </xf>
    <xf numFmtId="3" fontId="10" fillId="0" borderId="4" xfId="0" applyNumberFormat="1" applyFont="1" applyBorder="1" applyAlignment="1">
      <alignment horizontal="center" vertical="center" wrapText="1"/>
    </xf>
    <xf numFmtId="2" fontId="10" fillId="0" borderId="9" xfId="0" applyNumberFormat="1" applyFont="1" applyBorder="1" applyAlignment="1">
      <alignment horizontal="center" vertical="center"/>
    </xf>
    <xf numFmtId="0" fontId="3" fillId="7" borderId="6" xfId="0" applyFont="1" applyFill="1" applyBorder="1" applyAlignment="1">
      <alignment vertical="center"/>
    </xf>
    <xf numFmtId="0" fontId="3" fillId="7" borderId="7" xfId="0" applyFont="1" applyFill="1" applyBorder="1" applyAlignment="1">
      <alignment horizontal="center" vertical="center"/>
    </xf>
    <xf numFmtId="0" fontId="10" fillId="0" borderId="2" xfId="2" applyNumberFormat="1" applyFont="1" applyBorder="1" applyAlignment="1">
      <alignment horizontal="center" vertical="center"/>
    </xf>
    <xf numFmtId="2" fontId="10" fillId="7" borderId="12" xfId="2" applyNumberFormat="1" applyFont="1" applyFill="1" applyBorder="1" applyAlignment="1">
      <alignment horizontal="center" vertical="center"/>
    </xf>
    <xf numFmtId="2" fontId="10" fillId="7" borderId="2" xfId="2" applyNumberFormat="1" applyFont="1" applyFill="1" applyBorder="1" applyAlignment="1">
      <alignment horizontal="center" vertical="center"/>
    </xf>
    <xf numFmtId="0" fontId="10" fillId="7" borderId="2" xfId="2" applyNumberFormat="1" applyFont="1" applyFill="1" applyBorder="1" applyAlignment="1">
      <alignment horizontal="center" vertical="center"/>
    </xf>
    <xf numFmtId="2" fontId="10" fillId="0" borderId="7" xfId="2" applyNumberFormat="1" applyFont="1" applyBorder="1" applyAlignment="1">
      <alignment horizontal="center" vertical="center"/>
    </xf>
    <xf numFmtId="2" fontId="10" fillId="0" borderId="9" xfId="2" applyNumberFormat="1" applyFont="1" applyBorder="1" applyAlignment="1">
      <alignment horizontal="center" vertical="center"/>
    </xf>
    <xf numFmtId="0" fontId="10" fillId="0" borderId="9" xfId="2" applyNumberFormat="1" applyFont="1" applyBorder="1" applyAlignment="1">
      <alignment horizontal="center" vertical="center"/>
    </xf>
    <xf numFmtId="0" fontId="3" fillId="6" borderId="9" xfId="0" applyFont="1" applyFill="1" applyBorder="1" applyAlignment="1">
      <alignment horizontal="center" vertical="center"/>
    </xf>
    <xf numFmtId="0" fontId="3" fillId="6" borderId="9" xfId="0" applyFont="1" applyFill="1" applyBorder="1" applyAlignment="1">
      <alignment vertical="center"/>
    </xf>
    <xf numFmtId="2" fontId="3" fillId="6" borderId="9" xfId="0" applyNumberFormat="1" applyFont="1" applyFill="1" applyBorder="1" applyAlignment="1">
      <alignment vertical="center"/>
    </xf>
    <xf numFmtId="2" fontId="3" fillId="7" borderId="7" xfId="0" applyNumberFormat="1" applyFont="1" applyFill="1" applyBorder="1" applyAlignment="1">
      <alignment horizontal="left" vertical="center"/>
    </xf>
    <xf numFmtId="0" fontId="10" fillId="5" borderId="4" xfId="0" applyFont="1" applyFill="1" applyBorder="1" applyAlignment="1">
      <alignment horizontal="justify" vertical="center" wrapText="1"/>
    </xf>
    <xf numFmtId="0" fontId="10" fillId="5" borderId="4" xfId="0" applyFont="1" applyFill="1" applyBorder="1" applyAlignment="1">
      <alignment horizontal="center" vertical="center" wrapText="1"/>
    </xf>
    <xf numFmtId="0" fontId="3" fillId="0" borderId="10" xfId="0" applyFont="1" applyBorder="1" applyAlignment="1">
      <alignment horizontal="justify" vertical="center" wrapText="1"/>
    </xf>
    <xf numFmtId="0" fontId="10" fillId="7" borderId="2" xfId="0" applyFont="1" applyFill="1" applyBorder="1" applyAlignment="1">
      <alignment horizontal="justify" vertical="center"/>
    </xf>
    <xf numFmtId="0" fontId="10" fillId="0" borderId="14" xfId="0" applyFont="1" applyBorder="1" applyAlignment="1">
      <alignment horizontal="center" vertical="center" wrapText="1"/>
    </xf>
    <xf numFmtId="3" fontId="10" fillId="0" borderId="2" xfId="0" applyNumberFormat="1" applyFont="1" applyBorder="1" applyAlignment="1">
      <alignment horizontal="center" vertical="center"/>
    </xf>
    <xf numFmtId="3" fontId="10" fillId="7" borderId="2" xfId="0" applyNumberFormat="1" applyFont="1" applyFill="1" applyBorder="1" applyAlignment="1">
      <alignment horizontal="center" vertical="center" wrapText="1"/>
    </xf>
    <xf numFmtId="0" fontId="10" fillId="0" borderId="13" xfId="0" applyFont="1" applyBorder="1" applyAlignment="1">
      <alignment horizontal="center" vertical="center" wrapText="1"/>
    </xf>
    <xf numFmtId="0" fontId="3" fillId="0" borderId="13" xfId="0" applyFont="1" applyBorder="1" applyAlignment="1">
      <alignment horizontal="justify" vertical="center"/>
    </xf>
    <xf numFmtId="0" fontId="3" fillId="0" borderId="13" xfId="0" applyFont="1" applyBorder="1" applyAlignment="1">
      <alignment horizontal="center" vertical="center"/>
    </xf>
    <xf numFmtId="3" fontId="10" fillId="0" borderId="7" xfId="0" applyNumberFormat="1" applyFont="1" applyBorder="1" applyAlignment="1">
      <alignment horizontal="center" vertical="center" wrapText="1"/>
    </xf>
    <xf numFmtId="3" fontId="10" fillId="7" borderId="2" xfId="0" applyNumberFormat="1" applyFont="1" applyFill="1" applyBorder="1" applyAlignment="1">
      <alignment horizontal="center" vertical="center"/>
    </xf>
    <xf numFmtId="3" fontId="10" fillId="0" borderId="7" xfId="0" applyNumberFormat="1" applyFont="1" applyBorder="1" applyAlignment="1">
      <alignment horizontal="center" vertical="center"/>
    </xf>
    <xf numFmtId="0" fontId="3" fillId="6" borderId="2" xfId="0" applyFont="1" applyFill="1" applyBorder="1" applyAlignment="1">
      <alignment horizontal="justify" vertical="center"/>
    </xf>
    <xf numFmtId="0" fontId="3" fillId="6" borderId="2" xfId="0" applyFont="1" applyFill="1" applyBorder="1" applyAlignment="1">
      <alignment horizontal="center" vertical="center"/>
    </xf>
    <xf numFmtId="3" fontId="10" fillId="6" borderId="2" xfId="0" applyNumberFormat="1" applyFont="1" applyFill="1" applyBorder="1" applyAlignment="1">
      <alignment horizontal="center" vertical="center"/>
    </xf>
    <xf numFmtId="3" fontId="3" fillId="6" borderId="7" xfId="0" applyNumberFormat="1" applyFont="1" applyFill="1" applyBorder="1" applyAlignment="1">
      <alignment vertical="center"/>
    </xf>
    <xf numFmtId="0" fontId="3" fillId="0" borderId="17" xfId="0" applyFont="1" applyBorder="1" applyAlignment="1">
      <alignment horizontal="center" vertical="center" wrapText="1"/>
    </xf>
    <xf numFmtId="0" fontId="3" fillId="9" borderId="6" xfId="0" applyFont="1" applyFill="1" applyBorder="1" applyAlignment="1">
      <alignment horizontal="left" vertical="center" wrapText="1"/>
    </xf>
    <xf numFmtId="3" fontId="3" fillId="9" borderId="7" xfId="0" applyNumberFormat="1" applyFont="1" applyFill="1" applyBorder="1" applyAlignment="1">
      <alignment vertical="center"/>
    </xf>
    <xf numFmtId="0" fontId="3" fillId="0" borderId="10" xfId="0" applyFont="1" applyBorder="1" applyAlignment="1">
      <alignment vertical="center" wrapText="1"/>
    </xf>
    <xf numFmtId="3" fontId="10" fillId="0" borderId="9" xfId="0" applyNumberFormat="1" applyFont="1" applyBorder="1" applyAlignment="1">
      <alignment horizontal="center" vertical="center"/>
    </xf>
    <xf numFmtId="0" fontId="3" fillId="0" borderId="17" xfId="0" applyFont="1" applyBorder="1" applyAlignment="1">
      <alignment vertical="center" wrapText="1"/>
    </xf>
    <xf numFmtId="3" fontId="10" fillId="6" borderId="2" xfId="0" applyNumberFormat="1" applyFont="1" applyFill="1" applyBorder="1" applyAlignment="1">
      <alignment horizontal="center" vertical="center" wrapText="1"/>
    </xf>
    <xf numFmtId="0" fontId="3" fillId="5" borderId="2" xfId="0" applyFont="1" applyFill="1" applyBorder="1" applyAlignment="1">
      <alignment horizontal="justify" vertical="center"/>
    </xf>
    <xf numFmtId="0" fontId="3" fillId="5" borderId="2" xfId="0" applyFont="1" applyFill="1" applyBorder="1" applyAlignment="1">
      <alignment horizontal="center" vertical="center"/>
    </xf>
    <xf numFmtId="3" fontId="10" fillId="5" borderId="2" xfId="0" applyNumberFormat="1" applyFont="1" applyFill="1" applyBorder="1" applyAlignment="1">
      <alignment horizontal="center" vertical="center" wrapText="1"/>
    </xf>
    <xf numFmtId="0" fontId="3" fillId="8" borderId="2" xfId="0" applyFont="1" applyFill="1" applyBorder="1" applyAlignment="1">
      <alignment horizontal="justify" vertical="center"/>
    </xf>
    <xf numFmtId="0" fontId="3" fillId="8" borderId="2" xfId="0" applyFont="1" applyFill="1" applyBorder="1" applyAlignment="1">
      <alignment horizontal="center" vertical="center"/>
    </xf>
    <xf numFmtId="3" fontId="10" fillId="8" borderId="2" xfId="0" applyNumberFormat="1" applyFont="1" applyFill="1" applyBorder="1" applyAlignment="1">
      <alignment horizontal="center" vertical="center" wrapText="1"/>
    </xf>
    <xf numFmtId="0" fontId="3" fillId="0" borderId="7" xfId="0" applyFont="1" applyBorder="1" applyAlignment="1">
      <alignment horizontal="justify" vertical="center"/>
    </xf>
    <xf numFmtId="0" fontId="3" fillId="0" borderId="7" xfId="0" applyFont="1" applyBorder="1" applyAlignment="1">
      <alignment horizontal="center" vertical="center"/>
    </xf>
    <xf numFmtId="3" fontId="3" fillId="4" borderId="7" xfId="0" applyNumberFormat="1" applyFont="1" applyFill="1" applyBorder="1" applyAlignment="1">
      <alignment horizontal="left" vertical="center"/>
    </xf>
    <xf numFmtId="3" fontId="3" fillId="5" borderId="7" xfId="0" applyNumberFormat="1" applyFont="1" applyFill="1" applyBorder="1" applyAlignment="1">
      <alignment vertical="center"/>
    </xf>
    <xf numFmtId="0" fontId="3" fillId="7" borderId="7" xfId="0" applyFont="1" applyFill="1" applyBorder="1" applyAlignment="1">
      <alignment horizontal="justify" vertical="center" wrapText="1"/>
    </xf>
    <xf numFmtId="4" fontId="10" fillId="0" borderId="2" xfId="0" applyNumberFormat="1" applyFont="1" applyBorder="1" applyAlignment="1">
      <alignment horizontal="center" vertical="center" wrapText="1"/>
    </xf>
    <xf numFmtId="4" fontId="3" fillId="7" borderId="7" xfId="0" applyNumberFormat="1" applyFont="1" applyFill="1" applyBorder="1" applyAlignment="1">
      <alignment vertical="center"/>
    </xf>
    <xf numFmtId="4" fontId="10" fillId="7" borderId="2" xfId="0" applyNumberFormat="1" applyFont="1" applyFill="1" applyBorder="1" applyAlignment="1">
      <alignment horizontal="center" vertical="center" wrapText="1"/>
    </xf>
    <xf numFmtId="4" fontId="10" fillId="0" borderId="7" xfId="0" applyNumberFormat="1" applyFont="1" applyBorder="1" applyAlignment="1">
      <alignment horizontal="center" vertical="center" wrapText="1"/>
    </xf>
    <xf numFmtId="4" fontId="10" fillId="6" borderId="2" xfId="0" applyNumberFormat="1" applyFont="1" applyFill="1" applyBorder="1" applyAlignment="1">
      <alignment horizontal="center" vertical="center" wrapText="1"/>
    </xf>
    <xf numFmtId="4" fontId="3" fillId="6" borderId="7" xfId="0" applyNumberFormat="1" applyFont="1" applyFill="1" applyBorder="1" applyAlignment="1">
      <alignment vertical="center"/>
    </xf>
    <xf numFmtId="4" fontId="3" fillId="9" borderId="7" xfId="0" applyNumberFormat="1" applyFont="1" applyFill="1" applyBorder="1" applyAlignment="1">
      <alignment vertical="center"/>
    </xf>
    <xf numFmtId="4" fontId="10" fillId="5" borderId="2" xfId="0" applyNumberFormat="1" applyFont="1" applyFill="1" applyBorder="1" applyAlignment="1">
      <alignment horizontal="center" vertical="center" wrapText="1"/>
    </xf>
    <xf numFmtId="4" fontId="10" fillId="8" borderId="2" xfId="0" applyNumberFormat="1" applyFont="1" applyFill="1" applyBorder="1" applyAlignment="1">
      <alignment horizontal="center" vertical="center" wrapText="1"/>
    </xf>
    <xf numFmtId="0" fontId="3" fillId="4" borderId="7" xfId="0" applyFont="1" applyFill="1" applyBorder="1" applyAlignment="1">
      <alignment horizontal="left" vertical="center" wrapText="1"/>
    </xf>
    <xf numFmtId="0" fontId="3" fillId="4" borderId="7" xfId="0" applyFont="1" applyFill="1" applyBorder="1" applyAlignment="1">
      <alignment horizontal="center" vertical="center" wrapText="1"/>
    </xf>
    <xf numFmtId="4" fontId="3" fillId="4" borderId="7" xfId="0" applyNumberFormat="1" applyFont="1" applyFill="1" applyBorder="1" applyAlignment="1">
      <alignment horizontal="left" vertical="center" wrapText="1"/>
    </xf>
    <xf numFmtId="4" fontId="3" fillId="5" borderId="7" xfId="0" applyNumberFormat="1" applyFont="1" applyFill="1" applyBorder="1" applyAlignment="1">
      <alignment vertical="center"/>
    </xf>
    <xf numFmtId="43" fontId="10" fillId="0" borderId="11" xfId="2" applyFont="1" applyBorder="1" applyAlignment="1">
      <alignment horizontal="center" vertical="center"/>
    </xf>
    <xf numFmtId="4" fontId="10" fillId="7" borderId="2" xfId="0" applyNumberFormat="1" applyFont="1" applyFill="1" applyBorder="1" applyAlignment="1">
      <alignment horizontal="justify" vertical="center" wrapText="1"/>
    </xf>
    <xf numFmtId="4" fontId="10" fillId="0" borderId="7" xfId="0" applyNumberFormat="1" applyFont="1" applyBorder="1" applyAlignment="1">
      <alignment horizontal="justify" vertical="center" wrapText="1"/>
    </xf>
    <xf numFmtId="3" fontId="10" fillId="7" borderId="2" xfId="0" applyNumberFormat="1" applyFont="1" applyFill="1" applyBorder="1" applyAlignment="1">
      <alignment horizontal="justify" vertical="center" wrapText="1"/>
    </xf>
    <xf numFmtId="4" fontId="10" fillId="6" borderId="2" xfId="0" applyNumberFormat="1" applyFont="1" applyFill="1" applyBorder="1" applyAlignment="1">
      <alignment horizontal="justify" vertical="center" wrapText="1"/>
    </xf>
    <xf numFmtId="0" fontId="3" fillId="5" borderId="2" xfId="0" applyFont="1" applyFill="1" applyBorder="1" applyAlignment="1">
      <alignment vertical="center" wrapText="1"/>
    </xf>
    <xf numFmtId="0" fontId="10" fillId="9" borderId="13" xfId="0" applyFont="1" applyFill="1" applyBorder="1" applyAlignment="1">
      <alignment horizontal="center" vertical="center" wrapText="1"/>
    </xf>
    <xf numFmtId="4" fontId="10" fillId="9" borderId="2" xfId="0" applyNumberFormat="1" applyFont="1" applyFill="1" applyBorder="1" applyAlignment="1">
      <alignment horizontal="center" vertical="center" wrapText="1"/>
    </xf>
    <xf numFmtId="4" fontId="10" fillId="9" borderId="12" xfId="0" applyNumberFormat="1" applyFont="1" applyFill="1" applyBorder="1" applyAlignment="1">
      <alignment horizontal="center" vertical="center" wrapText="1"/>
    </xf>
    <xf numFmtId="4" fontId="10" fillId="0" borderId="12" xfId="0" applyNumberFormat="1" applyFont="1" applyBorder="1" applyAlignment="1">
      <alignment horizontal="center" vertical="center" wrapText="1"/>
    </xf>
    <xf numFmtId="0" fontId="3" fillId="9" borderId="2" xfId="0" applyFont="1" applyFill="1" applyBorder="1" applyAlignment="1">
      <alignment vertical="center"/>
    </xf>
    <xf numFmtId="0" fontId="3" fillId="0" borderId="2" xfId="0" applyFont="1" applyBorder="1" applyAlignment="1">
      <alignment horizontal="justify" vertical="center" wrapText="1"/>
    </xf>
    <xf numFmtId="0" fontId="3" fillId="7" borderId="7" xfId="0" applyFont="1" applyFill="1" applyBorder="1" applyAlignment="1">
      <alignment horizontal="center" vertical="center" wrapText="1"/>
    </xf>
    <xf numFmtId="0" fontId="10" fillId="7" borderId="7" xfId="0" applyFont="1" applyFill="1" applyBorder="1" applyAlignment="1">
      <alignment horizontal="justify" vertical="center" wrapText="1"/>
    </xf>
    <xf numFmtId="0" fontId="10" fillId="7" borderId="7" xfId="0" applyFont="1" applyFill="1" applyBorder="1" applyAlignment="1">
      <alignment horizontal="center" vertical="center" wrapText="1"/>
    </xf>
    <xf numFmtId="4" fontId="10" fillId="7" borderId="7" xfId="0" applyNumberFormat="1" applyFont="1" applyFill="1" applyBorder="1" applyAlignment="1">
      <alignment horizontal="center" vertical="center" wrapText="1"/>
    </xf>
    <xf numFmtId="0" fontId="3" fillId="0" borderId="7" xfId="0" applyFont="1" applyBorder="1" applyAlignment="1">
      <alignment horizontal="justify" vertical="center" wrapText="1"/>
    </xf>
    <xf numFmtId="0" fontId="10" fillId="0" borderId="11" xfId="0" applyFont="1" applyBorder="1" applyAlignment="1">
      <alignment vertical="center"/>
    </xf>
    <xf numFmtId="0" fontId="10" fillId="0" borderId="12" xfId="0" applyFont="1" applyBorder="1" applyAlignment="1">
      <alignment vertical="center"/>
    </xf>
    <xf numFmtId="0" fontId="3" fillId="7" borderId="2" xfId="0" applyFont="1" applyFill="1" applyBorder="1" applyAlignment="1">
      <alignment horizontal="justify" vertical="center"/>
    </xf>
    <xf numFmtId="2" fontId="10" fillId="7" borderId="2" xfId="0" applyNumberFormat="1" applyFont="1" applyFill="1" applyBorder="1" applyAlignment="1">
      <alignment horizontal="center" vertical="center" wrapText="1"/>
    </xf>
    <xf numFmtId="2" fontId="10" fillId="5" borderId="2" xfId="0" applyNumberFormat="1" applyFont="1" applyFill="1" applyBorder="1" applyAlignment="1">
      <alignment horizontal="center" vertical="center" wrapText="1"/>
    </xf>
    <xf numFmtId="2" fontId="10" fillId="0" borderId="7" xfId="0" applyNumberFormat="1" applyFont="1" applyBorder="1" applyAlignment="1">
      <alignment horizontal="center" vertical="center" wrapText="1"/>
    </xf>
    <xf numFmtId="9" fontId="10" fillId="0" borderId="2" xfId="0" applyNumberFormat="1" applyFont="1" applyBorder="1" applyAlignment="1">
      <alignment horizontal="center" vertical="center" wrapText="1"/>
    </xf>
    <xf numFmtId="2" fontId="10" fillId="7" borderId="4" xfId="0" applyNumberFormat="1" applyFont="1" applyFill="1" applyBorder="1" applyAlignment="1">
      <alignment horizontal="center" vertical="center" wrapText="1"/>
    </xf>
    <xf numFmtId="0" fontId="10" fillId="6" borderId="3" xfId="0" applyFont="1" applyFill="1" applyBorder="1" applyAlignment="1">
      <alignment horizontal="justify" vertical="center" wrapText="1"/>
    </xf>
    <xf numFmtId="2" fontId="10" fillId="6" borderId="4" xfId="0" applyNumberFormat="1" applyFont="1" applyFill="1" applyBorder="1" applyAlignment="1">
      <alignment horizontal="center" vertical="center" wrapText="1"/>
    </xf>
    <xf numFmtId="2" fontId="10" fillId="5" borderId="4" xfId="0" applyNumberFormat="1" applyFont="1" applyFill="1" applyBorder="1" applyAlignment="1">
      <alignment horizontal="center" vertical="center" wrapText="1"/>
    </xf>
    <xf numFmtId="1" fontId="10" fillId="0" borderId="7" xfId="0" applyNumberFormat="1" applyFont="1" applyBorder="1" applyAlignment="1">
      <alignment horizontal="center" vertical="center"/>
    </xf>
    <xf numFmtId="1" fontId="3" fillId="4" borderId="7" xfId="0" applyNumberFormat="1" applyFont="1" applyFill="1" applyBorder="1" applyAlignment="1">
      <alignment horizontal="left" vertical="center"/>
    </xf>
    <xf numFmtId="10" fontId="10" fillId="0" borderId="2" xfId="0" applyNumberFormat="1" applyFont="1" applyBorder="1" applyAlignment="1">
      <alignment horizontal="center" vertical="center" wrapText="1"/>
    </xf>
    <xf numFmtId="10" fontId="10" fillId="0" borderId="7" xfId="0" applyNumberFormat="1" applyFont="1" applyBorder="1" applyAlignment="1">
      <alignment horizontal="center" vertical="center" wrapText="1"/>
    </xf>
    <xf numFmtId="1" fontId="10" fillId="0" borderId="9" xfId="0" applyNumberFormat="1" applyFont="1" applyBorder="1" applyAlignment="1">
      <alignment horizontal="center" vertical="center" wrapText="1"/>
    </xf>
    <xf numFmtId="3" fontId="10" fillId="0" borderId="9" xfId="0" applyNumberFormat="1" applyFont="1" applyBorder="1" applyAlignment="1">
      <alignment horizontal="center" vertical="center" wrapText="1"/>
    </xf>
    <xf numFmtId="43" fontId="3" fillId="7" borderId="7" xfId="1" applyFont="1" applyFill="1" applyBorder="1" applyAlignment="1">
      <alignment vertical="center"/>
    </xf>
    <xf numFmtId="10" fontId="10" fillId="0" borderId="2" xfId="0" applyNumberFormat="1" applyFont="1" applyBorder="1" applyAlignment="1">
      <alignment vertical="center" wrapText="1"/>
    </xf>
    <xf numFmtId="43" fontId="3" fillId="7" borderId="8" xfId="1" applyFont="1" applyFill="1" applyBorder="1" applyAlignment="1">
      <alignment vertical="center"/>
    </xf>
    <xf numFmtId="3" fontId="10" fillId="0" borderId="2" xfId="0" applyNumberFormat="1" applyFont="1" applyBorder="1" applyAlignment="1">
      <alignment horizontal="left" vertical="center" wrapText="1"/>
    </xf>
    <xf numFmtId="10" fontId="10" fillId="6" borderId="2" xfId="0" applyNumberFormat="1" applyFont="1" applyFill="1" applyBorder="1" applyAlignment="1">
      <alignment horizontal="center" vertical="center" wrapText="1"/>
    </xf>
    <xf numFmtId="4" fontId="10" fillId="0" borderId="9" xfId="0" applyNumberFormat="1" applyFont="1" applyBorder="1" applyAlignment="1">
      <alignment horizontal="center" vertical="center" wrapText="1"/>
    </xf>
    <xf numFmtId="0" fontId="3" fillId="7" borderId="9" xfId="0" applyFont="1" applyFill="1" applyBorder="1" applyAlignment="1">
      <alignment horizontal="justify" vertical="center" wrapText="1"/>
    </xf>
    <xf numFmtId="165" fontId="10" fillId="0" borderId="11" xfId="2" applyNumberFormat="1" applyFont="1" applyBorder="1" applyAlignment="1">
      <alignment horizontal="justify" vertical="center"/>
    </xf>
    <xf numFmtId="10" fontId="10" fillId="0" borderId="1" xfId="0" applyNumberFormat="1" applyFont="1" applyBorder="1" applyAlignment="1">
      <alignment horizontal="center" vertical="center" wrapText="1"/>
    </xf>
    <xf numFmtId="0" fontId="10" fillId="7" borderId="8" xfId="0" applyFont="1" applyFill="1" applyBorder="1" applyAlignment="1">
      <alignment horizontal="justify" vertical="center" wrapText="1"/>
    </xf>
    <xf numFmtId="0" fontId="10" fillId="7" borderId="12" xfId="0" applyFont="1" applyFill="1" applyBorder="1" applyAlignment="1">
      <alignment horizontal="center" vertical="center"/>
    </xf>
    <xf numFmtId="4" fontId="10" fillId="0" borderId="7" xfId="0" applyNumberFormat="1" applyFont="1" applyBorder="1" applyAlignment="1">
      <alignment horizontal="center" vertical="center"/>
    </xf>
    <xf numFmtId="4" fontId="10" fillId="0" borderId="9" xfId="0" applyNumberFormat="1" applyFont="1" applyBorder="1" applyAlignment="1">
      <alignment horizontal="center" vertical="center"/>
    </xf>
    <xf numFmtId="10" fontId="10" fillId="0" borderId="11" xfId="0" applyNumberFormat="1" applyFont="1" applyBorder="1" applyAlignment="1">
      <alignment vertical="center" wrapText="1"/>
    </xf>
    <xf numFmtId="0" fontId="10" fillId="0" borderId="13" xfId="0" applyFont="1" applyBorder="1" applyAlignment="1">
      <alignment horizontal="justify" vertical="center" wrapText="1"/>
    </xf>
    <xf numFmtId="10" fontId="10" fillId="0" borderId="13" xfId="0" applyNumberFormat="1" applyFont="1" applyBorder="1" applyAlignment="1">
      <alignment horizontal="center" vertical="center" wrapText="1"/>
    </xf>
    <xf numFmtId="3" fontId="10" fillId="0" borderId="13" xfId="0" applyNumberFormat="1" applyFont="1" applyBorder="1" applyAlignment="1">
      <alignment horizontal="center" vertical="center" wrapText="1"/>
    </xf>
    <xf numFmtId="0" fontId="10" fillId="0" borderId="0" xfId="0" applyFont="1" applyAlignment="1">
      <alignment horizontal="justify" vertical="center" wrapText="1"/>
    </xf>
    <xf numFmtId="10" fontId="10" fillId="0" borderId="1" xfId="0" applyNumberFormat="1" applyFont="1" applyBorder="1" applyAlignment="1">
      <alignment vertical="center" wrapText="1"/>
    </xf>
    <xf numFmtId="10" fontId="10" fillId="0" borderId="12" xfId="0" applyNumberFormat="1" applyFont="1" applyBorder="1" applyAlignment="1">
      <alignment vertical="center" wrapText="1"/>
    </xf>
    <xf numFmtId="13" fontId="10" fillId="0" borderId="11" xfId="0" applyNumberFormat="1" applyFont="1" applyBorder="1" applyAlignment="1">
      <alignment horizontal="center" vertical="center" wrapText="1"/>
    </xf>
    <xf numFmtId="10" fontId="10" fillId="0" borderId="12" xfId="0" applyNumberFormat="1" applyFont="1" applyBorder="1" applyAlignment="1">
      <alignment horizontal="center" vertical="center" wrapText="1"/>
    </xf>
    <xf numFmtId="0" fontId="10" fillId="7" borderId="12" xfId="0" applyFont="1" applyFill="1" applyBorder="1" applyAlignment="1">
      <alignment horizontal="justify" vertical="center" wrapText="1"/>
    </xf>
    <xf numFmtId="0" fontId="10" fillId="7" borderId="12" xfId="0" applyFont="1" applyFill="1" applyBorder="1" applyAlignment="1">
      <alignment horizontal="center" vertical="center" wrapText="1"/>
    </xf>
    <xf numFmtId="3" fontId="10" fillId="7" borderId="12" xfId="0" applyNumberFormat="1" applyFont="1" applyFill="1" applyBorder="1" applyAlignment="1">
      <alignment horizontal="center" vertical="center" wrapText="1"/>
    </xf>
    <xf numFmtId="3" fontId="10" fillId="7" borderId="12" xfId="0" applyNumberFormat="1" applyFont="1" applyFill="1" applyBorder="1" applyAlignment="1">
      <alignment horizontal="center" vertical="center"/>
    </xf>
    <xf numFmtId="0" fontId="10" fillId="6" borderId="14" xfId="0" applyFont="1" applyFill="1" applyBorder="1" applyAlignment="1">
      <alignment horizontal="justify" vertical="center" wrapText="1"/>
    </xf>
    <xf numFmtId="4" fontId="10" fillId="7" borderId="2" xfId="0" applyNumberFormat="1" applyFont="1" applyFill="1" applyBorder="1" applyAlignment="1">
      <alignment horizontal="center" vertical="center"/>
    </xf>
    <xf numFmtId="9" fontId="10" fillId="0" borderId="2" xfId="3" applyFont="1" applyBorder="1" applyAlignment="1">
      <alignment horizontal="center" vertical="center" wrapText="1"/>
    </xf>
    <xf numFmtId="9" fontId="10" fillId="7" borderId="2" xfId="3" applyFont="1" applyFill="1" applyBorder="1" applyAlignment="1">
      <alignment horizontal="center" vertical="center" wrapText="1"/>
    </xf>
    <xf numFmtId="3" fontId="10" fillId="7" borderId="2" xfId="3" applyNumberFormat="1" applyFont="1" applyFill="1" applyBorder="1" applyAlignment="1">
      <alignment horizontal="center" vertical="center" wrapText="1"/>
    </xf>
    <xf numFmtId="3" fontId="10" fillId="7" borderId="2" xfId="0" applyNumberFormat="1" applyFont="1" applyFill="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3" fontId="10" fillId="7" borderId="2" xfId="0" applyNumberFormat="1" applyFont="1" applyFill="1" applyBorder="1" applyAlignment="1">
      <alignment horizontal="right" vertical="center"/>
    </xf>
    <xf numFmtId="0" fontId="10" fillId="6" borderId="8" xfId="0" applyFont="1" applyFill="1" applyBorder="1" applyAlignment="1">
      <alignment horizontal="right" vertical="center" wrapText="1"/>
    </xf>
    <xf numFmtId="3" fontId="10" fillId="6" borderId="2" xfId="0" applyNumberFormat="1" applyFont="1" applyFill="1" applyBorder="1" applyAlignment="1">
      <alignment horizontal="right" vertical="center" wrapText="1"/>
    </xf>
    <xf numFmtId="3" fontId="10" fillId="6" borderId="2" xfId="0" applyNumberFormat="1" applyFont="1" applyFill="1" applyBorder="1" applyAlignment="1">
      <alignment horizontal="right" vertical="center"/>
    </xf>
    <xf numFmtId="49" fontId="10" fillId="6" borderId="8" xfId="0" applyNumberFormat="1" applyFont="1" applyFill="1" applyBorder="1" applyAlignment="1">
      <alignment horizontal="justify" vertical="center" wrapText="1"/>
    </xf>
    <xf numFmtId="49" fontId="10" fillId="6" borderId="2" xfId="0" applyNumberFormat="1" applyFont="1" applyFill="1" applyBorder="1" applyAlignment="1">
      <alignment horizontal="center" vertical="center" wrapText="1"/>
    </xf>
    <xf numFmtId="49" fontId="10" fillId="6" borderId="2" xfId="0" applyNumberFormat="1" applyFont="1" applyFill="1" applyBorder="1" applyAlignment="1">
      <alignment horizontal="justify" vertical="center" wrapText="1"/>
    </xf>
    <xf numFmtId="49" fontId="10" fillId="5" borderId="2" xfId="0" applyNumberFormat="1" applyFont="1" applyFill="1" applyBorder="1" applyAlignment="1">
      <alignment horizontal="justify" vertical="center" wrapText="1"/>
    </xf>
    <xf numFmtId="49" fontId="10" fillId="5" borderId="2" xfId="0" applyNumberFormat="1" applyFont="1" applyFill="1" applyBorder="1" applyAlignment="1">
      <alignment horizontal="center" vertical="center" wrapText="1"/>
    </xf>
    <xf numFmtId="10" fontId="10" fillId="5" borderId="2" xfId="0" applyNumberFormat="1" applyFont="1" applyFill="1" applyBorder="1" applyAlignment="1">
      <alignment horizontal="center" vertical="center" wrapText="1"/>
    </xf>
    <xf numFmtId="3" fontId="10" fillId="8" borderId="2" xfId="0" applyNumberFormat="1" applyFont="1" applyFill="1" applyBorder="1" applyAlignment="1">
      <alignment horizontal="center" vertical="center"/>
    </xf>
    <xf numFmtId="49" fontId="10" fillId="0" borderId="7" xfId="0" applyNumberFormat="1" applyFont="1" applyBorder="1" applyAlignment="1">
      <alignment horizontal="justify" vertical="center" wrapText="1"/>
    </xf>
    <xf numFmtId="49" fontId="10" fillId="0" borderId="7" xfId="0" applyNumberFormat="1" applyFont="1" applyBorder="1" applyAlignment="1">
      <alignment horizontal="center" vertical="center" wrapText="1"/>
    </xf>
    <xf numFmtId="49" fontId="10" fillId="3" borderId="4" xfId="0" applyNumberFormat="1" applyFont="1" applyFill="1" applyBorder="1" applyAlignment="1">
      <alignment vertical="center" wrapText="1"/>
    </xf>
    <xf numFmtId="49" fontId="10" fillId="0" borderId="11" xfId="0" applyNumberFormat="1" applyFont="1" applyBorder="1" applyAlignment="1">
      <alignment vertical="center" wrapText="1"/>
    </xf>
    <xf numFmtId="49" fontId="10" fillId="3" borderId="11" xfId="0" applyNumberFormat="1" applyFont="1" applyFill="1" applyBorder="1" applyAlignment="1">
      <alignment vertical="center" wrapText="1"/>
    </xf>
    <xf numFmtId="0" fontId="10" fillId="0" borderId="0" xfId="0" applyFont="1" applyAlignment="1">
      <alignment horizontal="center" vertical="center"/>
    </xf>
    <xf numFmtId="3" fontId="3" fillId="7" borderId="7" xfId="0" applyNumberFormat="1" applyFont="1" applyFill="1" applyBorder="1" applyAlignment="1">
      <alignment horizontal="left" vertical="center"/>
    </xf>
    <xf numFmtId="49" fontId="10" fillId="3" borderId="12" xfId="0" applyNumberFormat="1" applyFont="1" applyFill="1" applyBorder="1" applyAlignment="1">
      <alignment vertical="center" wrapText="1"/>
    </xf>
    <xf numFmtId="9" fontId="10" fillId="0" borderId="2" xfId="0" applyNumberFormat="1" applyFont="1" applyBorder="1" applyAlignment="1">
      <alignment horizontal="center" vertical="center"/>
    </xf>
    <xf numFmtId="49" fontId="10" fillId="3"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7" borderId="2" xfId="0" applyFont="1" applyFill="1" applyBorder="1" applyAlignment="1">
      <alignment vertical="center" wrapText="1"/>
    </xf>
    <xf numFmtId="0" fontId="10" fillId="6" borderId="2" xfId="0" applyFont="1" applyFill="1" applyBorder="1" applyAlignment="1">
      <alignment vertical="center" wrapText="1"/>
    </xf>
    <xf numFmtId="0" fontId="10" fillId="5" borderId="2" xfId="0" applyFont="1" applyFill="1" applyBorder="1" applyAlignment="1">
      <alignment vertical="center" wrapText="1"/>
    </xf>
    <xf numFmtId="0" fontId="10" fillId="8" borderId="2" xfId="0" applyFont="1" applyFill="1" applyBorder="1" applyAlignment="1">
      <alignment horizontal="justify" vertical="center"/>
    </xf>
    <xf numFmtId="3" fontId="10" fillId="5" borderId="2" xfId="0" applyNumberFormat="1" applyFont="1" applyFill="1" applyBorder="1" applyAlignment="1">
      <alignment horizontal="center" vertical="center"/>
    </xf>
    <xf numFmtId="0" fontId="3" fillId="6" borderId="9" xfId="0" applyFont="1" applyFill="1" applyBorder="1" applyAlignment="1">
      <alignment horizontal="justify" vertical="center" wrapText="1"/>
    </xf>
    <xf numFmtId="3" fontId="10" fillId="0" borderId="2" xfId="1" applyNumberFormat="1" applyFont="1" applyBorder="1" applyAlignment="1">
      <alignment horizontal="center" vertical="center"/>
    </xf>
    <xf numFmtId="0" fontId="10" fillId="7" borderId="2" xfId="2" applyNumberFormat="1" applyFont="1" applyFill="1" applyBorder="1" applyAlignment="1">
      <alignment horizontal="center" vertical="center" wrapText="1"/>
    </xf>
    <xf numFmtId="3" fontId="10" fillId="7" borderId="2" xfId="2" applyNumberFormat="1" applyFont="1" applyFill="1" applyBorder="1" applyAlignment="1">
      <alignment horizontal="center" vertical="center" wrapText="1"/>
    </xf>
    <xf numFmtId="0" fontId="10" fillId="0" borderId="4" xfId="0" applyFont="1" applyBorder="1" applyAlignment="1">
      <alignment vertical="center"/>
    </xf>
    <xf numFmtId="3" fontId="10" fillId="0" borderId="2" xfId="3" applyNumberFormat="1" applyFont="1" applyBorder="1" applyAlignment="1">
      <alignment horizontal="center" vertical="center" wrapText="1"/>
    </xf>
    <xf numFmtId="2" fontId="10" fillId="0" borderId="9" xfId="0" applyNumberFormat="1" applyFont="1" applyBorder="1" applyAlignment="1">
      <alignment horizontal="center" vertical="center" wrapText="1"/>
    </xf>
    <xf numFmtId="1" fontId="3" fillId="7" borderId="7" xfId="0" applyNumberFormat="1" applyFont="1" applyFill="1" applyBorder="1" applyAlignment="1">
      <alignment horizontal="left" vertical="center"/>
    </xf>
    <xf numFmtId="0" fontId="3" fillId="7" borderId="2" xfId="0" applyFont="1" applyFill="1" applyBorder="1" applyAlignment="1">
      <alignment vertical="center"/>
    </xf>
    <xf numFmtId="1" fontId="10" fillId="0" borderId="2" xfId="3" applyNumberFormat="1" applyFont="1" applyBorder="1" applyAlignment="1">
      <alignment horizontal="center" vertical="center" wrapText="1"/>
    </xf>
    <xf numFmtId="0" fontId="3" fillId="6" borderId="2" xfId="0" applyFont="1" applyFill="1" applyBorder="1" applyAlignment="1">
      <alignment vertical="center"/>
    </xf>
    <xf numFmtId="0" fontId="3" fillId="12" borderId="7" xfId="0" applyFont="1" applyFill="1" applyBorder="1" applyAlignment="1">
      <alignment horizontal="center" vertical="center" wrapText="1"/>
    </xf>
    <xf numFmtId="1" fontId="3" fillId="12" borderId="7" xfId="0" applyNumberFormat="1" applyFont="1" applyFill="1" applyBorder="1" applyAlignment="1">
      <alignment horizontal="center" vertical="center" wrapText="1"/>
    </xf>
    <xf numFmtId="0" fontId="3" fillId="12" borderId="8" xfId="0" applyFont="1" applyFill="1" applyBorder="1" applyAlignment="1">
      <alignment horizontal="center" vertical="center" wrapText="1"/>
    </xf>
    <xf numFmtId="0" fontId="10" fillId="12" borderId="2" xfId="0" applyFont="1" applyFill="1" applyBorder="1" applyAlignment="1">
      <alignment horizontal="center" vertical="center" wrapText="1"/>
    </xf>
    <xf numFmtId="0" fontId="3" fillId="5" borderId="2" xfId="0" applyFont="1" applyFill="1" applyBorder="1" applyAlignment="1">
      <alignment vertical="center"/>
    </xf>
    <xf numFmtId="0" fontId="10" fillId="6" borderId="2" xfId="0" applyFont="1" applyFill="1" applyBorder="1" applyAlignment="1">
      <alignment horizontal="justify" vertical="center"/>
    </xf>
    <xf numFmtId="0" fontId="10" fillId="7" borderId="4" xfId="0" applyFont="1" applyFill="1" applyBorder="1" applyAlignment="1">
      <alignment horizontal="center" vertical="center"/>
    </xf>
    <xf numFmtId="1" fontId="10" fillId="7" borderId="4" xfId="0" applyNumberFormat="1" applyFont="1" applyFill="1" applyBorder="1" applyAlignment="1">
      <alignment horizontal="center" vertical="center"/>
    </xf>
    <xf numFmtId="0" fontId="10" fillId="7" borderId="4" xfId="0" applyFont="1" applyFill="1" applyBorder="1" applyAlignment="1">
      <alignment horizontal="justify" vertical="center"/>
    </xf>
    <xf numFmtId="0" fontId="10" fillId="6" borderId="4" xfId="0" applyFont="1" applyFill="1" applyBorder="1" applyAlignment="1">
      <alignment horizontal="center" vertical="center"/>
    </xf>
    <xf numFmtId="1" fontId="10" fillId="6" borderId="4" xfId="0" applyNumberFormat="1" applyFont="1" applyFill="1" applyBorder="1" applyAlignment="1">
      <alignment horizontal="center" vertical="center"/>
    </xf>
    <xf numFmtId="0" fontId="10" fillId="6" borderId="4" xfId="0" applyFont="1" applyFill="1" applyBorder="1" applyAlignment="1">
      <alignment horizontal="justify" vertical="center"/>
    </xf>
    <xf numFmtId="1" fontId="3" fillId="6" borderId="7" xfId="0" applyNumberFormat="1" applyFont="1" applyFill="1" applyBorder="1" applyAlignment="1">
      <alignment horizontal="justify" vertical="center" wrapText="1"/>
    </xf>
    <xf numFmtId="0" fontId="10" fillId="5" borderId="2" xfId="0" applyFont="1" applyFill="1" applyBorder="1" applyAlignment="1">
      <alignment horizontal="justify" vertical="center"/>
    </xf>
    <xf numFmtId="0" fontId="3" fillId="4" borderId="12" xfId="0" applyFont="1" applyFill="1" applyBorder="1" applyAlignment="1">
      <alignment horizontal="left" vertical="center"/>
    </xf>
    <xf numFmtId="0" fontId="3" fillId="4" borderId="12" xfId="0" applyFont="1" applyFill="1" applyBorder="1" applyAlignment="1">
      <alignment horizontal="center" vertical="center"/>
    </xf>
    <xf numFmtId="0" fontId="3" fillId="4" borderId="13" xfId="0" applyFont="1" applyFill="1" applyBorder="1" applyAlignment="1">
      <alignment horizontal="left" vertical="center"/>
    </xf>
    <xf numFmtId="0" fontId="3" fillId="4" borderId="13" xfId="0" applyFont="1" applyFill="1" applyBorder="1" applyAlignment="1">
      <alignment horizontal="center" vertical="center"/>
    </xf>
    <xf numFmtId="1" fontId="3" fillId="4" borderId="13" xfId="0" applyNumberFormat="1" applyFont="1" applyFill="1" applyBorder="1" applyAlignment="1">
      <alignment horizontal="left" vertical="center"/>
    </xf>
    <xf numFmtId="0" fontId="3" fillId="5" borderId="7" xfId="0" applyFont="1" applyFill="1" applyBorder="1" applyAlignment="1">
      <alignment vertical="center" wrapText="1"/>
    </xf>
    <xf numFmtId="0" fontId="3" fillId="5" borderId="7" xfId="0" applyFont="1" applyFill="1" applyBorder="1" applyAlignment="1">
      <alignment horizontal="center" vertical="center" wrapText="1"/>
    </xf>
    <xf numFmtId="1" fontId="3" fillId="5" borderId="7" xfId="0" applyNumberFormat="1"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1" fontId="3" fillId="6" borderId="7" xfId="0" applyNumberFormat="1" applyFont="1" applyFill="1" applyBorder="1" applyAlignment="1">
      <alignment vertical="center" wrapText="1"/>
    </xf>
    <xf numFmtId="165" fontId="10" fillId="0" borderId="2" xfId="0" applyNumberFormat="1" applyFont="1" applyBorder="1" applyAlignment="1">
      <alignment horizontal="justify" vertical="center" wrapText="1"/>
    </xf>
    <xf numFmtId="43" fontId="12" fillId="0" borderId="4" xfId="1" applyFont="1" applyBorder="1" applyAlignment="1">
      <alignment horizontal="center" vertical="center" wrapText="1"/>
    </xf>
    <xf numFmtId="43" fontId="12" fillId="0" borderId="5" xfId="1" applyFont="1" applyBorder="1" applyAlignment="1">
      <alignment horizontal="center" vertical="center" wrapText="1"/>
    </xf>
    <xf numFmtId="0" fontId="10" fillId="0" borderId="2" xfId="0" applyFont="1" applyBorder="1" applyAlignment="1">
      <alignment vertical="center"/>
    </xf>
    <xf numFmtId="43" fontId="12" fillId="0" borderId="2" xfId="1" applyFont="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2" xfId="1" applyNumberFormat="1" applyFont="1" applyBorder="1" applyAlignment="1">
      <alignment horizontal="center" vertical="center"/>
    </xf>
    <xf numFmtId="3" fontId="10" fillId="0" borderId="8" xfId="0" applyNumberFormat="1" applyFont="1" applyBorder="1" applyAlignment="1">
      <alignment horizontal="center" vertical="center"/>
    </xf>
    <xf numFmtId="3" fontId="10" fillId="0" borderId="1" xfId="0" applyNumberFormat="1" applyFont="1" applyBorder="1" applyAlignment="1">
      <alignment horizontal="center" vertical="center"/>
    </xf>
    <xf numFmtId="0" fontId="8" fillId="0" borderId="0" xfId="0" applyFont="1" applyAlignment="1">
      <alignment vertical="center"/>
    </xf>
    <xf numFmtId="0" fontId="10" fillId="0" borderId="11" xfId="0" applyFont="1" applyBorder="1" applyAlignment="1">
      <alignment horizontal="center"/>
    </xf>
    <xf numFmtId="0" fontId="10" fillId="0" borderId="11" xfId="0" applyFont="1" applyBorder="1"/>
    <xf numFmtId="0" fontId="8" fillId="0" borderId="0" xfId="0" applyFont="1" applyAlignment="1">
      <alignment horizontal="left" vertical="center" wrapText="1"/>
    </xf>
    <xf numFmtId="0" fontId="8" fillId="0" borderId="0" xfId="0" applyFont="1" applyAlignment="1">
      <alignment horizontal="right"/>
    </xf>
    <xf numFmtId="0" fontId="4" fillId="0" borderId="0" xfId="0" applyFont="1"/>
    <xf numFmtId="0" fontId="8" fillId="2" borderId="0" xfId="0" applyFont="1" applyFill="1" applyAlignment="1">
      <alignment horizontal="center"/>
    </xf>
    <xf numFmtId="1" fontId="8" fillId="2" borderId="0" xfId="0" applyNumberFormat="1" applyFont="1" applyFill="1"/>
    <xf numFmtId="0" fontId="8" fillId="0" borderId="0" xfId="0" applyFont="1" applyAlignment="1">
      <alignment horizontal="center"/>
    </xf>
    <xf numFmtId="0" fontId="3" fillId="0" borderId="4"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9" borderId="7" xfId="0" applyFont="1" applyFill="1" applyBorder="1" applyAlignment="1">
      <alignment horizontal="center" vertical="center"/>
    </xf>
    <xf numFmtId="0" fontId="10" fillId="7" borderId="9" xfId="0" applyFont="1" applyFill="1" applyBorder="1" applyAlignment="1">
      <alignment horizontal="center" vertical="center"/>
    </xf>
    <xf numFmtId="0" fontId="3" fillId="7" borderId="9" xfId="0" applyFont="1" applyFill="1" applyBorder="1" applyAlignment="1">
      <alignment horizontal="center" vertical="center"/>
    </xf>
    <xf numFmtId="0" fontId="10" fillId="2" borderId="0" xfId="0" applyFont="1" applyFill="1" applyAlignment="1">
      <alignment horizontal="center"/>
    </xf>
    <xf numFmtId="0" fontId="10" fillId="0" borderId="0" xfId="0" applyFont="1" applyAlignment="1">
      <alignment horizontal="center"/>
    </xf>
    <xf numFmtId="0" fontId="10" fillId="0" borderId="12" xfId="0" applyFont="1" applyBorder="1" applyAlignment="1">
      <alignment horizontal="right" vertical="center" wrapText="1"/>
    </xf>
    <xf numFmtId="0" fontId="3" fillId="0" borderId="5" xfId="0" applyFont="1" applyBorder="1" applyAlignment="1">
      <alignment horizontal="center" vertical="center" wrapText="1"/>
    </xf>
    <xf numFmtId="49" fontId="10" fillId="0" borderId="12" xfId="0" applyNumberFormat="1" applyFont="1" applyBorder="1" applyAlignment="1">
      <alignment horizontal="justify" vertical="center" wrapText="1"/>
    </xf>
    <xf numFmtId="16" fontId="10" fillId="0" borderId="12" xfId="0" applyNumberFormat="1" applyFont="1" applyBorder="1" applyAlignment="1">
      <alignment horizontal="center" vertical="center" wrapText="1"/>
    </xf>
    <xf numFmtId="0" fontId="10" fillId="0" borderId="9" xfId="0" applyFont="1" applyBorder="1" applyAlignment="1">
      <alignment horizontal="center" vertical="center" wrapText="1"/>
    </xf>
    <xf numFmtId="43" fontId="10" fillId="0" borderId="2" xfId="1" applyFont="1" applyBorder="1" applyAlignment="1">
      <alignment horizontal="justify" vertical="center"/>
    </xf>
    <xf numFmtId="43" fontId="10" fillId="0" borderId="2" xfId="1" applyFont="1" applyBorder="1" applyAlignment="1">
      <alignment horizontal="center" vertical="center"/>
    </xf>
    <xf numFmtId="43" fontId="10" fillId="0" borderId="6" xfId="1" applyFont="1" applyBorder="1" applyAlignment="1">
      <alignment horizontal="justify" vertical="center"/>
    </xf>
    <xf numFmtId="43" fontId="10" fillId="0" borderId="6" xfId="1" applyFont="1" applyBorder="1" applyAlignment="1">
      <alignment horizontal="center" vertical="center"/>
    </xf>
    <xf numFmtId="43" fontId="10" fillId="0" borderId="7" xfId="1" applyFont="1" applyBorder="1" applyAlignment="1">
      <alignment horizontal="justify" vertical="center"/>
    </xf>
    <xf numFmtId="43" fontId="10" fillId="2" borderId="7" xfId="1" applyFont="1" applyFill="1" applyBorder="1" applyAlignment="1">
      <alignment horizontal="justify" vertical="center"/>
    </xf>
    <xf numFmtId="43" fontId="10" fillId="0" borderId="7" xfId="1" applyFont="1" applyBorder="1" applyAlignment="1">
      <alignment horizontal="center" vertical="center"/>
    </xf>
    <xf numFmtId="43" fontId="10" fillId="0" borderId="7" xfId="1" applyFont="1" applyBorder="1" applyAlignment="1">
      <alignment vertical="center"/>
    </xf>
    <xf numFmtId="43" fontId="10" fillId="0" borderId="8" xfId="1" applyFont="1" applyBorder="1" applyAlignment="1">
      <alignment horizontal="justify" vertical="center"/>
    </xf>
    <xf numFmtId="43" fontId="10" fillId="7" borderId="2" xfId="1" applyFont="1" applyFill="1" applyBorder="1" applyAlignment="1">
      <alignment horizontal="justify" vertical="center"/>
    </xf>
    <xf numFmtId="43" fontId="10" fillId="6" borderId="7" xfId="1" applyFont="1" applyFill="1" applyBorder="1" applyAlignment="1">
      <alignment horizontal="justify" vertical="center"/>
    </xf>
    <xf numFmtId="43" fontId="3" fillId="6" borderId="7" xfId="1" applyFont="1" applyFill="1" applyBorder="1" applyAlignment="1">
      <alignment vertical="center"/>
    </xf>
    <xf numFmtId="43" fontId="3" fillId="6" borderId="7" xfId="1" applyFont="1" applyFill="1" applyBorder="1" applyAlignment="1">
      <alignment horizontal="center" vertical="center"/>
    </xf>
    <xf numFmtId="43" fontId="3" fillId="7" borderId="7" xfId="1" applyFont="1" applyFill="1" applyBorder="1" applyAlignment="1">
      <alignment horizontal="center" vertical="center"/>
    </xf>
    <xf numFmtId="43" fontId="10" fillId="0" borderId="2" xfId="1" applyFont="1" applyBorder="1" applyAlignment="1">
      <alignment vertical="center"/>
    </xf>
    <xf numFmtId="43" fontId="10" fillId="6" borderId="2" xfId="1" applyFont="1" applyFill="1" applyBorder="1" applyAlignment="1">
      <alignment horizontal="justify" vertical="center"/>
    </xf>
    <xf numFmtId="43" fontId="3" fillId="6" borderId="8" xfId="1" applyFont="1" applyFill="1" applyBorder="1" applyAlignment="1">
      <alignment vertical="center"/>
    </xf>
    <xf numFmtId="43" fontId="3" fillId="9" borderId="7" xfId="1" applyFont="1" applyFill="1" applyBorder="1" applyAlignment="1">
      <alignment vertical="center"/>
    </xf>
    <xf numFmtId="43" fontId="3" fillId="9" borderId="7" xfId="1" applyFont="1" applyFill="1" applyBorder="1" applyAlignment="1">
      <alignment horizontal="center" vertical="center"/>
    </xf>
    <xf numFmtId="43" fontId="3" fillId="9" borderId="8" xfId="1" applyFont="1" applyFill="1" applyBorder="1" applyAlignment="1">
      <alignment vertical="center"/>
    </xf>
    <xf numFmtId="43" fontId="10" fillId="0" borderId="2" xfId="1" applyFont="1" applyBorder="1" applyAlignment="1">
      <alignment vertical="center" wrapText="1"/>
    </xf>
    <xf numFmtId="43" fontId="10" fillId="5" borderId="2" xfId="1" applyFont="1" applyFill="1" applyBorder="1" applyAlignment="1">
      <alignment horizontal="justify" vertical="center"/>
    </xf>
    <xf numFmtId="43" fontId="10" fillId="8" borderId="2" xfId="1" applyFont="1" applyFill="1" applyBorder="1" applyAlignment="1">
      <alignment horizontal="justify" vertical="center"/>
    </xf>
    <xf numFmtId="43" fontId="3" fillId="0" borderId="2" xfId="1" applyFont="1" applyBorder="1" applyAlignment="1">
      <alignment horizontal="left" vertical="center"/>
    </xf>
    <xf numFmtId="43" fontId="3" fillId="0" borderId="12" xfId="1" applyFont="1" applyBorder="1" applyAlignment="1">
      <alignment horizontal="left" vertical="center"/>
    </xf>
    <xf numFmtId="43" fontId="10" fillId="0" borderId="12" xfId="1" applyFont="1" applyBorder="1" applyAlignment="1">
      <alignment horizontal="justify" vertical="center"/>
    </xf>
    <xf numFmtId="43" fontId="10" fillId="2" borderId="2" xfId="1" applyFont="1" applyFill="1" applyBorder="1" applyAlignment="1">
      <alignment horizontal="justify" vertical="center"/>
    </xf>
    <xf numFmtId="43" fontId="10" fillId="0" borderId="6" xfId="1" applyFont="1" applyBorder="1"/>
    <xf numFmtId="43" fontId="10" fillId="0" borderId="2" xfId="1" applyFont="1" applyBorder="1"/>
    <xf numFmtId="43" fontId="10" fillId="0" borderId="6" xfId="1" applyFont="1" applyBorder="1" applyAlignment="1">
      <alignment vertical="center"/>
    </xf>
    <xf numFmtId="43" fontId="3" fillId="5" borderId="7" xfId="1" applyFont="1" applyFill="1" applyBorder="1" applyAlignment="1">
      <alignment vertical="center"/>
    </xf>
    <xf numFmtId="43" fontId="3" fillId="5" borderId="7" xfId="1" applyFont="1" applyFill="1" applyBorder="1" applyAlignment="1">
      <alignment horizontal="center" vertical="center"/>
    </xf>
    <xf numFmtId="43" fontId="3" fillId="5" borderId="8" xfId="1" applyFont="1" applyFill="1" applyBorder="1" applyAlignment="1">
      <alignment vertical="center"/>
    </xf>
    <xf numFmtId="43" fontId="10" fillId="9" borderId="2" xfId="1" applyFont="1" applyFill="1" applyBorder="1" applyAlignment="1">
      <alignment horizontal="justify" vertical="center"/>
    </xf>
    <xf numFmtId="43" fontId="10" fillId="9" borderId="2" xfId="1" applyFont="1" applyFill="1" applyBorder="1" applyAlignment="1">
      <alignment horizontal="justify" vertical="center" wrapText="1"/>
    </xf>
    <xf numFmtId="43" fontId="10" fillId="6" borderId="2" xfId="1" applyFont="1" applyFill="1" applyBorder="1" applyAlignment="1">
      <alignment horizontal="justify" vertical="center" wrapText="1"/>
    </xf>
    <xf numFmtId="43" fontId="10" fillId="13" borderId="15" xfId="1" applyFont="1" applyFill="1" applyBorder="1" applyAlignment="1">
      <alignment vertical="center"/>
    </xf>
    <xf numFmtId="43" fontId="10" fillId="0" borderId="4" xfId="1" applyFont="1" applyBorder="1" applyAlignment="1">
      <alignment horizontal="justify" vertical="center"/>
    </xf>
    <xf numFmtId="43" fontId="10" fillId="0" borderId="4" xfId="1" applyFont="1" applyBorder="1" applyAlignment="1">
      <alignment vertical="center"/>
    </xf>
    <xf numFmtId="43" fontId="10" fillId="0" borderId="13" xfId="1" applyFont="1" applyBorder="1" applyAlignment="1">
      <alignment horizontal="justify" vertical="center"/>
    </xf>
    <xf numFmtId="43" fontId="10" fillId="0" borderId="13" xfId="1" applyFont="1" applyBorder="1" applyAlignment="1">
      <alignment horizontal="center" vertical="center"/>
    </xf>
    <xf numFmtId="43" fontId="3" fillId="7" borderId="9" xfId="1" applyFont="1" applyFill="1" applyBorder="1" applyAlignment="1">
      <alignment vertical="center"/>
    </xf>
    <xf numFmtId="43" fontId="3" fillId="7" borderId="9" xfId="1" applyFont="1" applyFill="1" applyBorder="1" applyAlignment="1">
      <alignment horizontal="center" vertical="center"/>
    </xf>
    <xf numFmtId="43" fontId="10" fillId="0" borderId="13" xfId="1" applyFont="1" applyBorder="1" applyAlignment="1">
      <alignment vertical="center"/>
    </xf>
    <xf numFmtId="43" fontId="3" fillId="6" borderId="9" xfId="1" applyFont="1" applyFill="1" applyBorder="1" applyAlignment="1">
      <alignment vertical="center"/>
    </xf>
    <xf numFmtId="43" fontId="3" fillId="6" borderId="9" xfId="1" applyFont="1" applyFill="1" applyBorder="1" applyAlignment="1">
      <alignment horizontal="center" vertical="center"/>
    </xf>
    <xf numFmtId="43" fontId="3" fillId="6" borderId="3" xfId="1" applyFont="1" applyFill="1" applyBorder="1" applyAlignment="1">
      <alignment vertical="center"/>
    </xf>
    <xf numFmtId="43" fontId="10" fillId="7" borderId="4" xfId="1" applyFont="1" applyFill="1" applyBorder="1" applyAlignment="1">
      <alignment horizontal="justify" vertical="center"/>
    </xf>
    <xf numFmtId="43" fontId="3" fillId="10" borderId="7" xfId="1" applyFont="1" applyFill="1" applyBorder="1" applyAlignment="1">
      <alignment vertical="center"/>
    </xf>
    <xf numFmtId="43" fontId="10" fillId="0" borderId="12" xfId="1" applyFont="1" applyBorder="1" applyAlignment="1">
      <alignment vertical="center"/>
    </xf>
    <xf numFmtId="43" fontId="10" fillId="0" borderId="12" xfId="1" applyFont="1" applyBorder="1" applyAlignment="1">
      <alignment horizontal="center" vertical="center"/>
    </xf>
    <xf numFmtId="43" fontId="3" fillId="0" borderId="17" xfId="1" applyFont="1" applyBorder="1" applyAlignment="1">
      <alignment horizontal="left" vertical="center"/>
    </xf>
    <xf numFmtId="43" fontId="10" fillId="0" borderId="2" xfId="1" applyFont="1" applyBorder="1" applyAlignment="1">
      <alignment horizontal="right" vertical="center"/>
    </xf>
    <xf numFmtId="43" fontId="10" fillId="0" borderId="17" xfId="1" applyFont="1" applyBorder="1" applyAlignment="1">
      <alignment horizontal="justify" vertical="center"/>
    </xf>
    <xf numFmtId="43" fontId="10" fillId="0" borderId="4" xfId="1" applyFont="1" applyBorder="1" applyAlignment="1">
      <alignment horizontal="center" vertical="center"/>
    </xf>
    <xf numFmtId="43" fontId="3" fillId="7" borderId="3" xfId="1" applyFont="1" applyFill="1" applyBorder="1" applyAlignment="1">
      <alignment vertical="center"/>
    </xf>
    <xf numFmtId="43" fontId="10" fillId="7" borderId="2" xfId="1" applyFont="1" applyFill="1" applyBorder="1" applyAlignment="1">
      <alignment horizontal="justify" vertical="center" wrapText="1"/>
    </xf>
    <xf numFmtId="43" fontId="10" fillId="0" borderId="7" xfId="1" applyFont="1" applyBorder="1" applyAlignment="1">
      <alignment horizontal="justify" vertical="center" wrapText="1"/>
    </xf>
    <xf numFmtId="43" fontId="10" fillId="2" borderId="7" xfId="1" applyFont="1" applyFill="1" applyBorder="1" applyAlignment="1">
      <alignment horizontal="justify" vertical="center" wrapText="1"/>
    </xf>
    <xf numFmtId="43" fontId="10" fillId="0" borderId="7" xfId="1" applyFont="1" applyBorder="1" applyAlignment="1">
      <alignment horizontal="center" vertical="center" wrapText="1"/>
    </xf>
    <xf numFmtId="43" fontId="10" fillId="0" borderId="7" xfId="1" applyFont="1" applyBorder="1" applyAlignment="1">
      <alignment vertical="center" wrapText="1"/>
    </xf>
    <xf numFmtId="43" fontId="3" fillId="5" borderId="2" xfId="1" applyFont="1" applyFill="1" applyBorder="1" applyAlignment="1">
      <alignment vertical="center" wrapText="1"/>
    </xf>
    <xf numFmtId="43" fontId="10" fillId="9" borderId="2" xfId="1" applyFont="1" applyFill="1" applyBorder="1" applyAlignment="1">
      <alignment horizontal="center" vertical="center"/>
    </xf>
    <xf numFmtId="43" fontId="10" fillId="0" borderId="2" xfId="1" applyFont="1" applyBorder="1" applyAlignment="1">
      <alignment horizontal="justify" vertical="center" wrapText="1"/>
    </xf>
    <xf numFmtId="43" fontId="10" fillId="0" borderId="5" xfId="1" applyFont="1" applyBorder="1" applyAlignment="1">
      <alignment horizontal="justify" vertical="center"/>
    </xf>
    <xf numFmtId="43" fontId="10" fillId="0" borderId="5" xfId="1" applyFont="1" applyBorder="1" applyAlignment="1">
      <alignment horizontal="center" vertical="center"/>
    </xf>
    <xf numFmtId="43" fontId="10" fillId="6" borderId="4" xfId="1" applyFont="1" applyFill="1" applyBorder="1" applyAlignment="1">
      <alignment horizontal="justify" vertical="center"/>
    </xf>
    <xf numFmtId="43" fontId="10" fillId="5" borderId="4" xfId="1" applyFont="1" applyFill="1" applyBorder="1" applyAlignment="1">
      <alignment horizontal="justify" vertical="center"/>
    </xf>
    <xf numFmtId="43" fontId="3" fillId="4" borderId="7" xfId="1" applyFont="1" applyFill="1" applyBorder="1" applyAlignment="1">
      <alignment horizontal="left" vertical="center"/>
    </xf>
    <xf numFmtId="43" fontId="3" fillId="4" borderId="7" xfId="1" applyFont="1" applyFill="1" applyBorder="1" applyAlignment="1">
      <alignment horizontal="center" vertical="center"/>
    </xf>
    <xf numFmtId="43" fontId="3" fillId="4" borderId="7" xfId="1" applyFont="1" applyFill="1" applyBorder="1" applyAlignment="1">
      <alignment vertical="center"/>
    </xf>
    <xf numFmtId="43" fontId="3" fillId="4" borderId="8" xfId="1" applyFont="1" applyFill="1" applyBorder="1" applyAlignment="1">
      <alignment horizontal="left" vertical="center"/>
    </xf>
    <xf numFmtId="43" fontId="10" fillId="7" borderId="2" xfId="1" applyFont="1" applyFill="1" applyBorder="1" applyAlignment="1">
      <alignment horizontal="center" vertical="center"/>
    </xf>
    <xf numFmtId="43" fontId="10" fillId="6" borderId="2" xfId="1" applyFont="1" applyFill="1" applyBorder="1" applyAlignment="1">
      <alignment horizontal="center" vertical="center"/>
    </xf>
    <xf numFmtId="43" fontId="10" fillId="5" borderId="2" xfId="1" applyFont="1" applyFill="1" applyBorder="1" applyAlignment="1">
      <alignment horizontal="center" vertical="center"/>
    </xf>
    <xf numFmtId="43" fontId="10" fillId="8" borderId="2" xfId="1" applyFont="1" applyFill="1" applyBorder="1" applyAlignment="1">
      <alignment horizontal="center" vertical="center"/>
    </xf>
    <xf numFmtId="43" fontId="12" fillId="0" borderId="2" xfId="1" applyFont="1" applyBorder="1" applyAlignment="1">
      <alignment horizontal="justify" vertical="center"/>
    </xf>
    <xf numFmtId="43" fontId="10" fillId="0" borderId="10" xfId="1" applyFont="1" applyBorder="1" applyAlignment="1">
      <alignment horizontal="justify" vertical="center"/>
    </xf>
    <xf numFmtId="43" fontId="10" fillId="13" borderId="2" xfId="1" applyFont="1" applyFill="1" applyBorder="1" applyAlignment="1">
      <alignment horizontal="justify" vertical="center"/>
    </xf>
    <xf numFmtId="43" fontId="12" fillId="0" borderId="6" xfId="1" applyFont="1" applyBorder="1" applyAlignment="1">
      <alignment horizontal="justify" vertical="center"/>
    </xf>
    <xf numFmtId="43" fontId="10" fillId="7" borderId="6" xfId="1" applyFont="1" applyFill="1" applyBorder="1" applyAlignment="1">
      <alignment horizontal="justify" vertical="center"/>
    </xf>
    <xf numFmtId="43" fontId="10" fillId="0" borderId="11" xfId="1" applyFont="1" applyBorder="1" applyAlignment="1">
      <alignment horizontal="justify" vertical="center"/>
    </xf>
    <xf numFmtId="43" fontId="10" fillId="0" borderId="11" xfId="1" applyFont="1" applyBorder="1" applyAlignment="1">
      <alignment horizontal="center" vertical="center"/>
    </xf>
    <xf numFmtId="43" fontId="10" fillId="0" borderId="11" xfId="1" applyFont="1" applyBorder="1" applyAlignment="1">
      <alignment vertical="center"/>
    </xf>
    <xf numFmtId="43" fontId="12" fillId="0" borderId="2" xfId="1" applyFont="1" applyBorder="1" applyAlignment="1">
      <alignment vertical="center"/>
    </xf>
    <xf numFmtId="43" fontId="16" fillId="0" borderId="2" xfId="1" applyFont="1" applyBorder="1" applyAlignment="1">
      <alignment horizontal="justify" vertical="center"/>
    </xf>
    <xf numFmtId="43" fontId="12" fillId="2" borderId="11" xfId="1" applyFont="1" applyFill="1" applyBorder="1" applyAlignment="1">
      <alignment horizontal="justify" vertical="center"/>
    </xf>
    <xf numFmtId="43" fontId="12" fillId="2" borderId="6" xfId="1" applyFont="1" applyFill="1" applyBorder="1" applyAlignment="1">
      <alignment horizontal="justify" vertical="center"/>
    </xf>
    <xf numFmtId="43" fontId="10" fillId="2" borderId="13" xfId="1" applyFont="1" applyFill="1" applyBorder="1" applyAlignment="1">
      <alignment horizontal="justify" vertical="center"/>
    </xf>
    <xf numFmtId="43" fontId="10" fillId="0" borderId="14" xfId="1" applyFont="1" applyBorder="1" applyAlignment="1">
      <alignment horizontal="justify" vertical="center"/>
    </xf>
    <xf numFmtId="43" fontId="10" fillId="7" borderId="12" xfId="1" applyFont="1" applyFill="1" applyBorder="1" applyAlignment="1">
      <alignment horizontal="justify" vertical="center"/>
    </xf>
    <xf numFmtId="43" fontId="10" fillId="0" borderId="6" xfId="1" applyFont="1" applyBorder="1" applyAlignment="1">
      <alignment horizontal="justify" vertical="center" wrapText="1"/>
    </xf>
    <xf numFmtId="43" fontId="12" fillId="0" borderId="6" xfId="1" applyFont="1" applyBorder="1" applyAlignment="1">
      <alignment horizontal="right" vertical="center" wrapText="1"/>
    </xf>
    <xf numFmtId="43" fontId="10" fillId="7" borderId="2" xfId="1" applyFont="1" applyFill="1" applyBorder="1" applyAlignment="1">
      <alignment horizontal="right" vertical="center" wrapText="1"/>
    </xf>
    <xf numFmtId="43" fontId="12" fillId="0" borderId="2" xfId="1" applyFont="1" applyBorder="1" applyAlignment="1">
      <alignment horizontal="right" vertical="center"/>
    </xf>
    <xf numFmtId="43" fontId="10" fillId="7" borderId="2" xfId="1" applyFont="1" applyFill="1" applyBorder="1" applyAlignment="1">
      <alignment horizontal="center" vertical="center" wrapText="1"/>
    </xf>
    <xf numFmtId="43" fontId="10" fillId="7" borderId="2" xfId="1" applyFont="1" applyFill="1" applyBorder="1" applyAlignment="1">
      <alignment vertical="center" wrapText="1"/>
    </xf>
    <xf numFmtId="43" fontId="12" fillId="0" borderId="2" xfId="1" applyFont="1" applyBorder="1" applyAlignment="1">
      <alignment horizontal="left" vertical="center" wrapText="1"/>
    </xf>
    <xf numFmtId="43" fontId="10" fillId="0" borderId="2" xfId="1" applyFont="1" applyBorder="1" applyAlignment="1">
      <alignment horizontal="left" vertical="center" wrapText="1"/>
    </xf>
    <xf numFmtId="43" fontId="10" fillId="6" borderId="2" xfId="1" applyFont="1" applyFill="1" applyBorder="1" applyAlignment="1">
      <alignment horizontal="right" vertical="center" wrapText="1"/>
    </xf>
    <xf numFmtId="43" fontId="3" fillId="7" borderId="7" xfId="1" applyFont="1" applyFill="1" applyBorder="1" applyAlignment="1">
      <alignment horizontal="left" vertical="center"/>
    </xf>
    <xf numFmtId="43" fontId="3" fillId="7" borderId="2" xfId="1" applyFont="1" applyFill="1" applyBorder="1" applyAlignment="1">
      <alignment vertical="center"/>
    </xf>
    <xf numFmtId="43" fontId="3" fillId="6" borderId="2" xfId="1" applyFont="1" applyFill="1" applyBorder="1" applyAlignment="1">
      <alignment vertical="center"/>
    </xf>
    <xf numFmtId="43" fontId="3" fillId="12" borderId="2" xfId="1" applyFont="1" applyFill="1" applyBorder="1" applyAlignment="1">
      <alignment horizontal="justify" vertical="center"/>
    </xf>
    <xf numFmtId="43" fontId="10" fillId="7" borderId="2" xfId="1" applyFont="1" applyFill="1" applyBorder="1" applyAlignment="1">
      <alignment vertical="center"/>
    </xf>
    <xf numFmtId="43" fontId="12" fillId="0" borderId="2" xfId="1" applyFont="1" applyBorder="1" applyAlignment="1">
      <alignment horizontal="center" vertical="center"/>
    </xf>
    <xf numFmtId="43" fontId="10" fillId="7" borderId="4" xfId="1" applyFont="1" applyFill="1" applyBorder="1" applyAlignment="1">
      <alignment horizontal="center" vertical="center"/>
    </xf>
    <xf numFmtId="43" fontId="10" fillId="7" borderId="4" xfId="1" applyFont="1" applyFill="1" applyBorder="1" applyAlignment="1">
      <alignment vertical="center"/>
    </xf>
    <xf numFmtId="43" fontId="10" fillId="6" borderId="4" xfId="1" applyFont="1" applyFill="1" applyBorder="1" applyAlignment="1">
      <alignment horizontal="center" vertical="center"/>
    </xf>
    <xf numFmtId="43" fontId="10" fillId="6" borderId="4" xfId="1" applyFont="1" applyFill="1" applyBorder="1" applyAlignment="1">
      <alignment vertical="center"/>
    </xf>
    <xf numFmtId="43" fontId="3" fillId="4" borderId="13" xfId="1" applyFont="1" applyFill="1" applyBorder="1" applyAlignment="1">
      <alignment horizontal="left" vertical="center"/>
    </xf>
    <xf numFmtId="43" fontId="3" fillId="4" borderId="13" xfId="1" applyFont="1" applyFill="1" applyBorder="1" applyAlignment="1">
      <alignment horizontal="center" vertical="center"/>
    </xf>
    <xf numFmtId="43" fontId="3" fillId="4" borderId="13" xfId="1" applyFont="1" applyFill="1" applyBorder="1" applyAlignment="1">
      <alignment vertical="center"/>
    </xf>
    <xf numFmtId="43" fontId="3" fillId="4" borderId="12" xfId="1" applyFont="1" applyFill="1" applyBorder="1" applyAlignment="1">
      <alignment horizontal="left" vertical="center"/>
    </xf>
    <xf numFmtId="43" fontId="3" fillId="5" borderId="7" xfId="1" applyFont="1" applyFill="1" applyBorder="1" applyAlignment="1">
      <alignment vertical="center" wrapText="1"/>
    </xf>
    <xf numFmtId="43" fontId="3" fillId="5" borderId="7" xfId="1" applyFont="1" applyFill="1" applyBorder="1" applyAlignment="1">
      <alignment horizontal="center" vertical="center" wrapText="1"/>
    </xf>
    <xf numFmtId="43" fontId="3" fillId="6" borderId="7" xfId="1" applyFont="1" applyFill="1" applyBorder="1" applyAlignment="1">
      <alignment vertical="center" wrapText="1"/>
    </xf>
    <xf numFmtId="43" fontId="3" fillId="6" borderId="7" xfId="1" applyFont="1" applyFill="1" applyBorder="1" applyAlignment="1">
      <alignment horizontal="center" vertical="center" wrapText="1"/>
    </xf>
    <xf numFmtId="43" fontId="3" fillId="6" borderId="2" xfId="1" applyFont="1" applyFill="1" applyBorder="1" applyAlignment="1">
      <alignment vertical="center" wrapText="1"/>
    </xf>
    <xf numFmtId="43" fontId="10" fillId="0" borderId="16" xfId="1" applyFont="1" applyBorder="1" applyAlignment="1">
      <alignment horizontal="center" vertical="center" wrapText="1"/>
    </xf>
    <xf numFmtId="43" fontId="10" fillId="0" borderId="4" xfId="1" applyFont="1" applyBorder="1" applyAlignment="1">
      <alignment horizontal="center" vertical="center" wrapText="1"/>
    </xf>
    <xf numFmtId="43" fontId="3" fillId="0" borderId="2" xfId="1" applyFont="1" applyBorder="1" applyAlignment="1">
      <alignment vertical="center" wrapText="1"/>
    </xf>
    <xf numFmtId="0" fontId="3" fillId="7" borderId="8" xfId="0" applyFont="1" applyFill="1" applyBorder="1" applyAlignment="1">
      <alignment horizontal="left" vertical="center"/>
    </xf>
    <xf numFmtId="0" fontId="3" fillId="0" borderId="5" xfId="0" applyFont="1" applyBorder="1" applyAlignment="1">
      <alignment vertical="center"/>
    </xf>
    <xf numFmtId="0" fontId="10" fillId="0" borderId="17"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 xfId="0" applyFont="1" applyBorder="1" applyAlignment="1">
      <alignment horizontal="center" vertical="center" wrapText="1"/>
    </xf>
    <xf numFmtId="0" fontId="3" fillId="9" borderId="2" xfId="0" applyFont="1" applyFill="1" applyBorder="1" applyAlignment="1">
      <alignment horizontal="justify" vertical="center" wrapText="1"/>
    </xf>
    <xf numFmtId="0" fontId="10" fillId="0" borderId="4"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justify" vertical="center"/>
    </xf>
    <xf numFmtId="0" fontId="3" fillId="0" borderId="4" xfId="0" applyFont="1" applyBorder="1" applyAlignment="1">
      <alignment horizontal="center" vertical="center"/>
    </xf>
    <xf numFmtId="0" fontId="10" fillId="0" borderId="4" xfId="0" applyFont="1" applyBorder="1" applyAlignment="1">
      <alignment horizontal="center" vertical="top" wrapText="1"/>
    </xf>
    <xf numFmtId="0" fontId="10" fillId="0" borderId="4" xfId="0" applyFont="1" applyBorder="1" applyAlignment="1">
      <alignment horizontal="justify" vertical="top" wrapText="1"/>
    </xf>
    <xf numFmtId="2" fontId="10" fillId="0" borderId="4" xfId="0" applyNumberFormat="1" applyFont="1" applyBorder="1" applyAlignment="1">
      <alignment horizontal="center" vertical="center" wrapText="1"/>
    </xf>
    <xf numFmtId="43" fontId="10" fillId="0" borderId="4" xfId="2" applyFont="1" applyBorder="1" applyAlignment="1">
      <alignment horizontal="center" vertical="center"/>
    </xf>
    <xf numFmtId="165" fontId="10" fillId="0" borderId="4" xfId="3" applyNumberFormat="1" applyFont="1" applyBorder="1" applyAlignment="1">
      <alignment horizontal="center" vertical="center"/>
    </xf>
    <xf numFmtId="10" fontId="10" fillId="0" borderId="4" xfId="0" applyNumberFormat="1" applyFont="1" applyBorder="1" applyAlignment="1">
      <alignment vertical="center" wrapText="1"/>
    </xf>
    <xf numFmtId="9" fontId="10" fillId="0" borderId="11" xfId="0" applyNumberFormat="1" applyFont="1" applyBorder="1" applyAlignment="1">
      <alignment vertical="center" wrapText="1"/>
    </xf>
    <xf numFmtId="49" fontId="10" fillId="3" borderId="12" xfId="0" applyNumberFormat="1" applyFont="1" applyFill="1" applyBorder="1" applyAlignment="1">
      <alignment horizontal="center" vertical="center" wrapText="1"/>
    </xf>
    <xf numFmtId="49" fontId="10" fillId="3" borderId="4" xfId="0" applyNumberFormat="1"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4" xfId="0" applyFont="1" applyFill="1" applyBorder="1" applyAlignment="1">
      <alignment horizontal="center" vertical="center" wrapText="1"/>
    </xf>
    <xf numFmtId="9" fontId="10" fillId="0" borderId="4" xfId="3" applyFont="1" applyBorder="1" applyAlignment="1">
      <alignment horizontal="center" vertical="center" wrapText="1"/>
    </xf>
    <xf numFmtId="1" fontId="3" fillId="7" borderId="9" xfId="0" applyNumberFormat="1" applyFont="1" applyFill="1" applyBorder="1" applyAlignment="1">
      <alignment vertical="center"/>
    </xf>
    <xf numFmtId="1" fontId="3" fillId="0" borderId="7" xfId="0" applyNumberFormat="1" applyFont="1" applyBorder="1" applyAlignment="1">
      <alignment vertical="center"/>
    </xf>
    <xf numFmtId="43" fontId="3" fillId="0" borderId="7" xfId="1" applyFont="1" applyBorder="1" applyAlignment="1">
      <alignment vertical="center"/>
    </xf>
    <xf numFmtId="43" fontId="3" fillId="0" borderId="7" xfId="1" applyFont="1" applyBorder="1" applyAlignment="1">
      <alignment horizontal="center" vertical="center"/>
    </xf>
    <xf numFmtId="0" fontId="10" fillId="8" borderId="4" xfId="0" applyFont="1" applyFill="1" applyBorder="1" applyAlignment="1">
      <alignment horizontal="justify" vertical="center" wrapText="1"/>
    </xf>
    <xf numFmtId="0" fontId="10" fillId="8" borderId="4" xfId="0" applyFont="1" applyFill="1" applyBorder="1" applyAlignment="1">
      <alignment horizontal="center" vertical="center" wrapText="1"/>
    </xf>
    <xf numFmtId="0" fontId="10" fillId="8" borderId="3" xfId="0" applyFont="1" applyFill="1" applyBorder="1" applyAlignment="1">
      <alignment horizontal="justify" vertical="center" wrapText="1"/>
    </xf>
    <xf numFmtId="1" fontId="10" fillId="8" borderId="4" xfId="0" applyNumberFormat="1" applyFont="1" applyFill="1" applyBorder="1" applyAlignment="1">
      <alignment horizontal="center" vertical="center" wrapText="1"/>
    </xf>
    <xf numFmtId="43" fontId="10" fillId="8" borderId="4" xfId="1" applyFont="1" applyFill="1" applyBorder="1" applyAlignment="1">
      <alignment horizontal="justify" vertical="center"/>
    </xf>
    <xf numFmtId="43" fontId="10" fillId="8" borderId="4" xfId="1" applyFont="1" applyFill="1" applyBorder="1" applyAlignment="1">
      <alignment horizontal="center" vertical="center"/>
    </xf>
    <xf numFmtId="0" fontId="10" fillId="2" borderId="6" xfId="0" applyFont="1" applyFill="1" applyBorder="1" applyAlignment="1">
      <alignment horizontal="justify" vertical="center" wrapText="1"/>
    </xf>
    <xf numFmtId="0" fontId="10" fillId="2" borderId="7" xfId="0" applyFont="1" applyFill="1" applyBorder="1" applyAlignment="1">
      <alignment horizontal="justify" vertical="center" wrapText="1"/>
    </xf>
    <xf numFmtId="0" fontId="10" fillId="2" borderId="7" xfId="0" applyFont="1" applyFill="1" applyBorder="1" applyAlignment="1">
      <alignment horizontal="center" vertical="center" wrapText="1"/>
    </xf>
    <xf numFmtId="1" fontId="10" fillId="2" borderId="7" xfId="0" applyNumberFormat="1" applyFont="1" applyFill="1" applyBorder="1" applyAlignment="1">
      <alignment horizontal="center" vertical="center" wrapText="1"/>
    </xf>
    <xf numFmtId="43" fontId="10" fillId="2" borderId="7" xfId="1" applyFont="1" applyFill="1" applyBorder="1" applyAlignment="1">
      <alignment horizontal="center" vertical="center"/>
    </xf>
    <xf numFmtId="43" fontId="3" fillId="0" borderId="8" xfId="1" applyFont="1" applyBorder="1" applyAlignment="1">
      <alignment vertical="center" wrapText="1"/>
    </xf>
    <xf numFmtId="0" fontId="10" fillId="8" borderId="4" xfId="0" applyFont="1" applyFill="1" applyBorder="1" applyAlignment="1">
      <alignment horizontal="center" vertical="center"/>
    </xf>
    <xf numFmtId="1" fontId="10" fillId="8" borderId="4" xfId="0" applyNumberFormat="1" applyFont="1" applyFill="1" applyBorder="1" applyAlignment="1">
      <alignment horizontal="center" vertical="center"/>
    </xf>
    <xf numFmtId="0" fontId="3" fillId="7" borderId="3" xfId="0" applyFont="1" applyFill="1" applyBorder="1" applyAlignment="1">
      <alignment horizontal="justify" vertical="center" wrapText="1"/>
    </xf>
    <xf numFmtId="43" fontId="12" fillId="0" borderId="12" xfId="1" applyFont="1" applyBorder="1" applyAlignment="1">
      <alignment horizontal="center" vertical="center" wrapText="1"/>
    </xf>
    <xf numFmtId="43" fontId="12" fillId="0" borderId="17" xfId="1" applyFont="1" applyBorder="1" applyAlignment="1">
      <alignment horizontal="center" vertical="center" wrapText="1"/>
    </xf>
    <xf numFmtId="43" fontId="8" fillId="0" borderId="2" xfId="1" applyFont="1" applyBorder="1" applyAlignment="1">
      <alignment horizontal="justify" vertical="center"/>
    </xf>
    <xf numFmtId="0" fontId="3" fillId="6" borderId="12" xfId="0" applyFont="1" applyFill="1" applyBorder="1" applyAlignment="1">
      <alignment horizontal="center" vertical="center" wrapText="1"/>
    </xf>
    <xf numFmtId="0" fontId="3" fillId="6" borderId="13" xfId="0" applyFont="1" applyFill="1" applyBorder="1" applyAlignment="1">
      <alignment vertical="center"/>
    </xf>
    <xf numFmtId="2" fontId="3" fillId="7" borderId="2" xfId="0" applyNumberFormat="1" applyFont="1" applyFill="1" applyBorder="1" applyAlignment="1">
      <alignment vertical="center"/>
    </xf>
    <xf numFmtId="0" fontId="3" fillId="7" borderId="2" xfId="0" applyFont="1" applyFill="1" applyBorder="1" applyAlignment="1">
      <alignment horizontal="center" vertical="center"/>
    </xf>
    <xf numFmtId="43" fontId="3" fillId="7" borderId="2" xfId="1" applyFont="1" applyFill="1" applyBorder="1" applyAlignment="1">
      <alignment horizontal="center" vertical="center"/>
    </xf>
    <xf numFmtId="2" fontId="3" fillId="6" borderId="2" xfId="0" applyNumberFormat="1" applyFont="1" applyFill="1" applyBorder="1" applyAlignment="1">
      <alignment vertical="center"/>
    </xf>
    <xf numFmtId="43" fontId="3" fillId="6" borderId="2" xfId="1" applyFont="1" applyFill="1" applyBorder="1" applyAlignment="1">
      <alignment horizontal="center" vertical="center"/>
    </xf>
    <xf numFmtId="0" fontId="10" fillId="6" borderId="11" xfId="0" applyFont="1" applyFill="1" applyBorder="1" applyAlignment="1">
      <alignment horizontal="center" vertical="center" wrapText="1"/>
    </xf>
    <xf numFmtId="0" fontId="10" fillId="6" borderId="11" xfId="0" applyFont="1" applyFill="1" applyBorder="1" applyAlignment="1">
      <alignment horizontal="justify" vertical="center" wrapText="1"/>
    </xf>
    <xf numFmtId="0" fontId="10" fillId="0" borderId="10" xfId="0" applyFont="1" applyBorder="1" applyAlignment="1">
      <alignment horizontal="justify" vertical="center" wrapText="1"/>
    </xf>
    <xf numFmtId="0" fontId="10" fillId="5" borderId="12" xfId="0" applyFont="1" applyFill="1" applyBorder="1" applyAlignment="1">
      <alignment horizontal="justify" vertical="center" wrapText="1"/>
    </xf>
    <xf numFmtId="0" fontId="10" fillId="5" borderId="12" xfId="0" applyFont="1" applyFill="1" applyBorder="1" applyAlignment="1">
      <alignment horizontal="center" vertical="center" wrapText="1"/>
    </xf>
    <xf numFmtId="0" fontId="10" fillId="5" borderId="12" xfId="0" applyFont="1" applyFill="1" applyBorder="1" applyAlignment="1">
      <alignment horizontal="center" vertical="center"/>
    </xf>
    <xf numFmtId="43" fontId="10" fillId="5" borderId="12" xfId="1" applyFont="1" applyFill="1" applyBorder="1" applyAlignment="1">
      <alignment horizontal="justify" vertical="center"/>
    </xf>
    <xf numFmtId="0" fontId="10" fillId="5" borderId="2" xfId="0" applyFont="1" applyFill="1" applyBorder="1" applyAlignment="1">
      <alignment horizontal="left" vertical="center" wrapText="1"/>
    </xf>
    <xf numFmtId="4" fontId="10" fillId="5" borderId="2" xfId="0" applyNumberFormat="1" applyFont="1" applyFill="1" applyBorder="1" applyAlignment="1">
      <alignment vertical="center" wrapText="1"/>
    </xf>
    <xf numFmtId="43" fontId="10" fillId="5" borderId="2" xfId="1" applyFont="1" applyFill="1" applyBorder="1" applyAlignment="1">
      <alignment vertical="center" wrapText="1"/>
    </xf>
    <xf numFmtId="0" fontId="10" fillId="0" borderId="10" xfId="0" applyFont="1" applyBorder="1" applyAlignment="1">
      <alignment vertical="center" wrapText="1"/>
    </xf>
    <xf numFmtId="43" fontId="10" fillId="7" borderId="9" xfId="1" applyFont="1" applyFill="1" applyBorder="1" applyAlignment="1">
      <alignment vertical="center"/>
    </xf>
    <xf numFmtId="43" fontId="12" fillId="0" borderId="10" xfId="1" applyFont="1" applyBorder="1" applyAlignment="1">
      <alignment horizontal="justify" vertical="center"/>
    </xf>
    <xf numFmtId="0" fontId="10" fillId="7" borderId="12" xfId="0" applyFont="1" applyFill="1" applyBorder="1" applyAlignment="1">
      <alignment horizontal="justify" vertical="center"/>
    </xf>
    <xf numFmtId="3" fontId="10" fillId="0" borderId="12" xfId="0" applyNumberFormat="1" applyFont="1" applyBorder="1" applyAlignment="1">
      <alignment horizontal="center" vertical="center" wrapText="1"/>
    </xf>
    <xf numFmtId="0" fontId="10" fillId="6" borderId="10" xfId="0" applyFont="1" applyFill="1" applyBorder="1" applyAlignment="1">
      <alignment horizontal="center" vertical="center" wrapText="1"/>
    </xf>
    <xf numFmtId="43" fontId="3" fillId="4" borderId="9" xfId="1" applyFont="1" applyFill="1" applyBorder="1" applyAlignment="1">
      <alignment horizontal="left" vertical="center"/>
    </xf>
    <xf numFmtId="43" fontId="3" fillId="4" borderId="9" xfId="1" applyFont="1" applyFill="1" applyBorder="1" applyAlignment="1">
      <alignment horizontal="center" vertical="center"/>
    </xf>
    <xf numFmtId="43" fontId="3" fillId="4" borderId="9" xfId="1" applyFont="1" applyFill="1" applyBorder="1" applyAlignment="1">
      <alignment vertical="center"/>
    </xf>
    <xf numFmtId="43" fontId="3" fillId="4" borderId="3" xfId="1" applyFont="1" applyFill="1" applyBorder="1" applyAlignment="1">
      <alignment horizontal="left" vertical="center"/>
    </xf>
    <xf numFmtId="43" fontId="10" fillId="0" borderId="9" xfId="1" applyFont="1" applyBorder="1" applyAlignment="1">
      <alignment horizontal="justify" vertical="center"/>
    </xf>
    <xf numFmtId="43" fontId="10" fillId="2" borderId="9" xfId="1" applyFont="1" applyFill="1" applyBorder="1" applyAlignment="1">
      <alignment horizontal="justify" vertical="center"/>
    </xf>
    <xf numFmtId="43" fontId="10" fillId="0" borderId="9" xfId="1" applyFont="1" applyBorder="1" applyAlignment="1">
      <alignment horizontal="center" vertical="center"/>
    </xf>
    <xf numFmtId="43" fontId="10" fillId="0" borderId="9" xfId="1" applyFont="1" applyBorder="1" applyAlignment="1">
      <alignment vertical="center"/>
    </xf>
    <xf numFmtId="43" fontId="3" fillId="4" borderId="2" xfId="1" applyFont="1" applyFill="1" applyBorder="1" applyAlignment="1">
      <alignment horizontal="center" vertical="center"/>
    </xf>
    <xf numFmtId="43" fontId="3" fillId="4" borderId="7" xfId="1" applyFont="1" applyFill="1" applyBorder="1" applyAlignment="1">
      <alignment horizontal="left" vertical="center" wrapText="1"/>
    </xf>
    <xf numFmtId="43" fontId="3" fillId="4" borderId="7" xfId="1" applyFont="1" applyFill="1" applyBorder="1" applyAlignment="1">
      <alignment horizontal="center" vertical="center" wrapText="1"/>
    </xf>
    <xf numFmtId="43" fontId="3" fillId="4" borderId="7" xfId="1" applyFont="1" applyFill="1" applyBorder="1" applyAlignment="1">
      <alignment vertical="center" wrapText="1"/>
    </xf>
    <xf numFmtId="43" fontId="3" fillId="4" borderId="8" xfId="1" applyFont="1" applyFill="1" applyBorder="1" applyAlignment="1">
      <alignment horizontal="left" vertical="center" wrapText="1"/>
    </xf>
    <xf numFmtId="43" fontId="10" fillId="0" borderId="1" xfId="1" applyFont="1" applyBorder="1" applyAlignment="1">
      <alignment horizontal="justify" vertical="center"/>
    </xf>
    <xf numFmtId="43" fontId="3" fillId="4" borderId="2" xfId="1" applyFont="1" applyFill="1" applyBorder="1" applyAlignment="1">
      <alignment horizontal="left" vertical="center"/>
    </xf>
    <xf numFmtId="43" fontId="3" fillId="5" borderId="2" xfId="1" applyFont="1" applyFill="1" applyBorder="1" applyAlignment="1">
      <alignment vertical="center"/>
    </xf>
    <xf numFmtId="43" fontId="8" fillId="2" borderId="0" xfId="0" applyNumberFormat="1" applyFont="1" applyFill="1"/>
    <xf numFmtId="0" fontId="11" fillId="0" borderId="0" xfId="0" applyFont="1" applyAlignment="1">
      <alignment horizontal="center" vertical="center"/>
    </xf>
    <xf numFmtId="0" fontId="11" fillId="0" borderId="0" xfId="0" applyFont="1" applyAlignment="1">
      <alignment vertical="center"/>
    </xf>
    <xf numFmtId="0" fontId="10" fillId="0" borderId="0" xfId="0" applyFont="1" applyAlignment="1">
      <alignment vertical="center"/>
    </xf>
    <xf numFmtId="43" fontId="10" fillId="0" borderId="0" xfId="1" applyFont="1" applyAlignment="1">
      <alignment horizontal="right" vertical="center" wrapText="1"/>
    </xf>
    <xf numFmtId="0" fontId="17" fillId="14" borderId="2" xfId="0" applyFont="1" applyFill="1" applyBorder="1" applyAlignment="1">
      <alignment horizontal="center" vertical="center" wrapText="1"/>
    </xf>
    <xf numFmtId="43" fontId="17" fillId="14" borderId="2" xfId="1" applyFont="1" applyFill="1" applyBorder="1" applyAlignment="1">
      <alignment horizontal="center" vertical="center" wrapText="1"/>
    </xf>
    <xf numFmtId="0" fontId="17" fillId="0" borderId="2" xfId="0" applyFont="1" applyBorder="1" applyAlignment="1">
      <alignment horizontal="center" vertical="center" wrapText="1"/>
    </xf>
    <xf numFmtId="0" fontId="8" fillId="0" borderId="2" xfId="0" applyFont="1" applyBorder="1" applyAlignment="1">
      <alignment horizontal="center" vertical="center"/>
    </xf>
    <xf numFmtId="0" fontId="9" fillId="0" borderId="2" xfId="0" applyFont="1" applyBorder="1" applyAlignment="1">
      <alignment horizontal="center" vertical="center"/>
    </xf>
    <xf numFmtId="2" fontId="9" fillId="0" borderId="2" xfId="0" applyNumberFormat="1" applyFont="1" applyBorder="1" applyAlignment="1">
      <alignment horizontal="justify" vertical="center" wrapText="1"/>
    </xf>
    <xf numFmtId="37" fontId="9" fillId="0" borderId="2" xfId="1" applyNumberFormat="1" applyFont="1" applyBorder="1" applyAlignment="1">
      <alignment horizontal="right" vertical="center" wrapText="1"/>
    </xf>
    <xf numFmtId="2" fontId="8" fillId="0" borderId="2" xfId="0" applyNumberFormat="1" applyFont="1" applyBorder="1" applyAlignment="1">
      <alignment horizontal="justify" vertical="center" wrapText="1"/>
    </xf>
    <xf numFmtId="37" fontId="8" fillId="0" borderId="2" xfId="1" applyNumberFormat="1" applyFont="1" applyBorder="1" applyAlignment="1">
      <alignment horizontal="right"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xf>
    <xf numFmtId="0" fontId="8" fillId="0" borderId="2" xfId="0" applyFont="1" applyBorder="1" applyAlignment="1">
      <alignment vertical="center"/>
    </xf>
    <xf numFmtId="43" fontId="11" fillId="0" borderId="2" xfId="1" applyFont="1" applyBorder="1" applyAlignment="1">
      <alignment horizontal="right" vertical="center" wrapText="1"/>
    </xf>
    <xf numFmtId="2" fontId="8" fillId="0" borderId="2" xfId="0" applyNumberFormat="1" applyFont="1" applyBorder="1" applyAlignment="1">
      <alignment vertical="top" wrapText="1"/>
    </xf>
    <xf numFmtId="0" fontId="9" fillId="0" borderId="0" xfId="0" applyFont="1" applyAlignment="1">
      <alignment horizontal="left" vertical="center" wrapText="1"/>
    </xf>
    <xf numFmtId="37" fontId="8" fillId="0" borderId="2" xfId="1" applyNumberFormat="1" applyFont="1" applyBorder="1" applyAlignment="1">
      <alignment vertical="center" wrapText="1"/>
    </xf>
    <xf numFmtId="37" fontId="8" fillId="0" borderId="2" xfId="1" applyNumberFormat="1" applyFont="1" applyBorder="1" applyAlignment="1">
      <alignment horizontal="right" vertical="center"/>
    </xf>
    <xf numFmtId="0" fontId="8" fillId="0" borderId="4" xfId="0" applyFont="1" applyBorder="1" applyAlignment="1">
      <alignment horizontal="center" vertical="center"/>
    </xf>
    <xf numFmtId="2" fontId="8" fillId="0" borderId="4" xfId="0" applyNumberFormat="1" applyFont="1" applyBorder="1" applyAlignment="1">
      <alignment horizontal="justify" vertical="center" wrapText="1"/>
    </xf>
    <xf numFmtId="0" fontId="8" fillId="0" borderId="2" xfId="0" applyFont="1" applyBorder="1" applyAlignment="1">
      <alignment horizontal="left" vertical="center"/>
    </xf>
    <xf numFmtId="3" fontId="8" fillId="0" borderId="2" xfId="0" applyNumberFormat="1" applyFont="1" applyBorder="1" applyAlignment="1">
      <alignment horizontal="justify" vertical="center" wrapText="1"/>
    </xf>
    <xf numFmtId="43" fontId="11" fillId="0" borderId="0" xfId="1" applyFont="1" applyAlignment="1">
      <alignment horizontal="right" vertical="center" wrapText="1"/>
    </xf>
    <xf numFmtId="2" fontId="8" fillId="0" borderId="4" xfId="0" applyNumberFormat="1" applyFont="1" applyBorder="1" applyAlignment="1">
      <alignment horizontal="center" vertical="center" wrapText="1"/>
    </xf>
    <xf numFmtId="2" fontId="8" fillId="0" borderId="2" xfId="2" applyNumberFormat="1" applyFont="1" applyBorder="1" applyAlignment="1">
      <alignment horizontal="justify" vertical="center" wrapText="1"/>
    </xf>
    <xf numFmtId="0" fontId="8" fillId="0" borderId="2" xfId="0" applyFont="1" applyBorder="1" applyAlignment="1">
      <alignment horizontal="justify" vertical="center" wrapText="1"/>
    </xf>
    <xf numFmtId="37" fontId="8" fillId="0" borderId="4" xfId="1" applyNumberFormat="1" applyFont="1" applyBorder="1" applyAlignment="1">
      <alignment horizontal="right" vertical="center" wrapText="1"/>
    </xf>
    <xf numFmtId="39" fontId="10" fillId="0" borderId="2" xfId="1" applyNumberFormat="1" applyFont="1" applyBorder="1" applyAlignment="1">
      <alignment horizontal="right" vertical="center"/>
    </xf>
    <xf numFmtId="39" fontId="10" fillId="7" borderId="2" xfId="1" applyNumberFormat="1" applyFont="1" applyFill="1" applyBorder="1" applyAlignment="1">
      <alignment horizontal="right" vertical="center"/>
    </xf>
    <xf numFmtId="39" fontId="10" fillId="0" borderId="7" xfId="1" applyNumberFormat="1" applyFont="1" applyBorder="1" applyAlignment="1">
      <alignment horizontal="right" vertical="center"/>
    </xf>
    <xf numFmtId="4" fontId="10" fillId="7" borderId="2" xfId="1" applyNumberFormat="1" applyFont="1" applyFill="1" applyBorder="1" applyAlignment="1">
      <alignment horizontal="right" vertical="center"/>
    </xf>
    <xf numFmtId="0" fontId="18" fillId="0" borderId="2" xfId="0" applyFont="1" applyBorder="1" applyAlignment="1">
      <alignment horizontal="center" vertical="center"/>
    </xf>
    <xf numFmtId="0" fontId="18" fillId="0" borderId="0" xfId="0" applyFont="1" applyAlignment="1">
      <alignment vertical="center"/>
    </xf>
    <xf numFmtId="2" fontId="8" fillId="0" borderId="4" xfId="0" applyNumberFormat="1" applyFont="1" applyBorder="1" applyAlignment="1">
      <alignment horizontal="left" vertical="center" wrapText="1"/>
    </xf>
    <xf numFmtId="43" fontId="10" fillId="0" borderId="2" xfId="1" applyFont="1" applyFill="1" applyBorder="1" applyAlignment="1">
      <alignment horizontal="center" vertical="center"/>
    </xf>
    <xf numFmtId="43" fontId="10" fillId="0" borderId="2" xfId="1" applyFont="1" applyFill="1" applyBorder="1" applyAlignment="1">
      <alignment horizontal="center" vertical="center" wrapText="1"/>
    </xf>
    <xf numFmtId="43" fontId="10" fillId="0" borderId="6" xfId="1" applyFont="1" applyFill="1" applyBorder="1" applyAlignment="1">
      <alignment horizontal="center" vertical="center"/>
    </xf>
    <xf numFmtId="43" fontId="10" fillId="0" borderId="2" xfId="1" applyFont="1" applyFill="1" applyBorder="1" applyAlignment="1">
      <alignment horizontal="right" vertical="center" wrapText="1"/>
    </xf>
    <xf numFmtId="43" fontId="10" fillId="0" borderId="6" xfId="1" applyFont="1" applyFill="1" applyBorder="1" applyAlignment="1">
      <alignment horizontal="justify" vertical="center"/>
    </xf>
    <xf numFmtId="43" fontId="9" fillId="0" borderId="2" xfId="1" applyFont="1" applyFill="1" applyBorder="1" applyAlignment="1">
      <alignment horizontal="center" vertical="center" wrapText="1"/>
    </xf>
    <xf numFmtId="43" fontId="8" fillId="0" borderId="2" xfId="1" applyFont="1" applyFill="1" applyBorder="1" applyAlignment="1">
      <alignment horizontal="center" vertical="center"/>
    </xf>
    <xf numFmtId="43" fontId="10" fillId="0" borderId="4" xfId="1" applyFont="1" applyFill="1" applyBorder="1" applyAlignment="1">
      <alignment horizontal="justify" vertical="center"/>
    </xf>
    <xf numFmtId="43" fontId="10" fillId="0" borderId="2" xfId="1" applyFont="1" applyFill="1" applyBorder="1" applyAlignment="1">
      <alignment horizontal="justify" vertical="center"/>
    </xf>
    <xf numFmtId="43" fontId="12" fillId="0" borderId="2" xfId="1" applyFont="1" applyFill="1" applyBorder="1" applyAlignment="1">
      <alignment horizontal="justify" vertical="center"/>
    </xf>
    <xf numFmtId="43" fontId="10" fillId="0" borderId="11" xfId="1" applyFont="1" applyFill="1" applyBorder="1" applyAlignment="1">
      <alignment horizontal="center" vertical="center"/>
    </xf>
    <xf numFmtId="43" fontId="12" fillId="0" borderId="6" xfId="1" applyFont="1" applyFill="1" applyBorder="1" applyAlignment="1">
      <alignment horizontal="justify" vertical="center"/>
    </xf>
    <xf numFmtId="43" fontId="12" fillId="0" borderId="11" xfId="1" applyFont="1" applyFill="1" applyBorder="1" applyAlignment="1">
      <alignment horizontal="justify" vertical="center"/>
    </xf>
    <xf numFmtId="43" fontId="10" fillId="0" borderId="2" xfId="1" applyFont="1" applyFill="1" applyBorder="1" applyAlignment="1">
      <alignment horizontal="justify" vertical="center" wrapText="1"/>
    </xf>
    <xf numFmtId="0" fontId="7" fillId="0" borderId="0" xfId="0" applyFont="1" applyBorder="1" applyAlignment="1">
      <alignment vertical="center"/>
    </xf>
    <xf numFmtId="0" fontId="3" fillId="0" borderId="7" xfId="0" applyFont="1" applyBorder="1" applyAlignment="1">
      <alignment horizontal="left" vertical="center" wrapText="1"/>
    </xf>
    <xf numFmtId="0" fontId="10" fillId="0" borderId="11" xfId="0" applyFont="1" applyBorder="1" applyAlignment="1">
      <alignment horizontal="center" vertical="center" wrapText="1"/>
    </xf>
    <xf numFmtId="1" fontId="12" fillId="0" borderId="4" xfId="0" applyNumberFormat="1" applyFont="1" applyBorder="1" applyAlignment="1">
      <alignment horizontal="center" vertical="center"/>
    </xf>
    <xf numFmtId="0" fontId="10" fillId="0" borderId="4"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3" fillId="5" borderId="2" xfId="0" applyFont="1" applyFill="1" applyBorder="1" applyAlignment="1">
      <alignment horizontal="left" vertical="center" wrapText="1"/>
    </xf>
    <xf numFmtId="9" fontId="10" fillId="0" borderId="11" xfId="0" applyNumberFormat="1" applyFont="1" applyBorder="1" applyAlignment="1">
      <alignment horizontal="center" vertical="center"/>
    </xf>
    <xf numFmtId="9" fontId="10" fillId="0" borderId="11" xfId="0"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12" xfId="0" applyFont="1" applyBorder="1" applyAlignment="1">
      <alignment horizontal="center" vertical="center" wrapText="1"/>
    </xf>
    <xf numFmtId="9" fontId="10" fillId="0" borderId="12" xfId="0" applyNumberFormat="1" applyFont="1" applyBorder="1" applyAlignment="1">
      <alignment horizontal="center" vertical="center" wrapText="1"/>
    </xf>
    <xf numFmtId="10" fontId="10" fillId="0" borderId="11" xfId="0" applyNumberFormat="1" applyFont="1" applyBorder="1" applyAlignment="1">
      <alignment horizontal="center" vertical="center" wrapText="1"/>
    </xf>
    <xf numFmtId="1" fontId="10" fillId="0" borderId="4"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1" xfId="0" applyNumberFormat="1" applyFont="1" applyBorder="1" applyAlignment="1">
      <alignment horizontal="justify" vertical="center" wrapText="1"/>
    </xf>
    <xf numFmtId="0" fontId="10" fillId="0" borderId="4" xfId="0" applyFont="1" applyBorder="1" applyAlignment="1">
      <alignment horizontal="justify" vertical="center"/>
    </xf>
    <xf numFmtId="0" fontId="10" fillId="0" borderId="11" xfId="0" applyFont="1" applyBorder="1" applyAlignment="1">
      <alignment horizontal="justify" vertical="center"/>
    </xf>
    <xf numFmtId="0" fontId="10" fillId="0" borderId="12" xfId="0" applyFont="1" applyBorder="1" applyAlignment="1">
      <alignment horizontal="justify" vertical="center"/>
    </xf>
    <xf numFmtId="3" fontId="10" fillId="0" borderId="4"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2" xfId="0" applyNumberFormat="1" applyFont="1" applyBorder="1" applyAlignment="1">
      <alignment horizontal="left" vertical="center"/>
    </xf>
    <xf numFmtId="0" fontId="10" fillId="0" borderId="8"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2" xfId="0" applyFont="1" applyBorder="1" applyAlignment="1">
      <alignment horizontal="justify" vertical="center" wrapText="1"/>
    </xf>
    <xf numFmtId="16" fontId="10" fillId="0" borderId="11"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10" fontId="10" fillId="0" borderId="4" xfId="0" applyNumberFormat="1" applyFont="1" applyBorder="1" applyAlignment="1">
      <alignment horizontal="center" vertical="center" wrapText="1"/>
    </xf>
    <xf numFmtId="43" fontId="10" fillId="0" borderId="2" xfId="1" applyFont="1" applyFill="1" applyBorder="1" applyAlignment="1">
      <alignment horizontal="right" vertical="center"/>
    </xf>
    <xf numFmtId="43" fontId="10" fillId="0" borderId="12" xfId="1" applyFont="1" applyBorder="1" applyAlignment="1">
      <alignment horizontal="center" vertical="center" wrapText="1"/>
    </xf>
    <xf numFmtId="43" fontId="9" fillId="0" borderId="4" xfId="1" applyFont="1" applyBorder="1" applyAlignment="1">
      <alignment horizontal="center" vertical="center"/>
    </xf>
    <xf numFmtId="43" fontId="12" fillId="0" borderId="4" xfId="1" applyFont="1" applyBorder="1" applyAlignment="1">
      <alignment horizontal="center" vertical="center"/>
    </xf>
    <xf numFmtId="43" fontId="10" fillId="0" borderId="4" xfId="1" applyFont="1" applyBorder="1" applyAlignment="1">
      <alignment horizontal="right" vertical="center"/>
    </xf>
    <xf numFmtId="0" fontId="10" fillId="7" borderId="11" xfId="0" applyFont="1" applyFill="1" applyBorder="1" applyAlignment="1">
      <alignment horizontal="justify" vertical="center" wrapText="1"/>
    </xf>
    <xf numFmtId="0" fontId="10" fillId="7" borderId="11" xfId="0" applyFont="1" applyFill="1" applyBorder="1" applyAlignment="1">
      <alignment horizontal="center" vertical="center" wrapText="1"/>
    </xf>
    <xf numFmtId="0" fontId="10" fillId="7" borderId="11" xfId="0" applyFont="1" applyFill="1" applyBorder="1" applyAlignment="1">
      <alignment horizontal="center" vertical="center"/>
    </xf>
    <xf numFmtId="1" fontId="10" fillId="7" borderId="11" xfId="0" applyNumberFormat="1" applyFont="1" applyFill="1" applyBorder="1" applyAlignment="1">
      <alignment horizontal="center" vertical="center"/>
    </xf>
    <xf numFmtId="0" fontId="10" fillId="7" borderId="11" xfId="0" applyFont="1" applyFill="1" applyBorder="1" applyAlignment="1">
      <alignment horizontal="justify" vertical="center"/>
    </xf>
    <xf numFmtId="43" fontId="10" fillId="7" borderId="11" xfId="1" applyFont="1" applyFill="1" applyBorder="1" applyAlignment="1">
      <alignment horizontal="justify" vertical="center"/>
    </xf>
    <xf numFmtId="43" fontId="10" fillId="7" borderId="11" xfId="1" applyFont="1" applyFill="1" applyBorder="1" applyAlignment="1">
      <alignment horizontal="center" vertical="center"/>
    </xf>
    <xf numFmtId="43" fontId="10" fillId="7" borderId="11" xfId="1" applyFont="1" applyFill="1" applyBorder="1" applyAlignment="1">
      <alignment vertical="center"/>
    </xf>
    <xf numFmtId="0" fontId="3" fillId="0" borderId="0" xfId="0" applyFont="1" applyBorder="1" applyAlignment="1">
      <alignment vertical="center" wrapText="1"/>
    </xf>
    <xf numFmtId="0" fontId="10" fillId="0" borderId="0" xfId="0" applyFont="1" applyBorder="1" applyAlignment="1">
      <alignment horizontal="center" vertical="center" wrapText="1"/>
    </xf>
    <xf numFmtId="0" fontId="10" fillId="0" borderId="0" xfId="0" applyFont="1" applyBorder="1" applyAlignment="1">
      <alignment horizontal="justify" vertical="center" wrapText="1"/>
    </xf>
    <xf numFmtId="0" fontId="10" fillId="0" borderId="0" xfId="0" applyFont="1" applyBorder="1" applyAlignment="1">
      <alignment horizontal="center" vertical="center"/>
    </xf>
    <xf numFmtId="0" fontId="8" fillId="0" borderId="0" xfId="0" applyFont="1" applyBorder="1"/>
    <xf numFmtId="0" fontId="10" fillId="0" borderId="0" xfId="0" applyFont="1" applyBorder="1" applyAlignment="1">
      <alignment vertical="center" wrapText="1"/>
    </xf>
    <xf numFmtId="0" fontId="10" fillId="7" borderId="0" xfId="0" applyFont="1" applyFill="1" applyBorder="1" applyAlignment="1">
      <alignment horizontal="justify" vertical="center" wrapText="1"/>
    </xf>
    <xf numFmtId="0" fontId="8" fillId="2" borderId="0" xfId="0" applyFont="1" applyFill="1" applyBorder="1"/>
    <xf numFmtId="0" fontId="10" fillId="6" borderId="0" xfId="0" applyFont="1" applyFill="1" applyBorder="1" applyAlignment="1">
      <alignment horizontal="justify" vertical="center" wrapText="1"/>
    </xf>
    <xf numFmtId="0" fontId="10" fillId="6" borderId="0" xfId="0" applyFont="1" applyFill="1" applyBorder="1" applyAlignment="1">
      <alignment horizontal="center" vertical="center" wrapText="1"/>
    </xf>
    <xf numFmtId="0" fontId="10" fillId="5" borderId="0" xfId="0" applyFont="1" applyFill="1" applyBorder="1" applyAlignment="1">
      <alignment horizontal="justify" vertical="center" wrapText="1"/>
    </xf>
    <xf numFmtId="0" fontId="10" fillId="5" borderId="0" xfId="0" applyFont="1" applyFill="1" applyBorder="1" applyAlignment="1">
      <alignment horizontal="center" vertical="center" wrapText="1"/>
    </xf>
    <xf numFmtId="0" fontId="10" fillId="8" borderId="0" xfId="0" applyFont="1" applyFill="1" applyBorder="1" applyAlignment="1">
      <alignment horizontal="justify" vertical="center" wrapText="1"/>
    </xf>
    <xf numFmtId="0" fontId="10" fillId="8" borderId="0" xfId="0" applyFont="1" applyFill="1" applyBorder="1" applyAlignment="1">
      <alignment horizontal="center" vertical="center" wrapText="1"/>
    </xf>
    <xf numFmtId="2" fontId="10" fillId="0" borderId="13" xfId="0" applyNumberFormat="1" applyFont="1" applyBorder="1" applyAlignment="1">
      <alignment horizontal="center" vertical="center" wrapText="1"/>
    </xf>
    <xf numFmtId="43" fontId="4" fillId="15" borderId="2" xfId="1" applyFont="1" applyFill="1" applyBorder="1" applyAlignment="1">
      <alignment horizontal="center" vertical="center" wrapText="1"/>
    </xf>
    <xf numFmtId="37" fontId="4" fillId="15" borderId="2" xfId="1" applyNumberFormat="1" applyFont="1" applyFill="1" applyBorder="1" applyAlignment="1">
      <alignment horizontal="center" vertical="center" wrapText="1"/>
    </xf>
    <xf numFmtId="37" fontId="4" fillId="15" borderId="2" xfId="1" applyNumberFormat="1" applyFont="1" applyFill="1" applyBorder="1" applyAlignment="1">
      <alignment horizontal="right" vertical="center" wrapText="1"/>
    </xf>
    <xf numFmtId="0" fontId="4" fillId="15" borderId="2" xfId="0" applyFont="1" applyFill="1" applyBorder="1" applyAlignment="1">
      <alignment horizontal="left" vertical="center"/>
    </xf>
    <xf numFmtId="2" fontId="8" fillId="15" borderId="2" xfId="0" applyNumberFormat="1" applyFont="1" applyFill="1" applyBorder="1" applyAlignment="1">
      <alignment horizontal="justify" vertical="center" wrapText="1"/>
    </xf>
    <xf numFmtId="37" fontId="4" fillId="15" borderId="2" xfId="1" applyNumberFormat="1" applyFont="1" applyFill="1" applyBorder="1" applyAlignment="1">
      <alignment horizontal="right" vertical="center"/>
    </xf>
    <xf numFmtId="0" fontId="4" fillId="15" borderId="6" xfId="0" applyFont="1" applyFill="1" applyBorder="1" applyAlignment="1">
      <alignment horizontal="center" vertical="center"/>
    </xf>
    <xf numFmtId="2" fontId="8" fillId="15" borderId="8" xfId="0" applyNumberFormat="1" applyFont="1" applyFill="1" applyBorder="1" applyAlignment="1">
      <alignment horizontal="justify" vertical="center" wrapText="1"/>
    </xf>
    <xf numFmtId="3" fontId="8" fillId="15" borderId="2" xfId="0" applyNumberFormat="1" applyFont="1" applyFill="1" applyBorder="1" applyAlignment="1">
      <alignment horizontal="justify" vertical="center" wrapText="1"/>
    </xf>
    <xf numFmtId="3" fontId="8" fillId="15" borderId="8" xfId="0" applyNumberFormat="1" applyFont="1" applyFill="1" applyBorder="1" applyAlignment="1">
      <alignment horizontal="justify" vertical="center" wrapText="1"/>
    </xf>
    <xf numFmtId="1" fontId="10" fillId="0" borderId="2" xfId="0" applyNumberFormat="1" applyFont="1" applyFill="1" applyBorder="1" applyAlignment="1">
      <alignment horizontal="center" vertical="center"/>
    </xf>
    <xf numFmtId="1" fontId="10" fillId="0" borderId="2" xfId="0" applyNumberFormat="1" applyFont="1" applyFill="1" applyBorder="1" applyAlignment="1">
      <alignment horizontal="center" vertical="center" wrapText="1"/>
    </xf>
    <xf numFmtId="0" fontId="3" fillId="7" borderId="2" xfId="0" applyFont="1" applyFill="1" applyBorder="1" applyAlignment="1">
      <alignment horizontal="left" vertical="center"/>
    </xf>
    <xf numFmtId="39" fontId="10" fillId="0" borderId="9" xfId="1" applyNumberFormat="1" applyFont="1" applyBorder="1" applyAlignment="1">
      <alignment horizontal="right" vertical="center"/>
    </xf>
    <xf numFmtId="43" fontId="3" fillId="7" borderId="0" xfId="1" applyFont="1" applyFill="1" applyBorder="1" applyAlignment="1">
      <alignment vertical="center"/>
    </xf>
    <xf numFmtId="3" fontId="10" fillId="0" borderId="2" xfId="0" applyNumberFormat="1" applyFont="1" applyFill="1" applyBorder="1" applyAlignment="1">
      <alignment horizontal="center" vertical="center" wrapText="1"/>
    </xf>
    <xf numFmtId="0" fontId="10" fillId="5" borderId="6" xfId="0" applyFont="1" applyFill="1" applyBorder="1" applyAlignment="1">
      <alignment horizontal="justify" vertical="center" wrapText="1"/>
    </xf>
    <xf numFmtId="0" fontId="10" fillId="5" borderId="7" xfId="0" applyFont="1" applyFill="1" applyBorder="1" applyAlignment="1">
      <alignment horizontal="justify" vertical="center" wrapText="1"/>
    </xf>
    <xf numFmtId="0" fontId="10" fillId="5" borderId="7" xfId="0" applyFont="1" applyFill="1" applyBorder="1" applyAlignment="1">
      <alignment horizontal="center" vertical="center" wrapText="1"/>
    </xf>
    <xf numFmtId="3" fontId="10" fillId="0" borderId="2" xfId="0" applyNumberFormat="1" applyFont="1" applyFill="1" applyBorder="1" applyAlignment="1">
      <alignment horizontal="center" vertical="center"/>
    </xf>
    <xf numFmtId="0" fontId="10" fillId="6" borderId="6" xfId="0" applyFont="1" applyFill="1" applyBorder="1" applyAlignment="1">
      <alignment horizontal="justify" vertical="center" wrapText="1"/>
    </xf>
    <xf numFmtId="0" fontId="10" fillId="8" borderId="5" xfId="0" applyFont="1" applyFill="1" applyBorder="1" applyAlignment="1">
      <alignment horizontal="justify" vertical="center" wrapText="1"/>
    </xf>
    <xf numFmtId="0" fontId="10" fillId="8" borderId="9" xfId="0" applyFont="1" applyFill="1" applyBorder="1" applyAlignment="1">
      <alignment horizontal="center" vertical="center" wrapText="1"/>
    </xf>
    <xf numFmtId="0" fontId="10" fillId="8" borderId="9" xfId="0" applyFont="1" applyFill="1" applyBorder="1" applyAlignment="1">
      <alignment horizontal="justify" vertical="center" wrapText="1"/>
    </xf>
    <xf numFmtId="0" fontId="3" fillId="11" borderId="2" xfId="0" applyFont="1" applyFill="1" applyBorder="1" applyAlignment="1">
      <alignment horizontal="center" vertical="center" wrapText="1"/>
    </xf>
    <xf numFmtId="43" fontId="3" fillId="11" borderId="2" xfId="1" applyFont="1" applyFill="1" applyBorder="1" applyAlignment="1">
      <alignment vertical="center"/>
    </xf>
    <xf numFmtId="0" fontId="4" fillId="0" borderId="17" xfId="0" applyFont="1" applyBorder="1" applyAlignment="1">
      <alignment vertical="center"/>
    </xf>
    <xf numFmtId="0" fontId="3" fillId="5" borderId="6" xfId="0" applyFont="1" applyFill="1" applyBorder="1" applyAlignment="1">
      <alignment horizontal="left" vertical="center" wrapText="1"/>
    </xf>
    <xf numFmtId="0" fontId="10" fillId="5" borderId="10" xfId="0" applyFont="1" applyFill="1" applyBorder="1" applyAlignment="1">
      <alignment horizontal="justify" vertical="center" wrapText="1"/>
    </xf>
    <xf numFmtId="0" fontId="10" fillId="8" borderId="10" xfId="0" applyFont="1" applyFill="1" applyBorder="1" applyAlignment="1">
      <alignment horizontal="justify" vertical="center" wrapText="1"/>
    </xf>
    <xf numFmtId="1" fontId="10" fillId="0" borderId="0" xfId="0" applyNumberFormat="1" applyFont="1" applyBorder="1" applyAlignment="1">
      <alignment horizontal="center" vertical="center"/>
    </xf>
    <xf numFmtId="43" fontId="10" fillId="0" borderId="0" xfId="1" applyFont="1" applyBorder="1" applyAlignment="1">
      <alignment horizontal="justify" vertical="center"/>
    </xf>
    <xf numFmtId="43" fontId="10" fillId="2" borderId="0" xfId="1" applyFont="1" applyFill="1" applyBorder="1" applyAlignment="1">
      <alignment horizontal="justify" vertical="center"/>
    </xf>
    <xf numFmtId="43" fontId="10" fillId="0" borderId="0" xfId="1" applyFont="1" applyBorder="1" applyAlignment="1">
      <alignment horizontal="center" vertical="center"/>
    </xf>
    <xf numFmtId="43" fontId="10" fillId="0" borderId="0" xfId="1" applyFont="1" applyBorder="1" applyAlignment="1">
      <alignment vertical="center"/>
    </xf>
    <xf numFmtId="0" fontId="3" fillId="5" borderId="6" xfId="0" applyFont="1" applyFill="1" applyBorder="1" applyAlignment="1">
      <alignment horizontal="justify" vertical="center" wrapText="1"/>
    </xf>
    <xf numFmtId="2" fontId="10" fillId="0" borderId="0" xfId="0" applyNumberFormat="1" applyFont="1" applyBorder="1" applyAlignment="1">
      <alignment horizontal="center" vertical="center"/>
    </xf>
    <xf numFmtId="0" fontId="10" fillId="0" borderId="17" xfId="0" applyFont="1" applyBorder="1" applyAlignment="1">
      <alignment horizontal="justify" vertical="center" wrapText="1"/>
    </xf>
    <xf numFmtId="43" fontId="15" fillId="2" borderId="0" xfId="1" applyFont="1" applyFill="1" applyBorder="1"/>
    <xf numFmtId="43" fontId="10" fillId="0" borderId="0" xfId="1" applyFont="1" applyBorder="1"/>
    <xf numFmtId="3" fontId="10" fillId="0" borderId="0" xfId="0" applyNumberFormat="1" applyFont="1" applyBorder="1" applyAlignment="1">
      <alignment horizontal="center" vertical="center" wrapText="1"/>
    </xf>
    <xf numFmtId="3" fontId="10" fillId="0" borderId="0" xfId="0" applyNumberFormat="1" applyFont="1" applyBorder="1" applyAlignment="1">
      <alignment horizontal="center" vertical="center"/>
    </xf>
    <xf numFmtId="0" fontId="3" fillId="2" borderId="0" xfId="0" applyFont="1" applyFill="1" applyBorder="1" applyAlignment="1">
      <alignment horizontal="center" vertical="center" wrapText="1"/>
    </xf>
    <xf numFmtId="1" fontId="3" fillId="2" borderId="0" xfId="0" applyNumberFormat="1" applyFont="1" applyFill="1" applyBorder="1" applyAlignment="1">
      <alignment horizontal="center" vertical="center" wrapText="1"/>
    </xf>
    <xf numFmtId="0" fontId="10" fillId="2" borderId="0" xfId="0" applyFont="1" applyFill="1" applyBorder="1" applyAlignment="1">
      <alignment horizontal="center" vertical="center" wrapText="1"/>
    </xf>
    <xf numFmtId="43" fontId="3" fillId="2" borderId="0" xfId="1" applyFont="1" applyFill="1" applyBorder="1" applyAlignment="1">
      <alignment horizontal="justify" vertical="center"/>
    </xf>
    <xf numFmtId="0" fontId="3" fillId="11" borderId="7" xfId="0" applyFont="1" applyFill="1" applyBorder="1" applyAlignment="1">
      <alignment horizontal="justify" vertical="center"/>
    </xf>
    <xf numFmtId="0" fontId="3" fillId="11" borderId="7" xfId="0" applyFont="1" applyFill="1" applyBorder="1" applyAlignment="1">
      <alignment horizontal="center" vertical="center"/>
    </xf>
    <xf numFmtId="1" fontId="3" fillId="11" borderId="7" xfId="0" applyNumberFormat="1" applyFont="1" applyFill="1" applyBorder="1" applyAlignment="1">
      <alignment horizontal="center" vertical="center"/>
    </xf>
    <xf numFmtId="0" fontId="3" fillId="11" borderId="7" xfId="0" applyFont="1" applyFill="1" applyBorder="1" applyAlignment="1">
      <alignment horizontal="center" vertical="center" wrapText="1"/>
    </xf>
    <xf numFmtId="0" fontId="3" fillId="11" borderId="8" xfId="0" applyFont="1" applyFill="1" applyBorder="1" applyAlignment="1">
      <alignment horizontal="justify" vertical="center" wrapText="1"/>
    </xf>
    <xf numFmtId="1" fontId="10" fillId="0" borderId="2" xfId="1" applyNumberFormat="1" applyFont="1" applyFill="1" applyBorder="1" applyAlignment="1">
      <alignment horizontal="center" vertical="center"/>
    </xf>
    <xf numFmtId="165" fontId="3" fillId="2" borderId="6" xfId="2" applyNumberFormat="1" applyFont="1" applyFill="1" applyBorder="1" applyAlignment="1">
      <alignment horizontal="center" vertical="center" wrapText="1"/>
    </xf>
    <xf numFmtId="165" fontId="14" fillId="2" borderId="6" xfId="2" applyNumberFormat="1" applyFont="1" applyFill="1" applyBorder="1" applyAlignment="1">
      <alignment horizontal="center" vertical="center" wrapText="1"/>
    </xf>
    <xf numFmtId="165" fontId="3" fillId="2" borderId="2" xfId="2" applyNumberFormat="1" applyFont="1" applyFill="1" applyBorder="1" applyAlignment="1">
      <alignment horizontal="center" vertical="center" wrapText="1"/>
    </xf>
    <xf numFmtId="165" fontId="3" fillId="0" borderId="6" xfId="2" applyNumberFormat="1" applyFont="1" applyBorder="1" applyAlignment="1">
      <alignment horizontal="center" vertical="center" wrapText="1"/>
    </xf>
    <xf numFmtId="166" fontId="3" fillId="0" borderId="6" xfId="1" applyNumberFormat="1" applyFont="1" applyBorder="1" applyAlignment="1">
      <alignment horizontal="center" vertical="center" wrapText="1"/>
    </xf>
    <xf numFmtId="0" fontId="5" fillId="16" borderId="2" xfId="0" applyFont="1" applyFill="1" applyBorder="1" applyAlignment="1">
      <alignment horizontal="left" vertical="center"/>
    </xf>
    <xf numFmtId="0" fontId="5" fillId="16" borderId="2" xfId="0" applyFont="1" applyFill="1" applyBorder="1" applyAlignment="1">
      <alignment horizontal="justify" vertical="center" wrapText="1"/>
    </xf>
    <xf numFmtId="37" fontId="5" fillId="16" borderId="2" xfId="0" applyNumberFormat="1" applyFont="1" applyFill="1" applyBorder="1" applyAlignment="1">
      <alignment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11" xfId="0" applyFont="1" applyBorder="1" applyAlignment="1">
      <alignment horizontal="justify" vertical="center" wrapText="1"/>
    </xf>
    <xf numFmtId="0" fontId="10" fillId="0" borderId="12" xfId="0" applyFont="1" applyBorder="1" applyAlignment="1">
      <alignment horizontal="justify" vertical="center" wrapText="1"/>
    </xf>
    <xf numFmtId="0" fontId="10" fillId="0" borderId="4" xfId="0" applyFont="1" applyBorder="1" applyAlignment="1">
      <alignment horizontal="justify" vertical="center"/>
    </xf>
    <xf numFmtId="0" fontId="10" fillId="0" borderId="11" xfId="0" applyFont="1" applyBorder="1" applyAlignment="1">
      <alignment horizontal="justify" vertical="center"/>
    </xf>
    <xf numFmtId="0" fontId="10" fillId="0" borderId="12" xfId="0" applyFont="1" applyBorder="1" applyAlignment="1">
      <alignment horizontal="justify" vertical="center"/>
    </xf>
    <xf numFmtId="0" fontId="3" fillId="0" borderId="2" xfId="0" applyFont="1" applyBorder="1" applyAlignment="1">
      <alignment horizontal="center" vertical="center"/>
    </xf>
    <xf numFmtId="1" fontId="12" fillId="0" borderId="4" xfId="0" applyNumberFormat="1" applyFont="1" applyBorder="1" applyAlignment="1">
      <alignment horizontal="center" vertical="center"/>
    </xf>
    <xf numFmtId="1" fontId="12" fillId="0" borderId="11" xfId="0" applyNumberFormat="1" applyFont="1" applyBorder="1" applyAlignment="1">
      <alignment horizontal="center" vertical="center"/>
    </xf>
    <xf numFmtId="1" fontId="12" fillId="0" borderId="12" xfId="0" applyNumberFormat="1" applyFont="1" applyBorder="1" applyAlignment="1">
      <alignment horizontal="center" vertical="center"/>
    </xf>
    <xf numFmtId="1" fontId="10" fillId="0" borderId="4" xfId="0" applyNumberFormat="1" applyFont="1" applyBorder="1" applyAlignment="1">
      <alignment horizontal="center" vertical="center" wrapText="1"/>
    </xf>
    <xf numFmtId="165" fontId="10" fillId="0" borderId="4" xfId="2" applyNumberFormat="1" applyFont="1" applyBorder="1" applyAlignment="1">
      <alignment horizontal="justify" vertical="center" wrapText="1"/>
    </xf>
    <xf numFmtId="165" fontId="10" fillId="0" borderId="11" xfId="2" applyNumberFormat="1" applyFont="1" applyBorder="1" applyAlignment="1">
      <alignment horizontal="justify" vertical="center" wrapText="1"/>
    </xf>
    <xf numFmtId="165" fontId="10" fillId="0" borderId="12" xfId="2" applyNumberFormat="1" applyFont="1" applyBorder="1" applyAlignment="1">
      <alignment horizontal="justify" vertical="center" wrapText="1"/>
    </xf>
    <xf numFmtId="10" fontId="10" fillId="0" borderId="4" xfId="0" applyNumberFormat="1" applyFont="1" applyBorder="1" applyAlignment="1">
      <alignment horizontal="center" vertical="center" wrapText="1"/>
    </xf>
    <xf numFmtId="10" fontId="10" fillId="0" borderId="11" xfId="0" applyNumberFormat="1" applyFont="1" applyBorder="1" applyAlignment="1">
      <alignment horizontal="center" vertical="center" wrapText="1"/>
    </xf>
    <xf numFmtId="9" fontId="10" fillId="0" borderId="4" xfId="0" applyNumberFormat="1" applyFont="1" applyBorder="1" applyAlignment="1">
      <alignment horizontal="center" vertical="center" wrapText="1"/>
    </xf>
    <xf numFmtId="9" fontId="10" fillId="0" borderId="11" xfId="0" applyNumberFormat="1"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2" xfId="0" applyNumberFormat="1" applyFont="1" applyBorder="1" applyAlignment="1">
      <alignment horizontal="center" vertical="center" wrapText="1"/>
    </xf>
    <xf numFmtId="16" fontId="10" fillId="0" borderId="4" xfId="0" applyNumberFormat="1" applyFont="1" applyBorder="1" applyAlignment="1">
      <alignment horizontal="center" vertical="center" wrapText="1"/>
    </xf>
    <xf numFmtId="16" fontId="10" fillId="0" borderId="11"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18" xfId="0" applyFont="1" applyBorder="1" applyAlignment="1">
      <alignment horizontal="justify" vertical="center" wrapText="1"/>
    </xf>
    <xf numFmtId="3" fontId="10" fillId="0" borderId="4" xfId="0" applyNumberFormat="1" applyFont="1" applyBorder="1" applyAlignment="1">
      <alignment horizontal="justify" vertical="center" wrapText="1"/>
    </xf>
    <xf numFmtId="3" fontId="10" fillId="0" borderId="11" xfId="0" applyNumberFormat="1" applyFont="1" applyBorder="1" applyAlignment="1">
      <alignment horizontal="justify" vertical="center" wrapText="1"/>
    </xf>
    <xf numFmtId="3" fontId="10" fillId="0" borderId="12" xfId="0" applyNumberFormat="1" applyFont="1" applyBorder="1" applyAlignment="1">
      <alignment horizontal="justify" vertical="center" wrapText="1"/>
    </xf>
    <xf numFmtId="3" fontId="10" fillId="0" borderId="4" xfId="0" applyNumberFormat="1" applyFont="1" applyBorder="1" applyAlignment="1">
      <alignment horizontal="left" vertical="center" wrapText="1"/>
    </xf>
    <xf numFmtId="3" fontId="10" fillId="0" borderId="11" xfId="0" applyNumberFormat="1" applyFont="1" applyBorder="1" applyAlignment="1">
      <alignment horizontal="left" vertical="center" wrapText="1"/>
    </xf>
    <xf numFmtId="3" fontId="10" fillId="0" borderId="12" xfId="0" applyNumberFormat="1" applyFont="1" applyBorder="1" applyAlignment="1">
      <alignment horizontal="left" vertical="center" wrapText="1"/>
    </xf>
    <xf numFmtId="3" fontId="10" fillId="0" borderId="4" xfId="0" applyNumberFormat="1" applyFont="1" applyBorder="1" applyAlignment="1">
      <alignment horizontal="left" vertical="center"/>
    </xf>
    <xf numFmtId="3" fontId="10" fillId="0" borderId="11" xfId="0" applyNumberFormat="1" applyFont="1" applyBorder="1" applyAlignment="1">
      <alignment horizontal="left" vertical="center"/>
    </xf>
    <xf numFmtId="3" fontId="10" fillId="0" borderId="12" xfId="0" applyNumberFormat="1" applyFont="1" applyBorder="1" applyAlignment="1">
      <alignment horizontal="left" vertical="center"/>
    </xf>
    <xf numFmtId="1" fontId="12" fillId="0" borderId="5" xfId="0" applyNumberFormat="1" applyFont="1" applyBorder="1" applyAlignment="1">
      <alignment horizontal="center" vertical="center" wrapText="1"/>
    </xf>
    <xf numFmtId="1" fontId="12" fillId="0" borderId="10" xfId="0" applyNumberFormat="1" applyFont="1" applyBorder="1" applyAlignment="1">
      <alignment horizontal="center" vertical="center" wrapText="1"/>
    </xf>
    <xf numFmtId="1" fontId="12" fillId="0" borderId="17" xfId="0" applyNumberFormat="1" applyFont="1" applyBorder="1" applyAlignment="1">
      <alignment horizontal="center" vertical="center" wrapText="1"/>
    </xf>
    <xf numFmtId="3" fontId="10" fillId="0" borderId="2" xfId="0" applyNumberFormat="1" applyFont="1" applyBorder="1" applyAlignment="1">
      <alignment horizontal="left" vertical="center"/>
    </xf>
    <xf numFmtId="0" fontId="10" fillId="0" borderId="8" xfId="0" applyFont="1" applyBorder="1" applyAlignment="1">
      <alignment horizontal="center" vertical="center" wrapText="1"/>
    </xf>
    <xf numFmtId="0" fontId="10" fillId="0" borderId="3" xfId="0" applyFont="1" applyBorder="1" applyAlignment="1">
      <alignment horizontal="justify" vertical="center" wrapText="1"/>
    </xf>
    <xf numFmtId="0" fontId="10" fillId="0" borderId="1" xfId="0" applyFont="1" applyBorder="1" applyAlignment="1">
      <alignment horizontal="justify" vertical="center" wrapText="1"/>
    </xf>
    <xf numFmtId="0" fontId="10" fillId="0" borderId="14" xfId="0" applyFont="1" applyBorder="1" applyAlignment="1">
      <alignment horizontal="justify" vertical="center" wrapText="1"/>
    </xf>
    <xf numFmtId="3" fontId="10" fillId="0" borderId="4" xfId="0" applyNumberFormat="1" applyFont="1" applyBorder="1" applyAlignment="1">
      <alignment horizontal="center" vertical="center"/>
    </xf>
    <xf numFmtId="3" fontId="10" fillId="0" borderId="11" xfId="0" applyNumberFormat="1" applyFont="1" applyBorder="1" applyAlignment="1">
      <alignment horizontal="center" vertical="center"/>
    </xf>
    <xf numFmtId="3" fontId="10" fillId="0" borderId="12" xfId="0" applyNumberFormat="1" applyFont="1" applyBorder="1" applyAlignment="1">
      <alignment horizontal="center" vertical="center"/>
    </xf>
    <xf numFmtId="3" fontId="10" fillId="0" borderId="4" xfId="3" applyNumberFormat="1" applyFont="1" applyBorder="1" applyAlignment="1">
      <alignment horizontal="center" vertical="center" wrapText="1"/>
    </xf>
    <xf numFmtId="3" fontId="10" fillId="0" borderId="12" xfId="3" applyNumberFormat="1" applyFont="1" applyBorder="1" applyAlignment="1">
      <alignment horizontal="center" vertical="center" wrapText="1"/>
    </xf>
    <xf numFmtId="49" fontId="10" fillId="0" borderId="11" xfId="0" applyNumberFormat="1" applyFont="1" applyBorder="1" applyAlignment="1">
      <alignment horizontal="center" vertical="center" wrapText="1"/>
    </xf>
    <xf numFmtId="49" fontId="10" fillId="0" borderId="11" xfId="0" applyNumberFormat="1" applyFont="1" applyBorder="1" applyAlignment="1">
      <alignment horizontal="justify" vertical="center" wrapText="1"/>
    </xf>
    <xf numFmtId="1" fontId="10" fillId="0" borderId="4" xfId="3" applyNumberFormat="1" applyFont="1" applyBorder="1" applyAlignment="1">
      <alignment horizontal="center" vertical="center" wrapText="1"/>
    </xf>
    <xf numFmtId="1" fontId="10" fillId="0" borderId="11" xfId="3" applyNumberFormat="1" applyFont="1" applyBorder="1" applyAlignment="1">
      <alignment horizontal="center" vertical="center" wrapText="1"/>
    </xf>
    <xf numFmtId="1" fontId="10" fillId="0" borderId="12" xfId="3" applyNumberFormat="1" applyFont="1" applyBorder="1" applyAlignment="1">
      <alignment horizontal="center" vertical="center" wrapText="1"/>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4" xfId="0" applyFont="1" applyBorder="1" applyAlignment="1">
      <alignment horizontal="center" vertical="center"/>
    </xf>
    <xf numFmtId="9" fontId="10" fillId="0" borderId="12" xfId="0" applyNumberFormat="1" applyFont="1" applyBorder="1" applyAlignment="1">
      <alignment horizontal="center" vertical="center" wrapText="1"/>
    </xf>
    <xf numFmtId="0" fontId="3" fillId="12" borderId="6" xfId="0" applyFont="1" applyFill="1" applyBorder="1" applyAlignment="1">
      <alignment horizontal="left" vertical="center" wrapText="1"/>
    </xf>
    <xf numFmtId="0" fontId="3" fillId="1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9" fontId="10" fillId="0" borderId="11" xfId="0" applyNumberFormat="1" applyFont="1" applyBorder="1" applyAlignment="1">
      <alignment horizontal="center" vertical="center"/>
    </xf>
    <xf numFmtId="3" fontId="10" fillId="0" borderId="4" xfId="0" applyNumberFormat="1" applyFont="1" applyBorder="1" applyAlignment="1">
      <alignment horizontal="justify" vertical="center"/>
    </xf>
    <xf numFmtId="3" fontId="10" fillId="0" borderId="12" xfId="0" applyNumberFormat="1" applyFont="1" applyBorder="1" applyAlignment="1">
      <alignment horizontal="justify" vertical="center"/>
    </xf>
    <xf numFmtId="0" fontId="2" fillId="0" borderId="5"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3" fillId="5" borderId="2" xfId="0" applyFont="1" applyFill="1" applyBorder="1" applyAlignment="1">
      <alignment horizontal="left" vertical="center" wrapText="1"/>
    </xf>
    <xf numFmtId="0" fontId="3" fillId="6" borderId="2" xfId="0" applyFont="1" applyFill="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11" borderId="6" xfId="0" applyFont="1" applyFill="1" applyBorder="1" applyAlignment="1">
      <alignment horizontal="left" vertical="center" wrapText="1"/>
    </xf>
    <xf numFmtId="0" fontId="3" fillId="11" borderId="7" xfId="0" applyFont="1" applyFill="1" applyBorder="1" applyAlignment="1">
      <alignment horizontal="left" vertical="center" wrapText="1"/>
    </xf>
    <xf numFmtId="1" fontId="12" fillId="0" borderId="10" xfId="0" applyNumberFormat="1" applyFont="1" applyBorder="1" applyAlignment="1">
      <alignment horizontal="center" vertical="center"/>
    </xf>
    <xf numFmtId="1" fontId="12" fillId="0" borderId="17" xfId="0" applyNumberFormat="1" applyFont="1" applyBorder="1" applyAlignment="1">
      <alignment horizontal="center" vertical="center"/>
    </xf>
    <xf numFmtId="0" fontId="13" fillId="0" borderId="1" xfId="0" applyFont="1" applyBorder="1" applyAlignment="1">
      <alignment horizontal="center" vertical="center"/>
    </xf>
    <xf numFmtId="0" fontId="13" fillId="0" borderId="14" xfId="0" applyFont="1" applyBorder="1" applyAlignment="1">
      <alignment horizontal="center" vertical="center"/>
    </xf>
    <xf numFmtId="165" fontId="10" fillId="0" borderId="11" xfId="0" applyNumberFormat="1" applyFont="1" applyBorder="1" applyAlignment="1">
      <alignment horizontal="justify" vertical="center" wrapText="1"/>
    </xf>
    <xf numFmtId="165" fontId="10" fillId="0" borderId="12" xfId="0" applyNumberFormat="1" applyFont="1" applyBorder="1" applyAlignment="1">
      <alignment horizontal="justify" vertical="center" wrapText="1"/>
    </xf>
    <xf numFmtId="0" fontId="4" fillId="15" borderId="6" xfId="0" applyFont="1" applyFill="1" applyBorder="1" applyAlignment="1">
      <alignment horizontal="left" vertical="center" wrapText="1"/>
    </xf>
    <xf numFmtId="0" fontId="4" fillId="15" borderId="8" xfId="0" applyFont="1" applyFill="1" applyBorder="1" applyAlignment="1">
      <alignment horizontal="left" vertical="center" wrapText="1"/>
    </xf>
    <xf numFmtId="0" fontId="4" fillId="15" borderId="2" xfId="0" applyFont="1" applyFill="1" applyBorder="1" applyAlignment="1">
      <alignment horizontal="left" vertical="center" wrapText="1"/>
    </xf>
    <xf numFmtId="0" fontId="2" fillId="0" borderId="0" xfId="0" applyFont="1" applyAlignment="1">
      <alignment horizontal="center" vertical="center"/>
    </xf>
  </cellXfs>
  <cellStyles count="4">
    <cellStyle name="Millares" xfId="1" builtinId="3"/>
    <cellStyle name="Millares 2" xfId="2"/>
    <cellStyle name="Normal" xfId="0" builtinId="0"/>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Departamental%2022%20de%20septiembre\andres\gobernacion\proyectos%202018\POAI\POAI%20%202018-%20codigos%20MGAweb%20Agosto%2031%20d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stado%20proyectos%20distribuidos%20por%20los%20tres%20del%20proyecto%2007-04-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S"/>
      <sheetName val="NORMAS "/>
      <sheetName val="DISTRIBUCIÓN "/>
      <sheetName val="ENERO 2018 (2)"/>
      <sheetName val="P. SECRETARIAS  POR FUENTE"/>
      <sheetName val="POAI SECRETARIAS"/>
      <sheetName val="E-P-S POAI"/>
      <sheetName val="PRESUPUESTO "/>
      <sheetName val="POAI JUNIO 2017 "/>
      <sheetName val="Hoja1"/>
      <sheetName val="MP AGRICULTURA"/>
    </sheetNames>
    <sheetDataSet>
      <sheetData sheetId="0" refreshError="1"/>
      <sheetData sheetId="1" refreshError="1"/>
      <sheetData sheetId="2" refreshError="1"/>
      <sheetData sheetId="3" refreshError="1">
        <row r="10">
          <cell r="N10">
            <v>2017003630112</v>
          </cell>
        </row>
        <row r="11">
          <cell r="N11">
            <v>2017003630114</v>
          </cell>
        </row>
        <row r="12">
          <cell r="N12">
            <v>2017003630116</v>
          </cell>
        </row>
        <row r="13">
          <cell r="N13">
            <v>2017003630115</v>
          </cell>
        </row>
        <row r="14">
          <cell r="N14">
            <v>2017003630113</v>
          </cell>
        </row>
      </sheetData>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DRES"/>
      <sheetName val="GONZALO"/>
      <sheetName val="VICENTE"/>
    </sheetNames>
    <sheetDataSet>
      <sheetData sheetId="0" refreshError="1">
        <row r="5">
          <cell r="G5">
            <v>2017003630029</v>
          </cell>
        </row>
        <row r="7">
          <cell r="G7">
            <v>2017003630030</v>
          </cell>
        </row>
        <row r="8">
          <cell r="G8">
            <v>2017003630044</v>
          </cell>
        </row>
      </sheetData>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K1354"/>
  <sheetViews>
    <sheetView showGridLines="0" tabSelected="1" zoomScale="60" zoomScaleNormal="60" workbookViewId="0">
      <selection activeCell="I10" sqref="I10"/>
    </sheetView>
  </sheetViews>
  <sheetFormatPr baseColWidth="10" defaultColWidth="9.140625" defaultRowHeight="30" customHeight="1" x14ac:dyDescent="0.2"/>
  <cols>
    <col min="1" max="1" width="20.42578125" style="9" customWidth="1"/>
    <col min="2" max="2" width="21.7109375" style="9" customWidth="1"/>
    <col min="3" max="3" width="7.140625" style="377" customWidth="1"/>
    <col min="4" max="4" width="50.42578125" style="9" customWidth="1"/>
    <col min="5" max="5" width="16.5703125" style="9" customWidth="1"/>
    <col min="6" max="6" width="20.5703125" style="9" customWidth="1"/>
    <col min="7" max="7" width="21.28515625" style="9" customWidth="1"/>
    <col min="8" max="8" width="7" style="377" customWidth="1"/>
    <col min="9" max="9" width="64.5703125" style="9" customWidth="1"/>
    <col min="10" max="10" width="15.42578125" style="9" customWidth="1"/>
    <col min="11" max="11" width="23.5703125" style="9" customWidth="1"/>
    <col min="12" max="12" width="20.42578125" style="9" customWidth="1"/>
    <col min="13" max="13" width="29.85546875" style="9" customWidth="1"/>
    <col min="14" max="14" width="29.5703125" style="385" customWidth="1"/>
    <col min="15" max="15" width="46.85546875" style="9" customWidth="1"/>
    <col min="16" max="16" width="13.5703125" style="377" customWidth="1"/>
    <col min="17" max="17" width="28.42578125" style="9" customWidth="1"/>
    <col min="18" max="18" width="28.5703125" style="17" customWidth="1"/>
    <col min="19" max="19" width="28.7109375" style="9" customWidth="1"/>
    <col min="20" max="20" width="27.28515625" style="9" customWidth="1"/>
    <col min="21" max="21" width="26.28515625" style="9" customWidth="1"/>
    <col min="22" max="22" width="26.5703125" style="9" customWidth="1"/>
    <col min="23" max="23" width="27.7109375" style="9" customWidth="1"/>
    <col min="24" max="24" width="26.42578125" style="9" customWidth="1"/>
    <col min="25" max="25" width="27" style="9" customWidth="1"/>
    <col min="26" max="26" width="33.7109375" style="9" customWidth="1"/>
    <col min="27" max="27" width="28.7109375" style="9" customWidth="1"/>
    <col min="28" max="28" width="29.5703125" style="13" customWidth="1"/>
    <col min="29" max="29" width="29.140625" style="13" customWidth="1"/>
    <col min="30" max="30" width="28.7109375" style="9" customWidth="1"/>
    <col min="31" max="31" width="28" style="9" customWidth="1"/>
    <col min="32" max="32" width="33.42578125" style="18" customWidth="1"/>
    <col min="33" max="33" width="28.140625" style="9" customWidth="1"/>
    <col min="34" max="34" width="28" style="9" customWidth="1"/>
    <col min="35" max="35" width="27.85546875" style="9" customWidth="1"/>
    <col min="36" max="36" width="28" style="17" customWidth="1"/>
    <col min="37" max="37" width="33.28515625" style="9" customWidth="1"/>
    <col min="38" max="16384" width="9.140625" style="9"/>
  </cols>
  <sheetData>
    <row r="1" spans="1:37" ht="19.5" customHeight="1" x14ac:dyDescent="0.2">
      <c r="A1" s="841" t="s">
        <v>1060</v>
      </c>
      <c r="B1" s="842"/>
      <c r="C1" s="842"/>
      <c r="D1" s="842"/>
      <c r="E1" s="842"/>
      <c r="F1" s="842"/>
      <c r="G1" s="842"/>
      <c r="H1" s="842"/>
      <c r="I1" s="842"/>
      <c r="J1" s="842"/>
      <c r="K1" s="842"/>
      <c r="L1" s="842"/>
      <c r="M1" s="842"/>
      <c r="N1" s="842"/>
      <c r="O1" s="842"/>
      <c r="P1" s="842"/>
      <c r="Q1" s="842"/>
      <c r="R1" s="842"/>
      <c r="S1" s="842"/>
      <c r="T1" s="842"/>
      <c r="U1" s="842"/>
      <c r="V1" s="842"/>
      <c r="W1" s="842"/>
      <c r="X1" s="842"/>
      <c r="Y1" s="842"/>
      <c r="Z1" s="842"/>
      <c r="AA1" s="842"/>
      <c r="AB1" s="842"/>
      <c r="AC1" s="842"/>
      <c r="AD1" s="842"/>
      <c r="AE1" s="842"/>
      <c r="AF1" s="842"/>
      <c r="AG1" s="842"/>
      <c r="AH1" s="842"/>
      <c r="AI1" s="842"/>
      <c r="AJ1" s="21" t="s">
        <v>0</v>
      </c>
      <c r="AK1" s="21" t="s">
        <v>1059</v>
      </c>
    </row>
    <row r="2" spans="1:37" ht="19.5" customHeight="1" x14ac:dyDescent="0.2">
      <c r="A2" s="843"/>
      <c r="B2" s="844"/>
      <c r="C2" s="844"/>
      <c r="D2" s="844"/>
      <c r="E2" s="844"/>
      <c r="F2" s="844"/>
      <c r="G2" s="844"/>
      <c r="H2" s="844"/>
      <c r="I2" s="844"/>
      <c r="J2" s="844"/>
      <c r="K2" s="844"/>
      <c r="L2" s="844"/>
      <c r="M2" s="844"/>
      <c r="N2" s="844"/>
      <c r="O2" s="844"/>
      <c r="P2" s="844"/>
      <c r="Q2" s="844"/>
      <c r="R2" s="844"/>
      <c r="S2" s="844"/>
      <c r="T2" s="844"/>
      <c r="U2" s="844"/>
      <c r="V2" s="844"/>
      <c r="W2" s="844"/>
      <c r="X2" s="844"/>
      <c r="Y2" s="844"/>
      <c r="Z2" s="844"/>
      <c r="AA2" s="844"/>
      <c r="AB2" s="844"/>
      <c r="AC2" s="844"/>
      <c r="AD2" s="844"/>
      <c r="AE2" s="844"/>
      <c r="AF2" s="844"/>
      <c r="AG2" s="844"/>
      <c r="AH2" s="844"/>
      <c r="AI2" s="844"/>
      <c r="AJ2" s="22" t="s">
        <v>1</v>
      </c>
      <c r="AK2" s="23">
        <v>1</v>
      </c>
    </row>
    <row r="3" spans="1:37" ht="19.5" customHeight="1" x14ac:dyDescent="0.2">
      <c r="A3" s="843" t="s">
        <v>1050</v>
      </c>
      <c r="B3" s="844"/>
      <c r="C3" s="844"/>
      <c r="D3" s="844"/>
      <c r="E3" s="844"/>
      <c r="F3" s="844"/>
      <c r="G3" s="844"/>
      <c r="H3" s="844"/>
      <c r="I3" s="844"/>
      <c r="J3" s="844"/>
      <c r="K3" s="844"/>
      <c r="L3" s="844"/>
      <c r="M3" s="844"/>
      <c r="N3" s="844"/>
      <c r="O3" s="844"/>
      <c r="P3" s="844"/>
      <c r="Q3" s="844"/>
      <c r="R3" s="844"/>
      <c r="S3" s="844"/>
      <c r="T3" s="844"/>
      <c r="U3" s="844"/>
      <c r="V3" s="844"/>
      <c r="W3" s="844"/>
      <c r="X3" s="844"/>
      <c r="Y3" s="844"/>
      <c r="Z3" s="844"/>
      <c r="AA3" s="844"/>
      <c r="AB3" s="844"/>
      <c r="AC3" s="844"/>
      <c r="AD3" s="844"/>
      <c r="AE3" s="844"/>
      <c r="AF3" s="844"/>
      <c r="AG3" s="844"/>
      <c r="AH3" s="844"/>
      <c r="AI3" s="844"/>
      <c r="AJ3" s="21" t="s">
        <v>2</v>
      </c>
      <c r="AK3" s="24" t="s">
        <v>3</v>
      </c>
    </row>
    <row r="4" spans="1:37" ht="19.5" customHeight="1" x14ac:dyDescent="0.2">
      <c r="A4" s="737"/>
      <c r="B4" s="19"/>
      <c r="C4" s="19"/>
      <c r="D4" s="19"/>
      <c r="E4" s="19"/>
      <c r="F4" s="19"/>
      <c r="G4" s="19"/>
      <c r="H4" s="19"/>
      <c r="I4" s="19"/>
      <c r="J4" s="19"/>
      <c r="K4" s="19"/>
      <c r="L4" s="19"/>
      <c r="M4" s="19"/>
      <c r="N4" s="7"/>
      <c r="O4" s="19"/>
      <c r="P4" s="19"/>
      <c r="Q4" s="19"/>
      <c r="R4" s="20"/>
      <c r="S4" s="19"/>
      <c r="T4" s="19"/>
      <c r="U4" s="19"/>
      <c r="V4" s="19"/>
      <c r="W4" s="19"/>
      <c r="X4" s="19"/>
      <c r="Y4" s="19"/>
      <c r="Z4" s="19"/>
      <c r="AA4" s="19"/>
      <c r="AB4" s="19"/>
      <c r="AC4" s="19"/>
      <c r="AD4" s="19"/>
      <c r="AE4" s="19"/>
      <c r="AF4" s="19"/>
      <c r="AG4" s="19"/>
      <c r="AH4" s="19"/>
      <c r="AI4" s="19"/>
      <c r="AJ4" s="21" t="s">
        <v>4</v>
      </c>
      <c r="AK4" s="25" t="s">
        <v>5</v>
      </c>
    </row>
    <row r="5" spans="1:37" s="1" customFormat="1" ht="57.75" customHeight="1" x14ac:dyDescent="0.25">
      <c r="A5" s="771" t="s">
        <v>6</v>
      </c>
      <c r="B5" s="771" t="s">
        <v>7</v>
      </c>
      <c r="C5" s="771" t="s">
        <v>8</v>
      </c>
      <c r="D5" s="771"/>
      <c r="E5" s="771" t="s">
        <v>9</v>
      </c>
      <c r="F5" s="771" t="s">
        <v>10</v>
      </c>
      <c r="G5" s="771" t="s">
        <v>11</v>
      </c>
      <c r="H5" s="783" t="s">
        <v>12</v>
      </c>
      <c r="I5" s="783"/>
      <c r="J5" s="771" t="s">
        <v>9</v>
      </c>
      <c r="K5" s="772" t="s">
        <v>13</v>
      </c>
      <c r="L5" s="771" t="s">
        <v>14</v>
      </c>
      <c r="M5" s="771" t="s">
        <v>15</v>
      </c>
      <c r="N5" s="771" t="s">
        <v>16</v>
      </c>
      <c r="O5" s="771" t="s">
        <v>17</v>
      </c>
      <c r="P5" s="771" t="s">
        <v>18</v>
      </c>
      <c r="Q5" s="766" t="s">
        <v>19</v>
      </c>
      <c r="R5" s="763" t="s">
        <v>20</v>
      </c>
      <c r="S5" s="766" t="s">
        <v>21</v>
      </c>
      <c r="T5" s="766" t="s">
        <v>931</v>
      </c>
      <c r="U5" s="766" t="s">
        <v>22</v>
      </c>
      <c r="V5" s="766" t="s">
        <v>932</v>
      </c>
      <c r="W5" s="766" t="s">
        <v>933</v>
      </c>
      <c r="X5" s="766" t="s">
        <v>1049</v>
      </c>
      <c r="Y5" s="766" t="s">
        <v>934</v>
      </c>
      <c r="Z5" s="766" t="s">
        <v>935</v>
      </c>
      <c r="AA5" s="766" t="s">
        <v>936</v>
      </c>
      <c r="AB5" s="766" t="s">
        <v>937</v>
      </c>
      <c r="AC5" s="763" t="s">
        <v>23</v>
      </c>
      <c r="AD5" s="763" t="s">
        <v>24</v>
      </c>
      <c r="AE5" s="766" t="s">
        <v>25</v>
      </c>
      <c r="AF5" s="767" t="s">
        <v>26</v>
      </c>
      <c r="AG5" s="766" t="s">
        <v>27</v>
      </c>
      <c r="AH5" s="763" t="s">
        <v>938</v>
      </c>
      <c r="AI5" s="763" t="s">
        <v>939</v>
      </c>
      <c r="AJ5" s="764" t="s">
        <v>940</v>
      </c>
      <c r="AK5" s="765" t="s">
        <v>28</v>
      </c>
    </row>
    <row r="6" spans="1:37" s="1" customFormat="1" ht="36" customHeight="1" x14ac:dyDescent="0.25">
      <c r="A6" s="771"/>
      <c r="B6" s="771"/>
      <c r="C6" s="771"/>
      <c r="D6" s="771"/>
      <c r="E6" s="771"/>
      <c r="F6" s="771"/>
      <c r="G6" s="771"/>
      <c r="H6" s="783"/>
      <c r="I6" s="783"/>
      <c r="J6" s="771"/>
      <c r="K6" s="773"/>
      <c r="L6" s="771"/>
      <c r="M6" s="771"/>
      <c r="N6" s="771"/>
      <c r="O6" s="771"/>
      <c r="P6" s="771"/>
      <c r="Q6" s="27" t="s">
        <v>29</v>
      </c>
      <c r="R6" s="27" t="s">
        <v>29</v>
      </c>
      <c r="S6" s="27" t="s">
        <v>29</v>
      </c>
      <c r="T6" s="27" t="s">
        <v>29</v>
      </c>
      <c r="U6" s="27" t="s">
        <v>29</v>
      </c>
      <c r="V6" s="27" t="s">
        <v>29</v>
      </c>
      <c r="W6" s="27" t="s">
        <v>29</v>
      </c>
      <c r="X6" s="27" t="s">
        <v>29</v>
      </c>
      <c r="Y6" s="27" t="s">
        <v>29</v>
      </c>
      <c r="Z6" s="27" t="s">
        <v>29</v>
      </c>
      <c r="AA6" s="27" t="s">
        <v>29</v>
      </c>
      <c r="AB6" s="27" t="s">
        <v>29</v>
      </c>
      <c r="AC6" s="27" t="s">
        <v>29</v>
      </c>
      <c r="AD6" s="27" t="s">
        <v>29</v>
      </c>
      <c r="AE6" s="27" t="s">
        <v>29</v>
      </c>
      <c r="AF6" s="27" t="s">
        <v>29</v>
      </c>
      <c r="AG6" s="27" t="s">
        <v>29</v>
      </c>
      <c r="AH6" s="27" t="s">
        <v>29</v>
      </c>
      <c r="AI6" s="27" t="s">
        <v>29</v>
      </c>
      <c r="AJ6" s="27" t="s">
        <v>29</v>
      </c>
      <c r="AK6" s="27" t="s">
        <v>29</v>
      </c>
    </row>
    <row r="7" spans="1:37" s="2" customFormat="1" ht="30" hidden="1" customHeight="1" x14ac:dyDescent="0.25">
      <c r="A7" s="28" t="s">
        <v>30</v>
      </c>
      <c r="B7" s="29"/>
      <c r="C7" s="30"/>
      <c r="D7" s="29"/>
      <c r="E7" s="29"/>
      <c r="F7" s="29"/>
      <c r="G7" s="29"/>
      <c r="H7" s="30"/>
      <c r="I7" s="29"/>
      <c r="J7" s="29"/>
      <c r="K7" s="29"/>
      <c r="L7" s="29"/>
      <c r="M7" s="29"/>
      <c r="N7" s="30">
        <v>0</v>
      </c>
      <c r="O7" s="29"/>
      <c r="P7" s="30"/>
      <c r="Q7" s="460"/>
      <c r="R7" s="460"/>
      <c r="S7" s="460"/>
      <c r="T7" s="460"/>
      <c r="U7" s="460"/>
      <c r="V7" s="460"/>
      <c r="W7" s="460"/>
      <c r="X7" s="460"/>
      <c r="Y7" s="460"/>
      <c r="Z7" s="460"/>
      <c r="AA7" s="460"/>
      <c r="AB7" s="460"/>
      <c r="AC7" s="460"/>
      <c r="AD7" s="460"/>
      <c r="AE7" s="460"/>
      <c r="AF7" s="460"/>
      <c r="AG7" s="460"/>
      <c r="AH7" s="460"/>
      <c r="AI7" s="460"/>
      <c r="AJ7" s="460"/>
      <c r="AK7" s="462"/>
    </row>
    <row r="8" spans="1:37" s="2" customFormat="1" ht="31.5" customHeight="1" x14ac:dyDescent="0.25">
      <c r="A8" s="738">
        <v>5</v>
      </c>
      <c r="B8" s="31" t="s">
        <v>31</v>
      </c>
      <c r="C8" s="32"/>
      <c r="D8" s="31"/>
      <c r="E8" s="31"/>
      <c r="F8" s="31"/>
      <c r="G8" s="31"/>
      <c r="H8" s="32"/>
      <c r="I8" s="31"/>
      <c r="J8" s="31"/>
      <c r="K8" s="31"/>
      <c r="L8" s="31"/>
      <c r="M8" s="31"/>
      <c r="N8" s="32"/>
      <c r="O8" s="31"/>
      <c r="P8" s="31"/>
      <c r="Q8" s="421"/>
      <c r="R8" s="421"/>
      <c r="S8" s="421"/>
      <c r="T8" s="421"/>
      <c r="U8" s="421"/>
      <c r="V8" s="421"/>
      <c r="W8" s="421"/>
      <c r="X8" s="421"/>
      <c r="Y8" s="421"/>
      <c r="Z8" s="421"/>
      <c r="AA8" s="421"/>
      <c r="AB8" s="421"/>
      <c r="AC8" s="421"/>
      <c r="AD8" s="421"/>
      <c r="AE8" s="421"/>
      <c r="AF8" s="421"/>
      <c r="AG8" s="421"/>
      <c r="AH8" s="421"/>
      <c r="AI8" s="421"/>
      <c r="AJ8" s="421"/>
      <c r="AK8" s="423"/>
    </row>
    <row r="9" spans="1:37" s="2" customFormat="1" ht="26.25" customHeight="1" x14ac:dyDescent="0.25">
      <c r="A9" s="155"/>
      <c r="B9" s="34">
        <v>28</v>
      </c>
      <c r="C9" s="35" t="s">
        <v>32</v>
      </c>
      <c r="D9" s="36"/>
      <c r="E9" s="36"/>
      <c r="F9" s="36"/>
      <c r="G9" s="36"/>
      <c r="H9" s="37"/>
      <c r="I9" s="36"/>
      <c r="J9" s="36"/>
      <c r="K9" s="36"/>
      <c r="L9" s="36"/>
      <c r="M9" s="36"/>
      <c r="N9" s="37"/>
      <c r="O9" s="36"/>
      <c r="P9" s="36"/>
      <c r="Q9" s="402"/>
      <c r="R9" s="402"/>
      <c r="S9" s="402"/>
      <c r="T9" s="402"/>
      <c r="U9" s="402"/>
      <c r="V9" s="402"/>
      <c r="W9" s="402"/>
      <c r="X9" s="402"/>
      <c r="Y9" s="402"/>
      <c r="Z9" s="402"/>
      <c r="AA9" s="402"/>
      <c r="AB9" s="402"/>
      <c r="AC9" s="402"/>
      <c r="AD9" s="402"/>
      <c r="AE9" s="402"/>
      <c r="AF9" s="402"/>
      <c r="AG9" s="402"/>
      <c r="AH9" s="402"/>
      <c r="AI9" s="402"/>
      <c r="AJ9" s="402"/>
      <c r="AK9" s="407"/>
    </row>
    <row r="10" spans="1:37" s="2" customFormat="1" ht="30" customHeight="1" x14ac:dyDescent="0.25">
      <c r="A10" s="201"/>
      <c r="B10" s="514"/>
      <c r="C10" s="378"/>
      <c r="D10" s="378"/>
      <c r="E10" s="378"/>
      <c r="F10" s="378"/>
      <c r="G10" s="513">
        <v>89</v>
      </c>
      <c r="H10" s="78" t="s">
        <v>33</v>
      </c>
      <c r="I10" s="78"/>
      <c r="J10" s="78"/>
      <c r="K10" s="78"/>
      <c r="L10" s="78"/>
      <c r="M10" s="78"/>
      <c r="N10" s="78"/>
      <c r="O10" s="78"/>
      <c r="P10" s="78" t="s">
        <v>941</v>
      </c>
      <c r="Q10" s="265"/>
      <c r="R10" s="265"/>
      <c r="S10" s="265"/>
      <c r="T10" s="265"/>
      <c r="U10" s="265"/>
      <c r="V10" s="265"/>
      <c r="W10" s="265"/>
      <c r="X10" s="265"/>
      <c r="Y10" s="265"/>
      <c r="Z10" s="265"/>
      <c r="AA10" s="265"/>
      <c r="AB10" s="265"/>
      <c r="AC10" s="265"/>
      <c r="AD10" s="265"/>
      <c r="AE10" s="265"/>
      <c r="AF10" s="265"/>
      <c r="AG10" s="265"/>
      <c r="AH10" s="265"/>
      <c r="AI10" s="265"/>
      <c r="AJ10" s="265"/>
      <c r="AK10" s="265"/>
    </row>
    <row r="11" spans="1:37" ht="102.75" customHeight="1" x14ac:dyDescent="0.2">
      <c r="A11" s="201"/>
      <c r="B11" s="201"/>
      <c r="C11" s="662" t="s">
        <v>34</v>
      </c>
      <c r="D11" s="657" t="s">
        <v>35</v>
      </c>
      <c r="E11" s="662">
        <v>0</v>
      </c>
      <c r="F11" s="662">
        <v>2</v>
      </c>
      <c r="G11" s="40"/>
      <c r="H11" s="661">
        <v>282</v>
      </c>
      <c r="I11" s="679" t="s">
        <v>36</v>
      </c>
      <c r="J11" s="41" t="s">
        <v>37</v>
      </c>
      <c r="K11" s="42">
        <v>2</v>
      </c>
      <c r="L11" s="43">
        <f>'[1]ENERO 2018 (2)'!N10</f>
        <v>2017003630112</v>
      </c>
      <c r="M11" s="44" t="s">
        <v>38</v>
      </c>
      <c r="N11" s="652" t="s">
        <v>39</v>
      </c>
      <c r="O11" s="679" t="s">
        <v>40</v>
      </c>
      <c r="P11" s="54" t="s">
        <v>41</v>
      </c>
      <c r="Q11" s="391">
        <v>0</v>
      </c>
      <c r="R11" s="391">
        <v>0</v>
      </c>
      <c r="S11" s="391">
        <v>0</v>
      </c>
      <c r="T11" s="391">
        <v>0</v>
      </c>
      <c r="U11" s="391">
        <v>0</v>
      </c>
      <c r="V11" s="391">
        <v>0</v>
      </c>
      <c r="W11" s="391">
        <v>0</v>
      </c>
      <c r="X11" s="391"/>
      <c r="Y11" s="391"/>
      <c r="Z11" s="391">
        <v>0</v>
      </c>
      <c r="AA11" s="391">
        <v>0</v>
      </c>
      <c r="AB11" s="391"/>
      <c r="AC11" s="391"/>
      <c r="AD11" s="391">
        <v>0</v>
      </c>
      <c r="AE11" s="391">
        <v>0</v>
      </c>
      <c r="AF11" s="45">
        <f>80000000+30000000</f>
        <v>110000000</v>
      </c>
      <c r="AG11" s="392"/>
      <c r="AH11" s="391">
        <v>0</v>
      </c>
      <c r="AI11" s="393"/>
      <c r="AJ11" s="393">
        <v>0</v>
      </c>
      <c r="AK11" s="391">
        <f t="shared" ref="AK11:AK19" si="0">Q11+R11+S11+T11+U11+V11+W11+X11+Y11+Z11+AA11+AB11+AC11+AD11+AE11+AF11+AG11+AH11+AI11+AJ11</f>
        <v>110000000</v>
      </c>
    </row>
    <row r="12" spans="1:37" ht="82.5" customHeight="1" x14ac:dyDescent="0.2">
      <c r="A12" s="201"/>
      <c r="B12" s="39"/>
      <c r="C12" s="677" t="s">
        <v>34</v>
      </c>
      <c r="D12" s="679" t="s">
        <v>42</v>
      </c>
      <c r="E12" s="54"/>
      <c r="F12" s="54"/>
      <c r="G12" s="46"/>
      <c r="H12" s="54">
        <v>283</v>
      </c>
      <c r="I12" s="679" t="s">
        <v>43</v>
      </c>
      <c r="J12" s="41" t="s">
        <v>37</v>
      </c>
      <c r="K12" s="42">
        <v>1</v>
      </c>
      <c r="L12" s="43">
        <f>'[1]ENERO 2018 (2)'!N11</f>
        <v>2017003630114</v>
      </c>
      <c r="M12" s="44" t="s">
        <v>38</v>
      </c>
      <c r="N12" s="41" t="s">
        <v>44</v>
      </c>
      <c r="O12" s="679" t="s">
        <v>45</v>
      </c>
      <c r="P12" s="54" t="s">
        <v>46</v>
      </c>
      <c r="Q12" s="391">
        <v>0</v>
      </c>
      <c r="R12" s="391">
        <v>0</v>
      </c>
      <c r="S12" s="391">
        <v>0</v>
      </c>
      <c r="T12" s="391">
        <v>0</v>
      </c>
      <c r="U12" s="391">
        <v>0</v>
      </c>
      <c r="V12" s="391">
        <v>0</v>
      </c>
      <c r="W12" s="391">
        <v>0</v>
      </c>
      <c r="X12" s="391"/>
      <c r="Y12" s="391"/>
      <c r="Z12" s="391">
        <v>0</v>
      </c>
      <c r="AA12" s="391">
        <v>0</v>
      </c>
      <c r="AB12" s="391"/>
      <c r="AC12" s="391"/>
      <c r="AD12" s="391">
        <v>0</v>
      </c>
      <c r="AE12" s="391">
        <v>0</v>
      </c>
      <c r="AF12" s="45">
        <f>35000000+50000000</f>
        <v>85000000</v>
      </c>
      <c r="AG12" s="392"/>
      <c r="AH12" s="391">
        <v>0</v>
      </c>
      <c r="AI12" s="393"/>
      <c r="AJ12" s="393">
        <v>0</v>
      </c>
      <c r="AK12" s="391">
        <f t="shared" si="0"/>
        <v>85000000</v>
      </c>
    </row>
    <row r="13" spans="1:37" ht="92.25" customHeight="1" x14ac:dyDescent="0.2">
      <c r="A13" s="201"/>
      <c r="B13" s="39"/>
      <c r="C13" s="677">
        <v>38</v>
      </c>
      <c r="D13" s="679" t="s">
        <v>47</v>
      </c>
      <c r="E13" s="54"/>
      <c r="F13" s="54"/>
      <c r="G13" s="46"/>
      <c r="H13" s="54">
        <v>284</v>
      </c>
      <c r="I13" s="679" t="s">
        <v>48</v>
      </c>
      <c r="J13" s="41">
        <v>1</v>
      </c>
      <c r="K13" s="42">
        <v>1</v>
      </c>
      <c r="L13" s="43">
        <f>'[1]ENERO 2018 (2)'!N12</f>
        <v>2017003630116</v>
      </c>
      <c r="M13" s="44" t="s">
        <v>38</v>
      </c>
      <c r="N13" s="41" t="s">
        <v>49</v>
      </c>
      <c r="O13" s="679" t="s">
        <v>50</v>
      </c>
      <c r="P13" s="54" t="s">
        <v>46</v>
      </c>
      <c r="Q13" s="391">
        <v>0</v>
      </c>
      <c r="R13" s="391">
        <v>0</v>
      </c>
      <c r="S13" s="391">
        <v>0</v>
      </c>
      <c r="T13" s="391">
        <v>0</v>
      </c>
      <c r="U13" s="391">
        <v>0</v>
      </c>
      <c r="V13" s="391">
        <v>0</v>
      </c>
      <c r="W13" s="391">
        <v>0</v>
      </c>
      <c r="X13" s="391"/>
      <c r="Y13" s="391"/>
      <c r="Z13" s="391">
        <v>0</v>
      </c>
      <c r="AA13" s="391">
        <v>0</v>
      </c>
      <c r="AB13" s="391"/>
      <c r="AC13" s="391"/>
      <c r="AD13" s="391">
        <v>0</v>
      </c>
      <c r="AE13" s="391">
        <v>0</v>
      </c>
      <c r="AF13" s="637">
        <f>83000000+90000000+120000000</f>
        <v>293000000</v>
      </c>
      <c r="AG13" s="392"/>
      <c r="AH13" s="391">
        <v>0</v>
      </c>
      <c r="AI13" s="393"/>
      <c r="AJ13" s="393">
        <v>0</v>
      </c>
      <c r="AK13" s="391">
        <f t="shared" si="0"/>
        <v>293000000</v>
      </c>
    </row>
    <row r="14" spans="1:37" ht="93.75" customHeight="1" x14ac:dyDescent="0.2">
      <c r="A14" s="201"/>
      <c r="B14" s="39"/>
      <c r="C14" s="677">
        <v>38</v>
      </c>
      <c r="D14" s="679" t="s">
        <v>47</v>
      </c>
      <c r="E14" s="54"/>
      <c r="F14" s="54"/>
      <c r="G14" s="46"/>
      <c r="H14" s="54">
        <v>285</v>
      </c>
      <c r="I14" s="679" t="s">
        <v>51</v>
      </c>
      <c r="J14" s="41">
        <v>1</v>
      </c>
      <c r="K14" s="42">
        <v>1</v>
      </c>
      <c r="L14" s="43">
        <f>'[1]ENERO 2018 (2)'!N13</f>
        <v>2017003630115</v>
      </c>
      <c r="M14" s="44" t="s">
        <v>38</v>
      </c>
      <c r="N14" s="41" t="s">
        <v>52</v>
      </c>
      <c r="O14" s="679" t="s">
        <v>53</v>
      </c>
      <c r="P14" s="54" t="s">
        <v>46</v>
      </c>
      <c r="Q14" s="391">
        <v>0</v>
      </c>
      <c r="R14" s="391">
        <v>0</v>
      </c>
      <c r="S14" s="391">
        <v>0</v>
      </c>
      <c r="T14" s="391">
        <v>0</v>
      </c>
      <c r="U14" s="391">
        <v>0</v>
      </c>
      <c r="V14" s="391">
        <v>0</v>
      </c>
      <c r="W14" s="391">
        <v>0</v>
      </c>
      <c r="X14" s="391"/>
      <c r="Y14" s="391"/>
      <c r="Z14" s="391">
        <v>0</v>
      </c>
      <c r="AA14" s="391">
        <v>0</v>
      </c>
      <c r="AB14" s="391"/>
      <c r="AC14" s="391"/>
      <c r="AD14" s="391">
        <v>0</v>
      </c>
      <c r="AE14" s="391">
        <v>0</v>
      </c>
      <c r="AF14" s="637">
        <f>70000000+30000000+110000000+45000000</f>
        <v>255000000</v>
      </c>
      <c r="AG14" s="392"/>
      <c r="AH14" s="391">
        <v>0</v>
      </c>
      <c r="AI14" s="393"/>
      <c r="AJ14" s="393">
        <v>0</v>
      </c>
      <c r="AK14" s="391">
        <f t="shared" si="0"/>
        <v>255000000</v>
      </c>
    </row>
    <row r="15" spans="1:37" ht="56.25" customHeight="1" x14ac:dyDescent="0.2">
      <c r="A15" s="201"/>
      <c r="B15" s="39"/>
      <c r="C15" s="677">
        <v>38</v>
      </c>
      <c r="D15" s="679" t="s">
        <v>47</v>
      </c>
      <c r="E15" s="54"/>
      <c r="F15" s="54"/>
      <c r="G15" s="46"/>
      <c r="H15" s="54">
        <v>280</v>
      </c>
      <c r="I15" s="679" t="s">
        <v>54</v>
      </c>
      <c r="J15" s="41">
        <v>0</v>
      </c>
      <c r="K15" s="42">
        <v>1</v>
      </c>
      <c r="L15" s="784">
        <f>'[1]ENERO 2018 (2)'!N14</f>
        <v>2017003630113</v>
      </c>
      <c r="M15" s="777" t="s">
        <v>38</v>
      </c>
      <c r="N15" s="774" t="s">
        <v>55</v>
      </c>
      <c r="O15" s="777" t="s">
        <v>942</v>
      </c>
      <c r="P15" s="54" t="s">
        <v>46</v>
      </c>
      <c r="Q15" s="391">
        <v>0</v>
      </c>
      <c r="R15" s="391">
        <v>0</v>
      </c>
      <c r="S15" s="391">
        <v>0</v>
      </c>
      <c r="T15" s="391">
        <v>0</v>
      </c>
      <c r="U15" s="391">
        <v>0</v>
      </c>
      <c r="V15" s="391">
        <v>0</v>
      </c>
      <c r="W15" s="391">
        <v>0</v>
      </c>
      <c r="X15" s="391"/>
      <c r="Y15" s="391"/>
      <c r="Z15" s="391">
        <v>0</v>
      </c>
      <c r="AA15" s="391">
        <v>0</v>
      </c>
      <c r="AB15" s="391"/>
      <c r="AC15" s="391"/>
      <c r="AD15" s="391">
        <v>0</v>
      </c>
      <c r="AE15" s="391">
        <v>0</v>
      </c>
      <c r="AF15" s="635">
        <f>25000000</f>
        <v>25000000</v>
      </c>
      <c r="AG15" s="45"/>
      <c r="AH15" s="391">
        <v>0</v>
      </c>
      <c r="AI15" s="393"/>
      <c r="AJ15" s="393">
        <v>0</v>
      </c>
      <c r="AK15" s="391">
        <f t="shared" si="0"/>
        <v>25000000</v>
      </c>
    </row>
    <row r="16" spans="1:37" ht="56.25" customHeight="1" x14ac:dyDescent="0.2">
      <c r="A16" s="201"/>
      <c r="B16" s="39"/>
      <c r="C16" s="661"/>
      <c r="D16" s="655"/>
      <c r="E16" s="661"/>
      <c r="F16" s="661"/>
      <c r="G16" s="48"/>
      <c r="H16" s="54">
        <v>281</v>
      </c>
      <c r="I16" s="679" t="s">
        <v>57</v>
      </c>
      <c r="J16" s="41">
        <v>0</v>
      </c>
      <c r="K16" s="42">
        <v>1</v>
      </c>
      <c r="L16" s="785"/>
      <c r="M16" s="778"/>
      <c r="N16" s="775"/>
      <c r="O16" s="778"/>
      <c r="P16" s="54" t="s">
        <v>46</v>
      </c>
      <c r="Q16" s="391"/>
      <c r="R16" s="391"/>
      <c r="S16" s="391"/>
      <c r="T16" s="391"/>
      <c r="U16" s="391"/>
      <c r="V16" s="391"/>
      <c r="W16" s="391"/>
      <c r="X16" s="391"/>
      <c r="Y16" s="391"/>
      <c r="Z16" s="391"/>
      <c r="AA16" s="391"/>
      <c r="AB16" s="391"/>
      <c r="AC16" s="391"/>
      <c r="AD16" s="391"/>
      <c r="AE16" s="391"/>
      <c r="AF16" s="635">
        <f>84000000+50000000</f>
        <v>134000000</v>
      </c>
      <c r="AG16" s="45"/>
      <c r="AH16" s="391"/>
      <c r="AI16" s="393"/>
      <c r="AJ16" s="393"/>
      <c r="AK16" s="391">
        <f t="shared" si="0"/>
        <v>134000000</v>
      </c>
    </row>
    <row r="17" spans="1:37" ht="56.25" customHeight="1" x14ac:dyDescent="0.2">
      <c r="A17" s="201"/>
      <c r="B17" s="39"/>
      <c r="C17" s="650"/>
      <c r="D17" s="656"/>
      <c r="E17" s="650"/>
      <c r="F17" s="650"/>
      <c r="G17" s="48"/>
      <c r="H17" s="54">
        <v>286</v>
      </c>
      <c r="I17" s="679" t="s">
        <v>58</v>
      </c>
      <c r="J17" s="41">
        <v>1</v>
      </c>
      <c r="K17" s="721" t="s">
        <v>943</v>
      </c>
      <c r="L17" s="785"/>
      <c r="M17" s="778"/>
      <c r="N17" s="775"/>
      <c r="O17" s="778"/>
      <c r="P17" s="54" t="s">
        <v>46</v>
      </c>
      <c r="Q17" s="391"/>
      <c r="R17" s="391"/>
      <c r="S17" s="391"/>
      <c r="T17" s="391"/>
      <c r="U17" s="391"/>
      <c r="V17" s="391"/>
      <c r="W17" s="391"/>
      <c r="X17" s="391"/>
      <c r="Y17" s="391"/>
      <c r="Z17" s="391"/>
      <c r="AA17" s="391"/>
      <c r="AB17" s="391"/>
      <c r="AC17" s="391"/>
      <c r="AD17" s="391"/>
      <c r="AE17" s="391"/>
      <c r="AF17" s="635">
        <f>85000000+80000000-165000000</f>
        <v>0</v>
      </c>
      <c r="AG17" s="45"/>
      <c r="AH17" s="391"/>
      <c r="AI17" s="393"/>
      <c r="AJ17" s="393"/>
      <c r="AK17" s="391">
        <f t="shared" si="0"/>
        <v>0</v>
      </c>
    </row>
    <row r="18" spans="1:37" ht="56.25" customHeight="1" x14ac:dyDescent="0.2">
      <c r="A18" s="201"/>
      <c r="B18" s="39"/>
      <c r="C18" s="650"/>
      <c r="D18" s="656"/>
      <c r="E18" s="650"/>
      <c r="F18" s="650"/>
      <c r="G18" s="48"/>
      <c r="H18" s="54">
        <v>287</v>
      </c>
      <c r="I18" s="679" t="s">
        <v>59</v>
      </c>
      <c r="J18" s="41">
        <v>1</v>
      </c>
      <c r="K18" s="721">
        <v>1</v>
      </c>
      <c r="L18" s="785"/>
      <c r="M18" s="778"/>
      <c r="N18" s="775"/>
      <c r="O18" s="778"/>
      <c r="P18" s="54" t="s">
        <v>46</v>
      </c>
      <c r="Q18" s="391"/>
      <c r="R18" s="391"/>
      <c r="S18" s="391"/>
      <c r="T18" s="391"/>
      <c r="U18" s="391"/>
      <c r="V18" s="391"/>
      <c r="W18" s="391"/>
      <c r="X18" s="391"/>
      <c r="Y18" s="391"/>
      <c r="Z18" s="391"/>
      <c r="AA18" s="391"/>
      <c r="AB18" s="391"/>
      <c r="AC18" s="391"/>
      <c r="AD18" s="391"/>
      <c r="AE18" s="391"/>
      <c r="AF18" s="131">
        <f>109000000+60000000</f>
        <v>169000000</v>
      </c>
      <c r="AG18" s="45"/>
      <c r="AH18" s="391"/>
      <c r="AI18" s="393"/>
      <c r="AJ18" s="393"/>
      <c r="AK18" s="391">
        <f t="shared" si="0"/>
        <v>169000000</v>
      </c>
    </row>
    <row r="19" spans="1:37" ht="56.25" customHeight="1" x14ac:dyDescent="0.2">
      <c r="A19" s="201"/>
      <c r="B19" s="39"/>
      <c r="C19" s="650"/>
      <c r="D19" s="656"/>
      <c r="E19" s="650"/>
      <c r="F19" s="650"/>
      <c r="G19" s="50"/>
      <c r="H19" s="54">
        <v>289</v>
      </c>
      <c r="I19" s="679" t="s">
        <v>60</v>
      </c>
      <c r="J19" s="41" t="s">
        <v>37</v>
      </c>
      <c r="K19" s="721">
        <v>1</v>
      </c>
      <c r="L19" s="786"/>
      <c r="M19" s="779"/>
      <c r="N19" s="776"/>
      <c r="O19" s="779"/>
      <c r="P19" s="54" t="s">
        <v>61</v>
      </c>
      <c r="Q19" s="391"/>
      <c r="R19" s="391"/>
      <c r="S19" s="391"/>
      <c r="T19" s="391"/>
      <c r="U19" s="391"/>
      <c r="V19" s="391"/>
      <c r="W19" s="391"/>
      <c r="X19" s="391"/>
      <c r="Y19" s="391"/>
      <c r="Z19" s="391"/>
      <c r="AA19" s="391"/>
      <c r="AB19" s="391"/>
      <c r="AC19" s="391"/>
      <c r="AD19" s="391"/>
      <c r="AE19" s="391"/>
      <c r="AF19" s="131"/>
      <c r="AG19" s="45"/>
      <c r="AH19" s="391"/>
      <c r="AI19" s="638">
        <f>5000000000-5000000000</f>
        <v>0</v>
      </c>
      <c r="AJ19" s="393"/>
      <c r="AK19" s="391">
        <f t="shared" si="0"/>
        <v>0</v>
      </c>
    </row>
    <row r="20" spans="1:37" ht="30" customHeight="1" x14ac:dyDescent="0.2">
      <c r="A20" s="201"/>
      <c r="B20" s="52"/>
      <c r="C20" s="662"/>
      <c r="D20" s="657"/>
      <c r="E20" s="662"/>
      <c r="F20" s="662"/>
      <c r="G20" s="55"/>
      <c r="H20" s="56"/>
      <c r="I20" s="55"/>
      <c r="J20" s="57"/>
      <c r="K20" s="57"/>
      <c r="L20" s="57"/>
      <c r="M20" s="57"/>
      <c r="N20" s="56"/>
      <c r="O20" s="55"/>
      <c r="P20" s="56"/>
      <c r="Q20" s="400">
        <f t="shared" ref="Q20:AJ20" si="1">SUM(Q11:Q19)</f>
        <v>0</v>
      </c>
      <c r="R20" s="400">
        <f t="shared" si="1"/>
        <v>0</v>
      </c>
      <c r="S20" s="400">
        <f t="shared" si="1"/>
        <v>0</v>
      </c>
      <c r="T20" s="400">
        <f t="shared" si="1"/>
        <v>0</v>
      </c>
      <c r="U20" s="400">
        <f t="shared" si="1"/>
        <v>0</v>
      </c>
      <c r="V20" s="400">
        <f t="shared" si="1"/>
        <v>0</v>
      </c>
      <c r="W20" s="400">
        <f t="shared" si="1"/>
        <v>0</v>
      </c>
      <c r="X20" s="400">
        <f t="shared" si="1"/>
        <v>0</v>
      </c>
      <c r="Y20" s="400">
        <f t="shared" si="1"/>
        <v>0</v>
      </c>
      <c r="Z20" s="400">
        <f t="shared" si="1"/>
        <v>0</v>
      </c>
      <c r="AA20" s="400">
        <f t="shared" si="1"/>
        <v>0</v>
      </c>
      <c r="AB20" s="400">
        <f t="shared" si="1"/>
        <v>0</v>
      </c>
      <c r="AC20" s="400">
        <f t="shared" si="1"/>
        <v>0</v>
      </c>
      <c r="AD20" s="400">
        <f t="shared" si="1"/>
        <v>0</v>
      </c>
      <c r="AE20" s="400">
        <f t="shared" si="1"/>
        <v>0</v>
      </c>
      <c r="AF20" s="400">
        <f t="shared" si="1"/>
        <v>1071000000</v>
      </c>
      <c r="AG20" s="400">
        <f t="shared" si="1"/>
        <v>0</v>
      </c>
      <c r="AH20" s="400">
        <f t="shared" si="1"/>
        <v>0</v>
      </c>
      <c r="AI20" s="400">
        <f t="shared" si="1"/>
        <v>0</v>
      </c>
      <c r="AJ20" s="400">
        <f t="shared" si="1"/>
        <v>0</v>
      </c>
      <c r="AK20" s="400">
        <f>SUM(AK11:AK19)</f>
        <v>1071000000</v>
      </c>
    </row>
    <row r="21" spans="1:37" ht="30" customHeight="1" x14ac:dyDescent="0.2">
      <c r="A21" s="203"/>
      <c r="B21" s="59"/>
      <c r="C21" s="60"/>
      <c r="D21" s="59"/>
      <c r="E21" s="60"/>
      <c r="F21" s="60"/>
      <c r="G21" s="59"/>
      <c r="H21" s="60"/>
      <c r="I21" s="59"/>
      <c r="J21" s="61"/>
      <c r="K21" s="61"/>
      <c r="L21" s="61"/>
      <c r="M21" s="61"/>
      <c r="N21" s="60"/>
      <c r="O21" s="59"/>
      <c r="P21" s="60"/>
      <c r="Q21" s="406">
        <f t="shared" ref="Q21:AK21" si="2">Q20</f>
        <v>0</v>
      </c>
      <c r="R21" s="406">
        <f t="shared" si="2"/>
        <v>0</v>
      </c>
      <c r="S21" s="406">
        <f t="shared" si="2"/>
        <v>0</v>
      </c>
      <c r="T21" s="406">
        <f t="shared" si="2"/>
        <v>0</v>
      </c>
      <c r="U21" s="406">
        <f t="shared" si="2"/>
        <v>0</v>
      </c>
      <c r="V21" s="406">
        <f t="shared" si="2"/>
        <v>0</v>
      </c>
      <c r="W21" s="406">
        <f t="shared" si="2"/>
        <v>0</v>
      </c>
      <c r="X21" s="406">
        <f t="shared" si="2"/>
        <v>0</v>
      </c>
      <c r="Y21" s="406">
        <f t="shared" si="2"/>
        <v>0</v>
      </c>
      <c r="Z21" s="406">
        <f t="shared" si="2"/>
        <v>0</v>
      </c>
      <c r="AA21" s="406">
        <f t="shared" si="2"/>
        <v>0</v>
      </c>
      <c r="AB21" s="406">
        <f t="shared" si="2"/>
        <v>0</v>
      </c>
      <c r="AC21" s="406">
        <f t="shared" si="2"/>
        <v>0</v>
      </c>
      <c r="AD21" s="406">
        <f t="shared" si="2"/>
        <v>0</v>
      </c>
      <c r="AE21" s="406">
        <f t="shared" si="2"/>
        <v>0</v>
      </c>
      <c r="AF21" s="406">
        <f t="shared" si="2"/>
        <v>1071000000</v>
      </c>
      <c r="AG21" s="406">
        <f t="shared" si="2"/>
        <v>0</v>
      </c>
      <c r="AH21" s="406">
        <f t="shared" si="2"/>
        <v>0</v>
      </c>
      <c r="AI21" s="406">
        <f t="shared" si="2"/>
        <v>0</v>
      </c>
      <c r="AJ21" s="406">
        <f t="shared" si="2"/>
        <v>0</v>
      </c>
      <c r="AK21" s="406">
        <f t="shared" si="2"/>
        <v>1071000000</v>
      </c>
    </row>
    <row r="22" spans="1:37" ht="30" customHeight="1" x14ac:dyDescent="0.2">
      <c r="A22" s="62"/>
      <c r="B22" s="62"/>
      <c r="C22" s="63"/>
      <c r="D22" s="62"/>
      <c r="E22" s="63"/>
      <c r="F22" s="63"/>
      <c r="G22" s="62"/>
      <c r="H22" s="63"/>
      <c r="I22" s="62"/>
      <c r="J22" s="64"/>
      <c r="K22" s="64"/>
      <c r="L22" s="64"/>
      <c r="M22" s="64"/>
      <c r="N22" s="63"/>
      <c r="O22" s="62"/>
      <c r="P22" s="63"/>
      <c r="Q22" s="412">
        <f t="shared" ref="Q22:AK22" si="3">+Q21</f>
        <v>0</v>
      </c>
      <c r="R22" s="412">
        <f t="shared" si="3"/>
        <v>0</v>
      </c>
      <c r="S22" s="412">
        <f t="shared" si="3"/>
        <v>0</v>
      </c>
      <c r="T22" s="412">
        <f t="shared" si="3"/>
        <v>0</v>
      </c>
      <c r="U22" s="412">
        <f t="shared" si="3"/>
        <v>0</v>
      </c>
      <c r="V22" s="412">
        <f t="shared" si="3"/>
        <v>0</v>
      </c>
      <c r="W22" s="412">
        <f t="shared" si="3"/>
        <v>0</v>
      </c>
      <c r="X22" s="412">
        <f t="shared" si="3"/>
        <v>0</v>
      </c>
      <c r="Y22" s="412">
        <f t="shared" si="3"/>
        <v>0</v>
      </c>
      <c r="Z22" s="412">
        <f t="shared" si="3"/>
        <v>0</v>
      </c>
      <c r="AA22" s="412">
        <f t="shared" si="3"/>
        <v>0</v>
      </c>
      <c r="AB22" s="412">
        <f t="shared" si="3"/>
        <v>0</v>
      </c>
      <c r="AC22" s="412">
        <f t="shared" si="3"/>
        <v>0</v>
      </c>
      <c r="AD22" s="412">
        <f t="shared" si="3"/>
        <v>0</v>
      </c>
      <c r="AE22" s="412">
        <f t="shared" si="3"/>
        <v>0</v>
      </c>
      <c r="AF22" s="412">
        <f t="shared" si="3"/>
        <v>1071000000</v>
      </c>
      <c r="AG22" s="412">
        <f t="shared" si="3"/>
        <v>0</v>
      </c>
      <c r="AH22" s="412">
        <f t="shared" si="3"/>
        <v>0</v>
      </c>
      <c r="AI22" s="412">
        <f t="shared" si="3"/>
        <v>0</v>
      </c>
      <c r="AJ22" s="412">
        <f t="shared" si="3"/>
        <v>0</v>
      </c>
      <c r="AK22" s="412">
        <f t="shared" si="3"/>
        <v>1071000000</v>
      </c>
    </row>
    <row r="23" spans="1:37" ht="30" customHeight="1" x14ac:dyDescent="0.2">
      <c r="A23" s="65"/>
      <c r="B23" s="65"/>
      <c r="C23" s="66"/>
      <c r="D23" s="65"/>
      <c r="E23" s="66"/>
      <c r="F23" s="66"/>
      <c r="G23" s="65"/>
      <c r="H23" s="66"/>
      <c r="I23" s="65"/>
      <c r="J23" s="67"/>
      <c r="K23" s="67"/>
      <c r="L23" s="67"/>
      <c r="M23" s="67"/>
      <c r="N23" s="66"/>
      <c r="O23" s="65"/>
      <c r="P23" s="66"/>
      <c r="Q23" s="413">
        <f t="shared" ref="Q23:AK23" si="4">Q22</f>
        <v>0</v>
      </c>
      <c r="R23" s="413">
        <f t="shared" si="4"/>
        <v>0</v>
      </c>
      <c r="S23" s="413">
        <f t="shared" si="4"/>
        <v>0</v>
      </c>
      <c r="T23" s="413">
        <f t="shared" si="4"/>
        <v>0</v>
      </c>
      <c r="U23" s="413">
        <f t="shared" si="4"/>
        <v>0</v>
      </c>
      <c r="V23" s="413">
        <f t="shared" si="4"/>
        <v>0</v>
      </c>
      <c r="W23" s="413">
        <f t="shared" si="4"/>
        <v>0</v>
      </c>
      <c r="X23" s="413">
        <f t="shared" si="4"/>
        <v>0</v>
      </c>
      <c r="Y23" s="413">
        <f t="shared" si="4"/>
        <v>0</v>
      </c>
      <c r="Z23" s="413">
        <f t="shared" si="4"/>
        <v>0</v>
      </c>
      <c r="AA23" s="413">
        <f t="shared" si="4"/>
        <v>0</v>
      </c>
      <c r="AB23" s="413">
        <f t="shared" si="4"/>
        <v>0</v>
      </c>
      <c r="AC23" s="413">
        <f t="shared" si="4"/>
        <v>0</v>
      </c>
      <c r="AD23" s="413">
        <f t="shared" si="4"/>
        <v>0</v>
      </c>
      <c r="AE23" s="413">
        <f t="shared" si="4"/>
        <v>0</v>
      </c>
      <c r="AF23" s="413">
        <f t="shared" si="4"/>
        <v>1071000000</v>
      </c>
      <c r="AG23" s="413">
        <f t="shared" si="4"/>
        <v>0</v>
      </c>
      <c r="AH23" s="413">
        <f t="shared" si="4"/>
        <v>0</v>
      </c>
      <c r="AI23" s="413">
        <f t="shared" si="4"/>
        <v>0</v>
      </c>
      <c r="AJ23" s="413">
        <f t="shared" si="4"/>
        <v>0</v>
      </c>
      <c r="AK23" s="413">
        <f t="shared" si="4"/>
        <v>1071000000</v>
      </c>
    </row>
    <row r="24" spans="1:37" ht="30" customHeight="1" x14ac:dyDescent="0.2">
      <c r="A24" s="68"/>
      <c r="B24" s="69"/>
      <c r="C24" s="146"/>
      <c r="D24" s="69"/>
      <c r="E24" s="146"/>
      <c r="F24" s="146"/>
      <c r="G24" s="69"/>
      <c r="H24" s="146"/>
      <c r="I24" s="69"/>
      <c r="J24" s="70"/>
      <c r="K24" s="70"/>
      <c r="L24" s="70"/>
      <c r="M24" s="70"/>
      <c r="N24" s="146"/>
      <c r="O24" s="69"/>
      <c r="P24" s="146"/>
      <c r="Q24" s="395"/>
      <c r="R24" s="396"/>
      <c r="S24" s="395"/>
      <c r="T24" s="395"/>
      <c r="U24" s="395"/>
      <c r="V24" s="395"/>
      <c r="W24" s="395"/>
      <c r="X24" s="395"/>
      <c r="Y24" s="395"/>
      <c r="Z24" s="395"/>
      <c r="AA24" s="395"/>
      <c r="AB24" s="396"/>
      <c r="AC24" s="396"/>
      <c r="AD24" s="395"/>
      <c r="AE24" s="395"/>
      <c r="AF24" s="397"/>
      <c r="AG24" s="398"/>
      <c r="AH24" s="395"/>
      <c r="AI24" s="395"/>
      <c r="AJ24" s="396"/>
      <c r="AK24" s="395"/>
    </row>
    <row r="25" spans="1:37" s="2" customFormat="1" ht="30" customHeight="1" x14ac:dyDescent="0.25">
      <c r="A25" s="28" t="s">
        <v>62</v>
      </c>
      <c r="B25" s="29"/>
      <c r="C25" s="30"/>
      <c r="D25" s="29"/>
      <c r="E25" s="29"/>
      <c r="F25" s="29"/>
      <c r="G25" s="29"/>
      <c r="H25" s="30"/>
      <c r="I25" s="29"/>
      <c r="J25" s="29"/>
      <c r="K25" s="29"/>
      <c r="L25" s="29"/>
      <c r="M25" s="29"/>
      <c r="N25" s="30"/>
      <c r="O25" s="29"/>
      <c r="P25" s="30"/>
      <c r="Q25" s="459"/>
      <c r="R25" s="459"/>
      <c r="S25" s="459"/>
      <c r="T25" s="459"/>
      <c r="U25" s="459"/>
      <c r="V25" s="459"/>
      <c r="W25" s="459"/>
      <c r="X25" s="459"/>
      <c r="Y25" s="459"/>
      <c r="Z25" s="459"/>
      <c r="AA25" s="459"/>
      <c r="AB25" s="459"/>
      <c r="AC25" s="459"/>
      <c r="AD25" s="459"/>
      <c r="AE25" s="459"/>
      <c r="AF25" s="460"/>
      <c r="AG25" s="461"/>
      <c r="AH25" s="459"/>
      <c r="AI25" s="459"/>
      <c r="AJ25" s="459"/>
      <c r="AK25" s="462" t="s">
        <v>63</v>
      </c>
    </row>
    <row r="26" spans="1:37" ht="30" customHeight="1" x14ac:dyDescent="0.2">
      <c r="A26" s="738">
        <v>5</v>
      </c>
      <c r="B26" s="31" t="s">
        <v>31</v>
      </c>
      <c r="C26" s="32"/>
      <c r="D26" s="31"/>
      <c r="E26" s="31"/>
      <c r="F26" s="31"/>
      <c r="G26" s="31"/>
      <c r="H26" s="32"/>
      <c r="I26" s="31"/>
      <c r="J26" s="31"/>
      <c r="K26" s="31"/>
      <c r="L26" s="31"/>
      <c r="M26" s="31"/>
      <c r="N26" s="32"/>
      <c r="O26" s="31"/>
      <c r="P26" s="31"/>
      <c r="Q26" s="421"/>
      <c r="R26" s="421"/>
      <c r="S26" s="421"/>
      <c r="T26" s="421"/>
      <c r="U26" s="421"/>
      <c r="V26" s="421"/>
      <c r="W26" s="421"/>
      <c r="X26" s="421"/>
      <c r="Y26" s="421"/>
      <c r="Z26" s="421"/>
      <c r="AA26" s="421"/>
      <c r="AB26" s="421"/>
      <c r="AC26" s="421"/>
      <c r="AD26" s="421"/>
      <c r="AE26" s="421"/>
      <c r="AF26" s="422"/>
      <c r="AG26" s="421"/>
      <c r="AH26" s="421"/>
      <c r="AI26" s="421"/>
      <c r="AJ26" s="421"/>
      <c r="AK26" s="423"/>
    </row>
    <row r="27" spans="1:37" ht="30" customHeight="1" x14ac:dyDescent="0.2">
      <c r="A27" s="73"/>
      <c r="B27" s="35">
        <v>26</v>
      </c>
      <c r="C27" s="35" t="s">
        <v>64</v>
      </c>
      <c r="D27" s="36"/>
      <c r="E27" s="36"/>
      <c r="F27" s="36"/>
      <c r="G27" s="36"/>
      <c r="H27" s="37"/>
      <c r="I27" s="36"/>
      <c r="J27" s="36"/>
      <c r="K27" s="36"/>
      <c r="L27" s="36"/>
      <c r="M27" s="36"/>
      <c r="N27" s="37"/>
      <c r="O27" s="36"/>
      <c r="P27" s="36"/>
      <c r="Q27" s="402"/>
      <c r="R27" s="402"/>
      <c r="S27" s="402"/>
      <c r="T27" s="402"/>
      <c r="U27" s="402"/>
      <c r="V27" s="402"/>
      <c r="W27" s="402"/>
      <c r="X27" s="402"/>
      <c r="Y27" s="402"/>
      <c r="Z27" s="402"/>
      <c r="AA27" s="402"/>
      <c r="AB27" s="402"/>
      <c r="AC27" s="402"/>
      <c r="AD27" s="402"/>
      <c r="AE27" s="402"/>
      <c r="AF27" s="403"/>
      <c r="AG27" s="402"/>
      <c r="AH27" s="402"/>
      <c r="AI27" s="402"/>
      <c r="AJ27" s="402"/>
      <c r="AK27" s="407"/>
    </row>
    <row r="28" spans="1:37" ht="30" customHeight="1" x14ac:dyDescent="0.2">
      <c r="A28" s="39"/>
      <c r="B28" s="73"/>
      <c r="C28" s="387"/>
      <c r="D28" s="73"/>
      <c r="E28" s="73"/>
      <c r="F28" s="73"/>
      <c r="G28" s="75">
        <v>83</v>
      </c>
      <c r="H28" s="76" t="s">
        <v>65</v>
      </c>
      <c r="I28" s="77"/>
      <c r="J28" s="77"/>
      <c r="K28" s="77"/>
      <c r="L28" s="77"/>
      <c r="M28" s="77"/>
      <c r="N28" s="169"/>
      <c r="O28" s="77"/>
      <c r="P28" s="77"/>
      <c r="Q28" s="263"/>
      <c r="R28" s="263"/>
      <c r="S28" s="263"/>
      <c r="T28" s="263"/>
      <c r="U28" s="263"/>
      <c r="V28" s="263"/>
      <c r="W28" s="263"/>
      <c r="X28" s="263"/>
      <c r="Y28" s="263"/>
      <c r="Z28" s="263"/>
      <c r="AA28" s="263"/>
      <c r="AB28" s="263"/>
      <c r="AC28" s="263"/>
      <c r="AD28" s="263"/>
      <c r="AE28" s="263"/>
      <c r="AF28" s="404"/>
      <c r="AG28" s="263"/>
      <c r="AH28" s="263"/>
      <c r="AI28" s="263"/>
      <c r="AJ28" s="263"/>
      <c r="AK28" s="265"/>
    </row>
    <row r="29" spans="1:37" ht="75" x14ac:dyDescent="0.2">
      <c r="A29" s="39"/>
      <c r="B29" s="39"/>
      <c r="C29" s="516">
        <v>37</v>
      </c>
      <c r="D29" s="656" t="s">
        <v>66</v>
      </c>
      <c r="E29" s="653" t="s">
        <v>67</v>
      </c>
      <c r="F29" s="659">
        <v>0.6</v>
      </c>
      <c r="G29" s="679"/>
      <c r="H29" s="54">
        <v>246</v>
      </c>
      <c r="I29" s="679" t="s">
        <v>68</v>
      </c>
      <c r="J29" s="41" t="s">
        <v>37</v>
      </c>
      <c r="K29" s="42">
        <v>13</v>
      </c>
      <c r="L29" s="43">
        <v>2017003630021</v>
      </c>
      <c r="M29" s="44" t="s">
        <v>38</v>
      </c>
      <c r="N29" s="54" t="s">
        <v>69</v>
      </c>
      <c r="O29" s="679" t="s">
        <v>944</v>
      </c>
      <c r="P29" s="54" t="s">
        <v>46</v>
      </c>
      <c r="Q29" s="391">
        <v>0</v>
      </c>
      <c r="R29" s="391">
        <v>0</v>
      </c>
      <c r="S29" s="391">
        <v>0</v>
      </c>
      <c r="T29" s="391">
        <v>0</v>
      </c>
      <c r="U29" s="391">
        <v>0</v>
      </c>
      <c r="V29" s="391">
        <v>0</v>
      </c>
      <c r="W29" s="391">
        <v>0</v>
      </c>
      <c r="X29" s="391"/>
      <c r="Y29" s="391"/>
      <c r="Z29" s="391">
        <v>0</v>
      </c>
      <c r="AA29" s="391">
        <v>0</v>
      </c>
      <c r="AB29" s="391"/>
      <c r="AC29" s="391"/>
      <c r="AD29" s="391">
        <v>0</v>
      </c>
      <c r="AE29" s="391">
        <v>0</v>
      </c>
      <c r="AF29" s="394">
        <v>18000000</v>
      </c>
      <c r="AG29" s="394"/>
      <c r="AH29" s="391">
        <v>0</v>
      </c>
      <c r="AI29" s="393"/>
      <c r="AJ29" s="393">
        <v>0</v>
      </c>
      <c r="AK29" s="391">
        <f>Q29+R29+S29+T29+U29+V29+W29+X29+Y29+Z29+AA29+AB29+AC29+AD29+AE29+AF29+AG29+AH29+AI29+AJ29</f>
        <v>18000000</v>
      </c>
    </row>
    <row r="30" spans="1:37" ht="30" customHeight="1" x14ac:dyDescent="0.2">
      <c r="A30" s="39"/>
      <c r="B30" s="39"/>
      <c r="C30" s="515"/>
      <c r="D30" s="657"/>
      <c r="E30" s="662"/>
      <c r="F30" s="662"/>
      <c r="G30" s="55"/>
      <c r="H30" s="55"/>
      <c r="I30" s="55"/>
      <c r="J30" s="55"/>
      <c r="K30" s="55"/>
      <c r="L30" s="55"/>
      <c r="M30" s="55"/>
      <c r="N30" s="55"/>
      <c r="O30" s="55"/>
      <c r="P30" s="55"/>
      <c r="Q30" s="447">
        <f t="shared" ref="Q30:AJ30" si="5">SUM(Q29)</f>
        <v>0</v>
      </c>
      <c r="R30" s="447">
        <f t="shared" si="5"/>
        <v>0</v>
      </c>
      <c r="S30" s="447">
        <f t="shared" si="5"/>
        <v>0</v>
      </c>
      <c r="T30" s="447">
        <f t="shared" si="5"/>
        <v>0</v>
      </c>
      <c r="U30" s="447">
        <f t="shared" si="5"/>
        <v>0</v>
      </c>
      <c r="V30" s="447">
        <f t="shared" si="5"/>
        <v>0</v>
      </c>
      <c r="W30" s="447">
        <f t="shared" si="5"/>
        <v>0</v>
      </c>
      <c r="X30" s="447">
        <f t="shared" si="5"/>
        <v>0</v>
      </c>
      <c r="Y30" s="447">
        <f t="shared" si="5"/>
        <v>0</v>
      </c>
      <c r="Z30" s="447">
        <f t="shared" si="5"/>
        <v>0</v>
      </c>
      <c r="AA30" s="447">
        <f t="shared" si="5"/>
        <v>0</v>
      </c>
      <c r="AB30" s="447">
        <f t="shared" si="5"/>
        <v>0</v>
      </c>
      <c r="AC30" s="447">
        <f t="shared" si="5"/>
        <v>0</v>
      </c>
      <c r="AD30" s="447">
        <f t="shared" si="5"/>
        <v>0</v>
      </c>
      <c r="AE30" s="447">
        <f t="shared" si="5"/>
        <v>0</v>
      </c>
      <c r="AF30" s="447">
        <f t="shared" si="5"/>
        <v>18000000</v>
      </c>
      <c r="AG30" s="447">
        <f t="shared" si="5"/>
        <v>0</v>
      </c>
      <c r="AH30" s="447">
        <f t="shared" si="5"/>
        <v>0</v>
      </c>
      <c r="AI30" s="447">
        <f t="shared" si="5"/>
        <v>0</v>
      </c>
      <c r="AJ30" s="447">
        <f t="shared" si="5"/>
        <v>0</v>
      </c>
      <c r="AK30" s="447">
        <f>SUM(AK29)</f>
        <v>18000000</v>
      </c>
    </row>
    <row r="31" spans="1:37" ht="30" customHeight="1" x14ac:dyDescent="0.2">
      <c r="A31" s="39"/>
      <c r="B31" s="39"/>
      <c r="C31" s="133"/>
      <c r="D31" s="69"/>
      <c r="E31" s="146"/>
      <c r="F31" s="146"/>
      <c r="G31" s="69"/>
      <c r="H31" s="146"/>
      <c r="I31" s="69"/>
      <c r="J31" s="70"/>
      <c r="K31" s="80"/>
      <c r="L31" s="80"/>
      <c r="M31" s="70"/>
      <c r="N31" s="146"/>
      <c r="O31" s="69"/>
      <c r="P31" s="146"/>
      <c r="Q31" s="395"/>
      <c r="R31" s="396"/>
      <c r="S31" s="395"/>
      <c r="T31" s="395"/>
      <c r="U31" s="395"/>
      <c r="V31" s="395"/>
      <c r="W31" s="395"/>
      <c r="X31" s="395"/>
      <c r="Y31" s="395"/>
      <c r="Z31" s="395"/>
      <c r="AA31" s="395"/>
      <c r="AB31" s="396"/>
      <c r="AC31" s="396"/>
      <c r="AD31" s="395"/>
      <c r="AE31" s="395"/>
      <c r="AF31" s="397"/>
      <c r="AG31" s="398"/>
      <c r="AH31" s="395"/>
      <c r="AI31" s="395"/>
      <c r="AJ31" s="396"/>
      <c r="AK31" s="399"/>
    </row>
    <row r="32" spans="1:37" ht="30" customHeight="1" x14ac:dyDescent="0.2">
      <c r="A32" s="39"/>
      <c r="B32" s="39"/>
      <c r="C32" s="661"/>
      <c r="D32" s="655"/>
      <c r="E32" s="661"/>
      <c r="F32" s="661"/>
      <c r="G32" s="136">
        <v>84</v>
      </c>
      <c r="H32" s="76" t="s">
        <v>71</v>
      </c>
      <c r="I32" s="55"/>
      <c r="J32" s="55"/>
      <c r="K32" s="55"/>
      <c r="L32" s="55"/>
      <c r="M32" s="55"/>
      <c r="N32" s="55"/>
      <c r="O32" s="55"/>
      <c r="P32" s="55"/>
      <c r="Q32" s="447"/>
      <c r="R32" s="447"/>
      <c r="S32" s="447"/>
      <c r="T32" s="447"/>
      <c r="U32" s="447"/>
      <c r="V32" s="447"/>
      <c r="W32" s="447"/>
      <c r="X32" s="447"/>
      <c r="Y32" s="447"/>
      <c r="Z32" s="447"/>
      <c r="AA32" s="447"/>
      <c r="AB32" s="447"/>
      <c r="AC32" s="447"/>
      <c r="AD32" s="447"/>
      <c r="AE32" s="447"/>
      <c r="AF32" s="447"/>
      <c r="AG32" s="447"/>
      <c r="AH32" s="447"/>
      <c r="AI32" s="447"/>
      <c r="AJ32" s="447"/>
      <c r="AK32" s="447"/>
    </row>
    <row r="33" spans="1:37" ht="60" x14ac:dyDescent="0.2">
      <c r="A33" s="39"/>
      <c r="B33" s="39"/>
      <c r="C33" s="650">
        <v>37</v>
      </c>
      <c r="D33" s="656" t="s">
        <v>66</v>
      </c>
      <c r="E33" s="653" t="s">
        <v>67</v>
      </c>
      <c r="F33" s="659">
        <v>0.6</v>
      </c>
      <c r="G33" s="679"/>
      <c r="H33" s="54">
        <v>248</v>
      </c>
      <c r="I33" s="679" t="s">
        <v>72</v>
      </c>
      <c r="J33" s="41" t="s">
        <v>37</v>
      </c>
      <c r="K33" s="42">
        <v>12</v>
      </c>
      <c r="L33" s="43">
        <v>2017003630053</v>
      </c>
      <c r="M33" s="44" t="s">
        <v>38</v>
      </c>
      <c r="N33" s="54" t="s">
        <v>73</v>
      </c>
      <c r="O33" s="679" t="s">
        <v>945</v>
      </c>
      <c r="P33" s="54" t="s">
        <v>46</v>
      </c>
      <c r="Q33" s="391">
        <v>0</v>
      </c>
      <c r="R33" s="391">
        <v>0</v>
      </c>
      <c r="S33" s="391">
        <v>0</v>
      </c>
      <c r="T33" s="391">
        <v>0</v>
      </c>
      <c r="U33" s="391">
        <v>0</v>
      </c>
      <c r="V33" s="391">
        <v>0</v>
      </c>
      <c r="W33" s="391">
        <v>0</v>
      </c>
      <c r="X33" s="391"/>
      <c r="Y33" s="391"/>
      <c r="Z33" s="391">
        <v>0</v>
      </c>
      <c r="AA33" s="391">
        <v>0</v>
      </c>
      <c r="AB33" s="391"/>
      <c r="AC33" s="391"/>
      <c r="AD33" s="391">
        <v>0</v>
      </c>
      <c r="AE33" s="391">
        <v>0</v>
      </c>
      <c r="AF33" s="392">
        <v>29000000</v>
      </c>
      <c r="AG33" s="392"/>
      <c r="AH33" s="391">
        <v>0</v>
      </c>
      <c r="AI33" s="393"/>
      <c r="AJ33" s="393">
        <v>0</v>
      </c>
      <c r="AK33" s="391">
        <f>Q33+R33+S33+T33+U33+V33+W33+X33+Y33+Z33+AA33+AB33+AC33+AD33+AE33+AF33+AG33+AH33+AI33+AJ33</f>
        <v>29000000</v>
      </c>
    </row>
    <row r="34" spans="1:37" s="2" customFormat="1" ht="30" customHeight="1" x14ac:dyDescent="0.25">
      <c r="A34" s="39"/>
      <c r="B34" s="52"/>
      <c r="C34" s="662"/>
      <c r="D34" s="657"/>
      <c r="E34" s="662"/>
      <c r="F34" s="662"/>
      <c r="G34" s="55"/>
      <c r="H34" s="56"/>
      <c r="I34" s="55"/>
      <c r="J34" s="57"/>
      <c r="K34" s="81"/>
      <c r="L34" s="81"/>
      <c r="M34" s="57"/>
      <c r="N34" s="56"/>
      <c r="O34" s="55"/>
      <c r="P34" s="56"/>
      <c r="Q34" s="400">
        <f t="shared" ref="Q34:AK34" si="6">Q33</f>
        <v>0</v>
      </c>
      <c r="R34" s="400">
        <f t="shared" si="6"/>
        <v>0</v>
      </c>
      <c r="S34" s="400">
        <f t="shared" si="6"/>
        <v>0</v>
      </c>
      <c r="T34" s="400">
        <f t="shared" si="6"/>
        <v>0</v>
      </c>
      <c r="U34" s="400">
        <f t="shared" si="6"/>
        <v>0</v>
      </c>
      <c r="V34" s="400">
        <f t="shared" si="6"/>
        <v>0</v>
      </c>
      <c r="W34" s="400">
        <f t="shared" si="6"/>
        <v>0</v>
      </c>
      <c r="X34" s="400">
        <f t="shared" si="6"/>
        <v>0</v>
      </c>
      <c r="Y34" s="400">
        <f t="shared" si="6"/>
        <v>0</v>
      </c>
      <c r="Z34" s="400">
        <f t="shared" si="6"/>
        <v>0</v>
      </c>
      <c r="AA34" s="400">
        <f t="shared" si="6"/>
        <v>0</v>
      </c>
      <c r="AB34" s="400">
        <f t="shared" si="6"/>
        <v>0</v>
      </c>
      <c r="AC34" s="400">
        <f t="shared" si="6"/>
        <v>0</v>
      </c>
      <c r="AD34" s="400">
        <f t="shared" si="6"/>
        <v>0</v>
      </c>
      <c r="AE34" s="400">
        <f t="shared" si="6"/>
        <v>0</v>
      </c>
      <c r="AF34" s="400">
        <f t="shared" si="6"/>
        <v>29000000</v>
      </c>
      <c r="AG34" s="400">
        <f t="shared" si="6"/>
        <v>0</v>
      </c>
      <c r="AH34" s="400">
        <f t="shared" si="6"/>
        <v>0</v>
      </c>
      <c r="AI34" s="400">
        <f t="shared" si="6"/>
        <v>0</v>
      </c>
      <c r="AJ34" s="400">
        <f t="shared" si="6"/>
        <v>0</v>
      </c>
      <c r="AK34" s="400">
        <f t="shared" si="6"/>
        <v>29000000</v>
      </c>
    </row>
    <row r="35" spans="1:37" ht="30" customHeight="1" x14ac:dyDescent="0.2">
      <c r="A35" s="39"/>
      <c r="B35" s="82"/>
      <c r="C35" s="83"/>
      <c r="D35" s="82"/>
      <c r="E35" s="83"/>
      <c r="F35" s="83"/>
      <c r="G35" s="82"/>
      <c r="H35" s="83"/>
      <c r="I35" s="82"/>
      <c r="J35" s="84"/>
      <c r="K35" s="85"/>
      <c r="L35" s="85"/>
      <c r="M35" s="86"/>
      <c r="N35" s="83"/>
      <c r="O35" s="82"/>
      <c r="P35" s="83"/>
      <c r="Q35" s="401">
        <f t="shared" ref="Q35:AK35" si="7">Q30+Q34</f>
        <v>0</v>
      </c>
      <c r="R35" s="401">
        <f t="shared" si="7"/>
        <v>0</v>
      </c>
      <c r="S35" s="401">
        <f t="shared" si="7"/>
        <v>0</v>
      </c>
      <c r="T35" s="401">
        <f t="shared" si="7"/>
        <v>0</v>
      </c>
      <c r="U35" s="401">
        <f t="shared" si="7"/>
        <v>0</v>
      </c>
      <c r="V35" s="401">
        <f t="shared" si="7"/>
        <v>0</v>
      </c>
      <c r="W35" s="401">
        <f t="shared" si="7"/>
        <v>0</v>
      </c>
      <c r="X35" s="401">
        <f t="shared" si="7"/>
        <v>0</v>
      </c>
      <c r="Y35" s="401">
        <f t="shared" si="7"/>
        <v>0</v>
      </c>
      <c r="Z35" s="401">
        <f t="shared" si="7"/>
        <v>0</v>
      </c>
      <c r="AA35" s="401">
        <f t="shared" si="7"/>
        <v>0</v>
      </c>
      <c r="AB35" s="401">
        <f t="shared" si="7"/>
        <v>0</v>
      </c>
      <c r="AC35" s="401">
        <f t="shared" si="7"/>
        <v>0</v>
      </c>
      <c r="AD35" s="401">
        <f t="shared" si="7"/>
        <v>0</v>
      </c>
      <c r="AE35" s="401">
        <f t="shared" si="7"/>
        <v>0</v>
      </c>
      <c r="AF35" s="401">
        <f t="shared" si="7"/>
        <v>47000000</v>
      </c>
      <c r="AG35" s="401">
        <f t="shared" si="7"/>
        <v>0</v>
      </c>
      <c r="AH35" s="401">
        <f t="shared" si="7"/>
        <v>0</v>
      </c>
      <c r="AI35" s="401">
        <f t="shared" si="7"/>
        <v>0</v>
      </c>
      <c r="AJ35" s="401">
        <f t="shared" si="7"/>
        <v>0</v>
      </c>
      <c r="AK35" s="401">
        <f t="shared" si="7"/>
        <v>47000000</v>
      </c>
    </row>
    <row r="36" spans="1:37" ht="30" customHeight="1" x14ac:dyDescent="0.2">
      <c r="A36" s="39"/>
      <c r="B36" s="69"/>
      <c r="C36" s="146"/>
      <c r="D36" s="69"/>
      <c r="E36" s="146"/>
      <c r="F36" s="146"/>
      <c r="G36" s="69"/>
      <c r="H36" s="146"/>
      <c r="I36" s="69"/>
      <c r="J36" s="70"/>
      <c r="K36" s="80"/>
      <c r="L36" s="80"/>
      <c r="M36" s="87"/>
      <c r="N36" s="146"/>
      <c r="O36" s="69"/>
      <c r="P36" s="146"/>
      <c r="Q36" s="395"/>
      <c r="R36" s="396"/>
      <c r="S36" s="395"/>
      <c r="T36" s="395"/>
      <c r="U36" s="395"/>
      <c r="V36" s="395"/>
      <c r="W36" s="395"/>
      <c r="X36" s="395"/>
      <c r="Y36" s="395"/>
      <c r="Z36" s="395"/>
      <c r="AA36" s="395"/>
      <c r="AB36" s="396"/>
      <c r="AC36" s="396"/>
      <c r="AD36" s="395"/>
      <c r="AE36" s="395"/>
      <c r="AF36" s="397"/>
      <c r="AG36" s="395"/>
      <c r="AH36" s="395"/>
      <c r="AI36" s="395"/>
      <c r="AJ36" s="396"/>
      <c r="AK36" s="395"/>
    </row>
    <row r="37" spans="1:37" ht="30" customHeight="1" x14ac:dyDescent="0.2">
      <c r="A37" s="39"/>
      <c r="B37" s="35">
        <v>27</v>
      </c>
      <c r="C37" s="35" t="s">
        <v>75</v>
      </c>
      <c r="D37" s="36"/>
      <c r="E37" s="36"/>
      <c r="F37" s="36"/>
      <c r="G37" s="36"/>
      <c r="H37" s="37"/>
      <c r="I37" s="36"/>
      <c r="J37" s="36"/>
      <c r="K37" s="88"/>
      <c r="L37" s="88"/>
      <c r="M37" s="36"/>
      <c r="N37" s="37"/>
      <c r="O37" s="36"/>
      <c r="P37" s="36"/>
      <c r="Q37" s="402"/>
      <c r="R37" s="402"/>
      <c r="S37" s="402"/>
      <c r="T37" s="402"/>
      <c r="U37" s="402"/>
      <c r="V37" s="402"/>
      <c r="W37" s="402"/>
      <c r="X37" s="402"/>
      <c r="Y37" s="402"/>
      <c r="Z37" s="402"/>
      <c r="AA37" s="402"/>
      <c r="AB37" s="402"/>
      <c r="AC37" s="402"/>
      <c r="AD37" s="402"/>
      <c r="AE37" s="402"/>
      <c r="AF37" s="403"/>
      <c r="AG37" s="402"/>
      <c r="AH37" s="402"/>
      <c r="AI37" s="402"/>
      <c r="AJ37" s="402"/>
      <c r="AK37" s="402"/>
    </row>
    <row r="38" spans="1:37" ht="30" customHeight="1" x14ac:dyDescent="0.2">
      <c r="A38" s="39"/>
      <c r="B38" s="40"/>
      <c r="C38" s="661"/>
      <c r="D38" s="40"/>
      <c r="E38" s="40"/>
      <c r="F38" s="40"/>
      <c r="G38" s="75">
        <v>85</v>
      </c>
      <c r="H38" s="76" t="s">
        <v>76</v>
      </c>
      <c r="I38" s="77"/>
      <c r="J38" s="77"/>
      <c r="K38" s="89"/>
      <c r="L38" s="89"/>
      <c r="M38" s="77"/>
      <c r="N38" s="169"/>
      <c r="O38" s="77"/>
      <c r="P38" s="77"/>
      <c r="Q38" s="263"/>
      <c r="R38" s="263"/>
      <c r="S38" s="263"/>
      <c r="T38" s="263"/>
      <c r="U38" s="263"/>
      <c r="V38" s="263"/>
      <c r="W38" s="263"/>
      <c r="X38" s="263"/>
      <c r="Y38" s="263"/>
      <c r="Z38" s="263"/>
      <c r="AA38" s="263"/>
      <c r="AB38" s="263"/>
      <c r="AC38" s="263"/>
      <c r="AD38" s="263"/>
      <c r="AE38" s="263"/>
      <c r="AF38" s="404"/>
      <c r="AG38" s="263"/>
      <c r="AH38" s="263"/>
      <c r="AI38" s="263"/>
      <c r="AJ38" s="263"/>
      <c r="AK38" s="265"/>
    </row>
    <row r="39" spans="1:37" ht="64.5" customHeight="1" x14ac:dyDescent="0.2">
      <c r="A39" s="39"/>
      <c r="B39" s="46"/>
      <c r="C39" s="650">
        <v>37</v>
      </c>
      <c r="D39" s="656" t="s">
        <v>66</v>
      </c>
      <c r="E39" s="653" t="s">
        <v>67</v>
      </c>
      <c r="F39" s="659">
        <v>0.6</v>
      </c>
      <c r="G39" s="655"/>
      <c r="H39" s="661">
        <v>249</v>
      </c>
      <c r="I39" s="679" t="s">
        <v>77</v>
      </c>
      <c r="J39" s="41">
        <v>1</v>
      </c>
      <c r="K39" s="42">
        <v>1</v>
      </c>
      <c r="L39" s="43">
        <v>2017003630052</v>
      </c>
      <c r="M39" s="44" t="s">
        <v>78</v>
      </c>
      <c r="N39" s="54" t="s">
        <v>79</v>
      </c>
      <c r="O39" s="679" t="s">
        <v>80</v>
      </c>
      <c r="P39" s="54" t="s">
        <v>46</v>
      </c>
      <c r="Q39" s="391">
        <v>0</v>
      </c>
      <c r="R39" s="391">
        <v>0</v>
      </c>
      <c r="S39" s="391">
        <v>0</v>
      </c>
      <c r="T39" s="391">
        <v>0</v>
      </c>
      <c r="U39" s="391">
        <v>0</v>
      </c>
      <c r="V39" s="391">
        <v>0</v>
      </c>
      <c r="W39" s="391">
        <v>0</v>
      </c>
      <c r="X39" s="391"/>
      <c r="Y39" s="391"/>
      <c r="Z39" s="391">
        <v>0</v>
      </c>
      <c r="AA39" s="391">
        <v>0</v>
      </c>
      <c r="AB39" s="391"/>
      <c r="AC39" s="391"/>
      <c r="AD39" s="391">
        <v>0</v>
      </c>
      <c r="AE39" s="391">
        <v>0</v>
      </c>
      <c r="AF39" s="392">
        <v>120000000</v>
      </c>
      <c r="AG39" s="405"/>
      <c r="AH39" s="391">
        <v>0</v>
      </c>
      <c r="AI39" s="393"/>
      <c r="AJ39" s="393">
        <v>0</v>
      </c>
      <c r="AK39" s="391">
        <f>Q39+R39+S39+T39+U39+V39+W39+X39+Y39+Z39+AA39+AB39+AC39+AD39+AE39+AF39+AG39+AH39+AI39+AJ39</f>
        <v>120000000</v>
      </c>
    </row>
    <row r="40" spans="1:37" ht="30" customHeight="1" x14ac:dyDescent="0.2">
      <c r="A40" s="39"/>
      <c r="B40" s="90"/>
      <c r="C40" s="662"/>
      <c r="D40" s="657"/>
      <c r="E40" s="662"/>
      <c r="F40" s="662"/>
      <c r="G40" s="91"/>
      <c r="H40" s="92"/>
      <c r="I40" s="55"/>
      <c r="J40" s="57"/>
      <c r="K40" s="81"/>
      <c r="L40" s="81"/>
      <c r="M40" s="57"/>
      <c r="N40" s="56"/>
      <c r="O40" s="55"/>
      <c r="P40" s="56"/>
      <c r="Q40" s="400">
        <f t="shared" ref="Q40:AJ40" si="8">SUM(Q39)</f>
        <v>0</v>
      </c>
      <c r="R40" s="400">
        <f t="shared" si="8"/>
        <v>0</v>
      </c>
      <c r="S40" s="400">
        <f t="shared" si="8"/>
        <v>0</v>
      </c>
      <c r="T40" s="400">
        <f t="shared" si="8"/>
        <v>0</v>
      </c>
      <c r="U40" s="400">
        <f t="shared" si="8"/>
        <v>0</v>
      </c>
      <c r="V40" s="400">
        <f t="shared" si="8"/>
        <v>0</v>
      </c>
      <c r="W40" s="400">
        <f t="shared" si="8"/>
        <v>0</v>
      </c>
      <c r="X40" s="400">
        <f t="shared" si="8"/>
        <v>0</v>
      </c>
      <c r="Y40" s="400">
        <f t="shared" si="8"/>
        <v>0</v>
      </c>
      <c r="Z40" s="400">
        <f t="shared" si="8"/>
        <v>0</v>
      </c>
      <c r="AA40" s="400">
        <f t="shared" si="8"/>
        <v>0</v>
      </c>
      <c r="AB40" s="400">
        <f t="shared" si="8"/>
        <v>0</v>
      </c>
      <c r="AC40" s="400">
        <f t="shared" si="8"/>
        <v>0</v>
      </c>
      <c r="AD40" s="400">
        <f t="shared" si="8"/>
        <v>0</v>
      </c>
      <c r="AE40" s="400">
        <f t="shared" si="8"/>
        <v>0</v>
      </c>
      <c r="AF40" s="400">
        <f t="shared" si="8"/>
        <v>120000000</v>
      </c>
      <c r="AG40" s="400">
        <f t="shared" si="8"/>
        <v>0</v>
      </c>
      <c r="AH40" s="400">
        <f t="shared" si="8"/>
        <v>0</v>
      </c>
      <c r="AI40" s="400">
        <f t="shared" si="8"/>
        <v>0</v>
      </c>
      <c r="AJ40" s="400">
        <f t="shared" si="8"/>
        <v>0</v>
      </c>
      <c r="AK40" s="400">
        <f t="shared" ref="AK40" si="9">SUM(AK39)</f>
        <v>120000000</v>
      </c>
    </row>
    <row r="41" spans="1:37" ht="30" customHeight="1" x14ac:dyDescent="0.2">
      <c r="A41" s="39"/>
      <c r="B41" s="93"/>
      <c r="C41" s="94"/>
      <c r="D41" s="82"/>
      <c r="E41" s="83"/>
      <c r="F41" s="95"/>
      <c r="G41" s="96"/>
      <c r="H41" s="97"/>
      <c r="I41" s="59"/>
      <c r="J41" s="61"/>
      <c r="K41" s="98"/>
      <c r="L41" s="98"/>
      <c r="M41" s="61"/>
      <c r="N41" s="60"/>
      <c r="O41" s="59"/>
      <c r="P41" s="60"/>
      <c r="Q41" s="406">
        <f t="shared" ref="Q41:AK41" si="10">Q40</f>
        <v>0</v>
      </c>
      <c r="R41" s="406">
        <f t="shared" si="10"/>
        <v>0</v>
      </c>
      <c r="S41" s="406">
        <f t="shared" si="10"/>
        <v>0</v>
      </c>
      <c r="T41" s="406">
        <f t="shared" si="10"/>
        <v>0</v>
      </c>
      <c r="U41" s="406">
        <f t="shared" si="10"/>
        <v>0</v>
      </c>
      <c r="V41" s="406">
        <f t="shared" si="10"/>
        <v>0</v>
      </c>
      <c r="W41" s="406">
        <f t="shared" si="10"/>
        <v>0</v>
      </c>
      <c r="X41" s="406">
        <f t="shared" si="10"/>
        <v>0</v>
      </c>
      <c r="Y41" s="406">
        <f t="shared" si="10"/>
        <v>0</v>
      </c>
      <c r="Z41" s="406">
        <f t="shared" si="10"/>
        <v>0</v>
      </c>
      <c r="AA41" s="406">
        <f t="shared" si="10"/>
        <v>0</v>
      </c>
      <c r="AB41" s="406">
        <f t="shared" si="10"/>
        <v>0</v>
      </c>
      <c r="AC41" s="406">
        <f t="shared" si="10"/>
        <v>0</v>
      </c>
      <c r="AD41" s="406">
        <f t="shared" si="10"/>
        <v>0</v>
      </c>
      <c r="AE41" s="406">
        <f t="shared" si="10"/>
        <v>0</v>
      </c>
      <c r="AF41" s="406">
        <f t="shared" si="10"/>
        <v>120000000</v>
      </c>
      <c r="AG41" s="406">
        <f t="shared" si="10"/>
        <v>0</v>
      </c>
      <c r="AH41" s="406">
        <f t="shared" si="10"/>
        <v>0</v>
      </c>
      <c r="AI41" s="406">
        <f t="shared" si="10"/>
        <v>0</v>
      </c>
      <c r="AJ41" s="406">
        <f t="shared" si="10"/>
        <v>0</v>
      </c>
      <c r="AK41" s="406">
        <f t="shared" si="10"/>
        <v>120000000</v>
      </c>
    </row>
    <row r="42" spans="1:37" ht="30" customHeight="1" x14ac:dyDescent="0.2">
      <c r="A42" s="39"/>
      <c r="B42" s="69"/>
      <c r="C42" s="146"/>
      <c r="D42" s="69"/>
      <c r="E42" s="146"/>
      <c r="F42" s="146"/>
      <c r="G42" s="99"/>
      <c r="H42" s="390"/>
      <c r="I42" s="69"/>
      <c r="J42" s="70"/>
      <c r="K42" s="80"/>
      <c r="L42" s="80"/>
      <c r="M42" s="70"/>
      <c r="N42" s="146"/>
      <c r="O42" s="69"/>
      <c r="P42" s="146"/>
      <c r="Q42" s="395"/>
      <c r="R42" s="396"/>
      <c r="S42" s="395"/>
      <c r="T42" s="395"/>
      <c r="U42" s="395"/>
      <c r="V42" s="395"/>
      <c r="W42" s="395"/>
      <c r="X42" s="395"/>
      <c r="Y42" s="395"/>
      <c r="Z42" s="395"/>
      <c r="AA42" s="395"/>
      <c r="AB42" s="396"/>
      <c r="AC42" s="396"/>
      <c r="AD42" s="395"/>
      <c r="AE42" s="395"/>
      <c r="AF42" s="397"/>
      <c r="AG42" s="398"/>
      <c r="AH42" s="395"/>
      <c r="AI42" s="395"/>
      <c r="AJ42" s="395"/>
      <c r="AK42" s="395"/>
    </row>
    <row r="43" spans="1:37" ht="30" customHeight="1" x14ac:dyDescent="0.2">
      <c r="A43" s="39"/>
      <c r="B43" s="100">
        <v>28</v>
      </c>
      <c r="C43" s="101" t="s">
        <v>32</v>
      </c>
      <c r="D43" s="36"/>
      <c r="E43" s="36"/>
      <c r="F43" s="36"/>
      <c r="G43" s="36"/>
      <c r="H43" s="37"/>
      <c r="I43" s="36"/>
      <c r="J43" s="36"/>
      <c r="K43" s="88"/>
      <c r="L43" s="88"/>
      <c r="M43" s="36"/>
      <c r="N43" s="37"/>
      <c r="O43" s="36"/>
      <c r="P43" s="36"/>
      <c r="Q43" s="402"/>
      <c r="R43" s="402"/>
      <c r="S43" s="402"/>
      <c r="T43" s="402"/>
      <c r="U43" s="402"/>
      <c r="V43" s="402"/>
      <c r="W43" s="402"/>
      <c r="X43" s="402"/>
      <c r="Y43" s="402"/>
      <c r="Z43" s="402"/>
      <c r="AA43" s="402"/>
      <c r="AB43" s="402"/>
      <c r="AC43" s="402"/>
      <c r="AD43" s="402"/>
      <c r="AE43" s="402"/>
      <c r="AF43" s="403"/>
      <c r="AG43" s="402"/>
      <c r="AH43" s="402"/>
      <c r="AI43" s="402"/>
      <c r="AJ43" s="402"/>
      <c r="AK43" s="407"/>
    </row>
    <row r="44" spans="1:37" ht="30" customHeight="1" x14ac:dyDescent="0.2">
      <c r="A44" s="39"/>
      <c r="B44" s="40"/>
      <c r="C44" s="517"/>
      <c r="D44" s="99"/>
      <c r="E44" s="390"/>
      <c r="F44" s="667"/>
      <c r="G44" s="518">
        <v>87</v>
      </c>
      <c r="H44" s="102" t="s">
        <v>81</v>
      </c>
      <c r="I44" s="103"/>
      <c r="J44" s="103"/>
      <c r="K44" s="104"/>
      <c r="L44" s="104"/>
      <c r="M44" s="103"/>
      <c r="N44" s="381"/>
      <c r="O44" s="103"/>
      <c r="P44" s="103"/>
      <c r="Q44" s="408"/>
      <c r="R44" s="408"/>
      <c r="S44" s="408"/>
      <c r="T44" s="408"/>
      <c r="U44" s="408"/>
      <c r="V44" s="408"/>
      <c r="W44" s="408"/>
      <c r="X44" s="408"/>
      <c r="Y44" s="408"/>
      <c r="Z44" s="408"/>
      <c r="AA44" s="408"/>
      <c r="AB44" s="408"/>
      <c r="AC44" s="408"/>
      <c r="AD44" s="408"/>
      <c r="AE44" s="408"/>
      <c r="AF44" s="409"/>
      <c r="AG44" s="408"/>
      <c r="AH44" s="408"/>
      <c r="AI44" s="408"/>
      <c r="AJ44" s="408"/>
      <c r="AK44" s="410"/>
    </row>
    <row r="45" spans="1:37" ht="60" customHeight="1" x14ac:dyDescent="0.2">
      <c r="A45" s="39"/>
      <c r="B45" s="46"/>
      <c r="C45" s="775">
        <v>38</v>
      </c>
      <c r="D45" s="778" t="s">
        <v>47</v>
      </c>
      <c r="E45" s="775">
        <v>0</v>
      </c>
      <c r="F45" s="775">
        <v>2</v>
      </c>
      <c r="G45" s="46"/>
      <c r="H45" s="54">
        <v>257</v>
      </c>
      <c r="I45" s="679" t="s">
        <v>82</v>
      </c>
      <c r="J45" s="54">
        <v>0</v>
      </c>
      <c r="K45" s="105">
        <v>1</v>
      </c>
      <c r="L45" s="784">
        <v>2017003630022</v>
      </c>
      <c r="M45" s="774" t="s">
        <v>38</v>
      </c>
      <c r="N45" s="774" t="s">
        <v>83</v>
      </c>
      <c r="O45" s="788" t="s">
        <v>946</v>
      </c>
      <c r="P45" s="106" t="s">
        <v>46</v>
      </c>
      <c r="Q45" s="391">
        <v>0</v>
      </c>
      <c r="R45" s="391">
        <v>0</v>
      </c>
      <c r="S45" s="391">
        <v>0</v>
      </c>
      <c r="T45" s="391">
        <v>0</v>
      </c>
      <c r="U45" s="391">
        <v>0</v>
      </c>
      <c r="V45" s="391">
        <v>0</v>
      </c>
      <c r="W45" s="391">
        <v>0</v>
      </c>
      <c r="X45" s="391"/>
      <c r="Y45" s="391"/>
      <c r="Z45" s="391">
        <v>0</v>
      </c>
      <c r="AA45" s="391">
        <v>0</v>
      </c>
      <c r="AB45" s="391"/>
      <c r="AC45" s="391"/>
      <c r="AD45" s="391">
        <v>0</v>
      </c>
      <c r="AE45" s="391">
        <v>0</v>
      </c>
      <c r="AF45" s="634">
        <f>62000000+10000000-10000000+43920000</f>
        <v>105920000</v>
      </c>
      <c r="AG45" s="392"/>
      <c r="AH45" s="391"/>
      <c r="AI45" s="393"/>
      <c r="AJ45" s="393">
        <v>0</v>
      </c>
      <c r="AK45" s="391">
        <f t="shared" ref="AK45:AK62" si="11">Q45+R45+S45+T45+U45+V45+W45+X45+Y45+Z45+AA45+AB45+AC45+AD45+AE45+AF45+AG45+AH45+AI45+AJ45</f>
        <v>105920000</v>
      </c>
    </row>
    <row r="46" spans="1:37" ht="81" customHeight="1" x14ac:dyDescent="0.2">
      <c r="A46" s="39"/>
      <c r="B46" s="46"/>
      <c r="C46" s="775"/>
      <c r="D46" s="778"/>
      <c r="E46" s="775"/>
      <c r="F46" s="775"/>
      <c r="G46" s="46"/>
      <c r="H46" s="54">
        <v>258</v>
      </c>
      <c r="I46" s="679" t="s">
        <v>85</v>
      </c>
      <c r="J46" s="54">
        <v>0</v>
      </c>
      <c r="K46" s="105">
        <v>1</v>
      </c>
      <c r="L46" s="785"/>
      <c r="M46" s="775"/>
      <c r="N46" s="775"/>
      <c r="O46" s="789"/>
      <c r="P46" s="106" t="s">
        <v>46</v>
      </c>
      <c r="Q46" s="391">
        <v>0</v>
      </c>
      <c r="R46" s="391">
        <v>0</v>
      </c>
      <c r="S46" s="391">
        <v>0</v>
      </c>
      <c r="T46" s="391">
        <v>0</v>
      </c>
      <c r="U46" s="391">
        <v>0</v>
      </c>
      <c r="V46" s="391">
        <v>0</v>
      </c>
      <c r="W46" s="391">
        <v>0</v>
      </c>
      <c r="X46" s="391"/>
      <c r="Y46" s="391"/>
      <c r="Z46" s="391">
        <v>0</v>
      </c>
      <c r="AA46" s="391">
        <v>0</v>
      </c>
      <c r="AB46" s="391"/>
      <c r="AC46" s="391"/>
      <c r="AD46" s="391">
        <v>0</v>
      </c>
      <c r="AE46" s="391">
        <v>0</v>
      </c>
      <c r="AF46" s="634">
        <v>30000000</v>
      </c>
      <c r="AG46" s="392"/>
      <c r="AH46" s="391">
        <v>0</v>
      </c>
      <c r="AI46" s="393"/>
      <c r="AJ46" s="393">
        <v>0</v>
      </c>
      <c r="AK46" s="391">
        <f t="shared" si="11"/>
        <v>30000000</v>
      </c>
    </row>
    <row r="47" spans="1:37" ht="76.5" customHeight="1" x14ac:dyDescent="0.2">
      <c r="A47" s="39"/>
      <c r="B47" s="46"/>
      <c r="C47" s="775"/>
      <c r="D47" s="778"/>
      <c r="E47" s="775"/>
      <c r="F47" s="775"/>
      <c r="G47" s="46"/>
      <c r="H47" s="54">
        <v>259</v>
      </c>
      <c r="I47" s="679" t="s">
        <v>86</v>
      </c>
      <c r="J47" s="41">
        <v>1</v>
      </c>
      <c r="K47" s="42">
        <v>1</v>
      </c>
      <c r="L47" s="785"/>
      <c r="M47" s="775"/>
      <c r="N47" s="775"/>
      <c r="O47" s="789"/>
      <c r="P47" s="106" t="s">
        <v>46</v>
      </c>
      <c r="Q47" s="391">
        <v>0</v>
      </c>
      <c r="R47" s="391">
        <v>0</v>
      </c>
      <c r="S47" s="391">
        <v>0</v>
      </c>
      <c r="T47" s="391">
        <v>0</v>
      </c>
      <c r="U47" s="391">
        <v>0</v>
      </c>
      <c r="V47" s="391">
        <v>0</v>
      </c>
      <c r="W47" s="391">
        <v>0</v>
      </c>
      <c r="X47" s="391"/>
      <c r="Y47" s="391"/>
      <c r="Z47" s="391">
        <v>0</v>
      </c>
      <c r="AA47" s="391">
        <v>0</v>
      </c>
      <c r="AB47" s="391"/>
      <c r="AC47" s="391"/>
      <c r="AD47" s="391">
        <v>0</v>
      </c>
      <c r="AE47" s="391">
        <v>0</v>
      </c>
      <c r="AF47" s="635">
        <v>9000000</v>
      </c>
      <c r="AG47" s="411"/>
      <c r="AH47" s="391">
        <v>0</v>
      </c>
      <c r="AI47" s="393"/>
      <c r="AJ47" s="393">
        <v>0</v>
      </c>
      <c r="AK47" s="391">
        <f t="shared" si="11"/>
        <v>9000000</v>
      </c>
    </row>
    <row r="48" spans="1:37" ht="56.25" customHeight="1" x14ac:dyDescent="0.2">
      <c r="A48" s="39"/>
      <c r="B48" s="46"/>
      <c r="C48" s="775"/>
      <c r="D48" s="778"/>
      <c r="E48" s="775"/>
      <c r="F48" s="775"/>
      <c r="G48" s="46"/>
      <c r="H48" s="54">
        <v>263</v>
      </c>
      <c r="I48" s="679" t="s">
        <v>87</v>
      </c>
      <c r="J48" s="41">
        <v>1</v>
      </c>
      <c r="K48" s="42">
        <v>1</v>
      </c>
      <c r="L48" s="785"/>
      <c r="M48" s="775"/>
      <c r="N48" s="775"/>
      <c r="O48" s="789"/>
      <c r="P48" s="106" t="s">
        <v>46</v>
      </c>
      <c r="Q48" s="391">
        <v>0</v>
      </c>
      <c r="R48" s="391">
        <v>0</v>
      </c>
      <c r="S48" s="391">
        <v>0</v>
      </c>
      <c r="T48" s="391">
        <v>0</v>
      </c>
      <c r="U48" s="391">
        <v>0</v>
      </c>
      <c r="V48" s="391">
        <v>0</v>
      </c>
      <c r="W48" s="391">
        <v>0</v>
      </c>
      <c r="X48" s="391"/>
      <c r="Y48" s="391"/>
      <c r="Z48" s="391">
        <v>0</v>
      </c>
      <c r="AA48" s="391">
        <v>0</v>
      </c>
      <c r="AB48" s="391"/>
      <c r="AC48" s="391"/>
      <c r="AD48" s="391">
        <v>0</v>
      </c>
      <c r="AE48" s="391">
        <v>0</v>
      </c>
      <c r="AF48" s="635">
        <f>50000000+30000000+17520000</f>
        <v>97520000</v>
      </c>
      <c r="AG48" s="411"/>
      <c r="AH48" s="391">
        <v>0</v>
      </c>
      <c r="AI48" s="393"/>
      <c r="AJ48" s="393">
        <v>0</v>
      </c>
      <c r="AK48" s="391">
        <f t="shared" si="11"/>
        <v>97520000</v>
      </c>
    </row>
    <row r="49" spans="1:37" ht="63.75" customHeight="1" x14ac:dyDescent="0.2">
      <c r="A49" s="39"/>
      <c r="B49" s="46"/>
      <c r="C49" s="776"/>
      <c r="D49" s="779"/>
      <c r="E49" s="776"/>
      <c r="F49" s="776"/>
      <c r="G49" s="46"/>
      <c r="H49" s="54">
        <v>261</v>
      </c>
      <c r="I49" s="679" t="s">
        <v>88</v>
      </c>
      <c r="J49" s="41">
        <v>1</v>
      </c>
      <c r="K49" s="42">
        <v>2</v>
      </c>
      <c r="L49" s="786"/>
      <c r="M49" s="776"/>
      <c r="N49" s="776"/>
      <c r="O49" s="790"/>
      <c r="P49" s="106" t="s">
        <v>46</v>
      </c>
      <c r="Q49" s="391">
        <v>0</v>
      </c>
      <c r="R49" s="391">
        <v>0</v>
      </c>
      <c r="S49" s="391">
        <v>0</v>
      </c>
      <c r="T49" s="391">
        <v>0</v>
      </c>
      <c r="U49" s="391">
        <v>0</v>
      </c>
      <c r="V49" s="391">
        <v>0</v>
      </c>
      <c r="W49" s="391">
        <v>0</v>
      </c>
      <c r="X49" s="391"/>
      <c r="Y49" s="391"/>
      <c r="Z49" s="391">
        <v>0</v>
      </c>
      <c r="AA49" s="391">
        <v>0</v>
      </c>
      <c r="AB49" s="391"/>
      <c r="AC49" s="391"/>
      <c r="AD49" s="391">
        <v>0</v>
      </c>
      <c r="AE49" s="391">
        <v>0</v>
      </c>
      <c r="AF49" s="636">
        <f>21000000+10000000+38560000</f>
        <v>69560000</v>
      </c>
      <c r="AG49" s="394"/>
      <c r="AH49" s="391">
        <v>0</v>
      </c>
      <c r="AI49" s="393"/>
      <c r="AJ49" s="393">
        <v>0</v>
      </c>
      <c r="AK49" s="391">
        <f t="shared" si="11"/>
        <v>69560000</v>
      </c>
    </row>
    <row r="50" spans="1:37" ht="67.5" customHeight="1" x14ac:dyDescent="0.2">
      <c r="A50" s="39"/>
      <c r="B50" s="46"/>
      <c r="C50" s="661">
        <v>38</v>
      </c>
      <c r="D50" s="655" t="s">
        <v>47</v>
      </c>
      <c r="E50" s="54">
        <v>0</v>
      </c>
      <c r="F50" s="54">
        <v>2</v>
      </c>
      <c r="G50" s="46"/>
      <c r="H50" s="54">
        <v>262</v>
      </c>
      <c r="I50" s="679" t="s">
        <v>89</v>
      </c>
      <c r="J50" s="41">
        <v>1</v>
      </c>
      <c r="K50" s="42">
        <v>1</v>
      </c>
      <c r="L50" s="43">
        <v>2017003630023</v>
      </c>
      <c r="M50" s="679" t="s">
        <v>38</v>
      </c>
      <c r="N50" s="54" t="s">
        <v>90</v>
      </c>
      <c r="O50" s="679" t="s">
        <v>947</v>
      </c>
      <c r="P50" s="106" t="s">
        <v>46</v>
      </c>
      <c r="Q50" s="391">
        <v>0</v>
      </c>
      <c r="R50" s="391">
        <v>0</v>
      </c>
      <c r="S50" s="391">
        <v>0</v>
      </c>
      <c r="T50" s="391">
        <v>0</v>
      </c>
      <c r="U50" s="391">
        <v>0</v>
      </c>
      <c r="V50" s="391">
        <v>0</v>
      </c>
      <c r="W50" s="391">
        <v>0</v>
      </c>
      <c r="X50" s="391"/>
      <c r="Y50" s="391"/>
      <c r="Z50" s="391">
        <v>0</v>
      </c>
      <c r="AA50" s="391">
        <v>0</v>
      </c>
      <c r="AB50" s="391"/>
      <c r="AC50" s="391"/>
      <c r="AD50" s="391">
        <v>0</v>
      </c>
      <c r="AE50" s="391">
        <v>0</v>
      </c>
      <c r="AF50" s="634">
        <f>30000000+78000000</f>
        <v>108000000</v>
      </c>
      <c r="AG50" s="405"/>
      <c r="AH50" s="391"/>
      <c r="AI50" s="393"/>
      <c r="AJ50" s="393">
        <v>0</v>
      </c>
      <c r="AK50" s="391">
        <f t="shared" si="11"/>
        <v>108000000</v>
      </c>
    </row>
    <row r="51" spans="1:37" ht="60" x14ac:dyDescent="0.2">
      <c r="A51" s="39"/>
      <c r="B51" s="46"/>
      <c r="C51" s="661">
        <v>38</v>
      </c>
      <c r="D51" s="655" t="s">
        <v>47</v>
      </c>
      <c r="E51" s="54">
        <v>0</v>
      </c>
      <c r="F51" s="54">
        <v>2</v>
      </c>
      <c r="G51" s="46"/>
      <c r="H51" s="54">
        <v>264</v>
      </c>
      <c r="I51" s="679" t="s">
        <v>92</v>
      </c>
      <c r="J51" s="41">
        <v>0</v>
      </c>
      <c r="K51" s="42">
        <v>1</v>
      </c>
      <c r="L51" s="43">
        <v>2017003630043</v>
      </c>
      <c r="M51" s="679" t="s">
        <v>38</v>
      </c>
      <c r="N51" s="54" t="s">
        <v>93</v>
      </c>
      <c r="O51" s="679" t="s">
        <v>948</v>
      </c>
      <c r="P51" s="106" t="s">
        <v>46</v>
      </c>
      <c r="Q51" s="391">
        <v>0</v>
      </c>
      <c r="R51" s="391">
        <v>0</v>
      </c>
      <c r="S51" s="391">
        <v>0</v>
      </c>
      <c r="T51" s="391">
        <v>0</v>
      </c>
      <c r="U51" s="391">
        <v>0</v>
      </c>
      <c r="V51" s="391">
        <v>0</v>
      </c>
      <c r="W51" s="391">
        <v>0</v>
      </c>
      <c r="X51" s="391"/>
      <c r="Y51" s="391"/>
      <c r="Z51" s="391">
        <v>0</v>
      </c>
      <c r="AA51" s="391">
        <v>0</v>
      </c>
      <c r="AB51" s="391"/>
      <c r="AC51" s="391"/>
      <c r="AD51" s="391">
        <v>0</v>
      </c>
      <c r="AE51" s="391">
        <v>0</v>
      </c>
      <c r="AF51" s="634">
        <f>150000000+100000000-100000000</f>
        <v>150000000</v>
      </c>
      <c r="AG51" s="405"/>
      <c r="AH51" s="391">
        <v>0</v>
      </c>
      <c r="AI51" s="393"/>
      <c r="AJ51" s="393">
        <v>0</v>
      </c>
      <c r="AK51" s="391">
        <f t="shared" si="11"/>
        <v>150000000</v>
      </c>
    </row>
    <row r="52" spans="1:37" ht="60" x14ac:dyDescent="0.2">
      <c r="A52" s="39"/>
      <c r="B52" s="46"/>
      <c r="C52" s="661">
        <v>38</v>
      </c>
      <c r="D52" s="655" t="s">
        <v>47</v>
      </c>
      <c r="E52" s="54">
        <v>0</v>
      </c>
      <c r="F52" s="54">
        <v>2</v>
      </c>
      <c r="G52" s="46"/>
      <c r="H52" s="54">
        <v>265</v>
      </c>
      <c r="I52" s="679" t="s">
        <v>95</v>
      </c>
      <c r="J52" s="54">
        <v>0</v>
      </c>
      <c r="K52" s="105">
        <v>1</v>
      </c>
      <c r="L52" s="43">
        <v>2017003630024</v>
      </c>
      <c r="M52" s="54" t="s">
        <v>96</v>
      </c>
      <c r="N52" s="54" t="s">
        <v>97</v>
      </c>
      <c r="O52" s="679" t="s">
        <v>949</v>
      </c>
      <c r="P52" s="106" t="s">
        <v>46</v>
      </c>
      <c r="Q52" s="391">
        <v>0</v>
      </c>
      <c r="R52" s="391">
        <v>0</v>
      </c>
      <c r="S52" s="391">
        <v>0</v>
      </c>
      <c r="T52" s="391">
        <v>0</v>
      </c>
      <c r="U52" s="391">
        <v>0</v>
      </c>
      <c r="V52" s="391">
        <v>0</v>
      </c>
      <c r="W52" s="391">
        <v>0</v>
      </c>
      <c r="X52" s="391"/>
      <c r="Y52" s="391"/>
      <c r="Z52" s="391">
        <v>0</v>
      </c>
      <c r="AA52" s="391">
        <v>0</v>
      </c>
      <c r="AB52" s="391"/>
      <c r="AC52" s="391"/>
      <c r="AD52" s="391">
        <v>0</v>
      </c>
      <c r="AE52" s="391">
        <v>0</v>
      </c>
      <c r="AF52" s="634">
        <f>456500000+135000000</f>
        <v>591500000</v>
      </c>
      <c r="AG52" s="405"/>
      <c r="AH52" s="391">
        <v>0</v>
      </c>
      <c r="AI52" s="393"/>
      <c r="AJ52" s="393">
        <v>0</v>
      </c>
      <c r="AK52" s="391">
        <f t="shared" si="11"/>
        <v>591500000</v>
      </c>
    </row>
    <row r="53" spans="1:37" ht="57.75" customHeight="1" x14ac:dyDescent="0.2">
      <c r="A53" s="39"/>
      <c r="B53" s="46"/>
      <c r="C53" s="54">
        <v>38</v>
      </c>
      <c r="D53" s="679" t="s">
        <v>47</v>
      </c>
      <c r="E53" s="54">
        <v>0</v>
      </c>
      <c r="F53" s="54">
        <v>2</v>
      </c>
      <c r="G53" s="46"/>
      <c r="H53" s="54">
        <v>266</v>
      </c>
      <c r="I53" s="679" t="s">
        <v>99</v>
      </c>
      <c r="J53" s="41">
        <v>1</v>
      </c>
      <c r="K53" s="42">
        <v>1</v>
      </c>
      <c r="L53" s="43">
        <v>2017003630084</v>
      </c>
      <c r="M53" s="679" t="s">
        <v>38</v>
      </c>
      <c r="N53" s="54" t="s">
        <v>100</v>
      </c>
      <c r="O53" s="679" t="s">
        <v>950</v>
      </c>
      <c r="P53" s="106" t="s">
        <v>46</v>
      </c>
      <c r="Q53" s="391">
        <v>0</v>
      </c>
      <c r="R53" s="391">
        <v>0</v>
      </c>
      <c r="S53" s="391">
        <v>0</v>
      </c>
      <c r="T53" s="391">
        <v>0</v>
      </c>
      <c r="U53" s="391">
        <v>0</v>
      </c>
      <c r="V53" s="391">
        <v>0</v>
      </c>
      <c r="W53" s="391">
        <v>0</v>
      </c>
      <c r="X53" s="391"/>
      <c r="Y53" s="391"/>
      <c r="Z53" s="391">
        <v>0</v>
      </c>
      <c r="AA53" s="391">
        <v>0</v>
      </c>
      <c r="AB53" s="391"/>
      <c r="AC53" s="391"/>
      <c r="AD53" s="391">
        <v>0</v>
      </c>
      <c r="AE53" s="391">
        <v>0</v>
      </c>
      <c r="AF53" s="634">
        <v>38500000</v>
      </c>
      <c r="AG53" s="405"/>
      <c r="AH53" s="391">
        <v>0</v>
      </c>
      <c r="AI53" s="393"/>
      <c r="AJ53" s="393">
        <v>0</v>
      </c>
      <c r="AK53" s="391">
        <f t="shared" si="11"/>
        <v>38500000</v>
      </c>
    </row>
    <row r="54" spans="1:37" ht="84.75" customHeight="1" x14ac:dyDescent="0.2">
      <c r="A54" s="39"/>
      <c r="B54" s="46"/>
      <c r="C54" s="774">
        <v>38</v>
      </c>
      <c r="D54" s="777" t="s">
        <v>47</v>
      </c>
      <c r="E54" s="774">
        <v>0</v>
      </c>
      <c r="F54" s="774">
        <v>2</v>
      </c>
      <c r="G54" s="46"/>
      <c r="H54" s="54">
        <v>267</v>
      </c>
      <c r="I54" s="679" t="s">
        <v>951</v>
      </c>
      <c r="J54" s="41">
        <v>1</v>
      </c>
      <c r="K54" s="42">
        <v>1</v>
      </c>
      <c r="L54" s="784">
        <v>2017003630025</v>
      </c>
      <c r="M54" s="780" t="s">
        <v>38</v>
      </c>
      <c r="N54" s="774" t="s">
        <v>102</v>
      </c>
      <c r="O54" s="777" t="s">
        <v>952</v>
      </c>
      <c r="P54" s="106" t="s">
        <v>46</v>
      </c>
      <c r="Q54" s="391">
        <v>0</v>
      </c>
      <c r="R54" s="391">
        <v>0</v>
      </c>
      <c r="S54" s="391">
        <v>0</v>
      </c>
      <c r="T54" s="391">
        <v>0</v>
      </c>
      <c r="U54" s="391">
        <v>0</v>
      </c>
      <c r="V54" s="391">
        <v>0</v>
      </c>
      <c r="W54" s="391">
        <v>0</v>
      </c>
      <c r="X54" s="391"/>
      <c r="Y54" s="391"/>
      <c r="Z54" s="391">
        <v>0</v>
      </c>
      <c r="AA54" s="391">
        <v>0</v>
      </c>
      <c r="AB54" s="391"/>
      <c r="AC54" s="391"/>
      <c r="AD54" s="391">
        <v>0</v>
      </c>
      <c r="AE54" s="391">
        <v>0</v>
      </c>
      <c r="AF54" s="634">
        <f>10000000</f>
        <v>10000000</v>
      </c>
      <c r="AG54" s="392"/>
      <c r="AH54" s="391">
        <v>0</v>
      </c>
      <c r="AI54" s="393"/>
      <c r="AJ54" s="393">
        <v>0</v>
      </c>
      <c r="AK54" s="391">
        <f t="shared" si="11"/>
        <v>10000000</v>
      </c>
    </row>
    <row r="55" spans="1:37" ht="96" customHeight="1" x14ac:dyDescent="0.2">
      <c r="A55" s="39"/>
      <c r="B55" s="46"/>
      <c r="C55" s="775"/>
      <c r="D55" s="778"/>
      <c r="E55" s="775"/>
      <c r="F55" s="775"/>
      <c r="G55" s="46"/>
      <c r="H55" s="54">
        <v>268</v>
      </c>
      <c r="I55" s="679" t="s">
        <v>953</v>
      </c>
      <c r="J55" s="41">
        <v>12</v>
      </c>
      <c r="K55" s="42">
        <v>12</v>
      </c>
      <c r="L55" s="785"/>
      <c r="M55" s="781"/>
      <c r="N55" s="775"/>
      <c r="O55" s="778"/>
      <c r="P55" s="106" t="s">
        <v>46</v>
      </c>
      <c r="Q55" s="391">
        <v>0</v>
      </c>
      <c r="R55" s="391">
        <v>0</v>
      </c>
      <c r="S55" s="391">
        <v>0</v>
      </c>
      <c r="T55" s="391">
        <v>0</v>
      </c>
      <c r="U55" s="391">
        <v>0</v>
      </c>
      <c r="V55" s="391">
        <v>0</v>
      </c>
      <c r="W55" s="391">
        <v>0</v>
      </c>
      <c r="X55" s="391"/>
      <c r="Y55" s="391"/>
      <c r="Z55" s="391">
        <v>0</v>
      </c>
      <c r="AA55" s="391">
        <v>0</v>
      </c>
      <c r="AB55" s="391"/>
      <c r="AC55" s="391"/>
      <c r="AD55" s="391">
        <v>0</v>
      </c>
      <c r="AE55" s="391">
        <v>0</v>
      </c>
      <c r="AF55" s="634">
        <f>21000000+9000000+40000000</f>
        <v>70000000</v>
      </c>
      <c r="AG55" s="392"/>
      <c r="AH55" s="391">
        <v>0</v>
      </c>
      <c r="AI55" s="393"/>
      <c r="AJ55" s="393">
        <v>0</v>
      </c>
      <c r="AK55" s="391">
        <f t="shared" si="11"/>
        <v>70000000</v>
      </c>
    </row>
    <row r="56" spans="1:37" ht="90.75" customHeight="1" x14ac:dyDescent="0.2">
      <c r="A56" s="39"/>
      <c r="B56" s="46"/>
      <c r="C56" s="775"/>
      <c r="D56" s="778"/>
      <c r="E56" s="775"/>
      <c r="F56" s="775"/>
      <c r="G56" s="46"/>
      <c r="H56" s="54">
        <v>269</v>
      </c>
      <c r="I56" s="679" t="s">
        <v>104</v>
      </c>
      <c r="J56" s="41">
        <v>12</v>
      </c>
      <c r="K56" s="42">
        <v>12</v>
      </c>
      <c r="L56" s="785"/>
      <c r="M56" s="781"/>
      <c r="N56" s="775"/>
      <c r="O56" s="778"/>
      <c r="P56" s="106" t="s">
        <v>46</v>
      </c>
      <c r="Q56" s="391">
        <v>0</v>
      </c>
      <c r="R56" s="391">
        <v>0</v>
      </c>
      <c r="S56" s="391">
        <v>0</v>
      </c>
      <c r="T56" s="391">
        <v>0</v>
      </c>
      <c r="U56" s="391">
        <v>0</v>
      </c>
      <c r="V56" s="391">
        <v>0</v>
      </c>
      <c r="W56" s="391">
        <v>0</v>
      </c>
      <c r="X56" s="391"/>
      <c r="Y56" s="391"/>
      <c r="Z56" s="391">
        <v>0</v>
      </c>
      <c r="AA56" s="391">
        <v>0</v>
      </c>
      <c r="AB56" s="391"/>
      <c r="AC56" s="391"/>
      <c r="AD56" s="391">
        <v>0</v>
      </c>
      <c r="AE56" s="391">
        <v>0</v>
      </c>
      <c r="AF56" s="634">
        <f>21000000+9000000</f>
        <v>30000000</v>
      </c>
      <c r="AG56" s="392"/>
      <c r="AH56" s="391">
        <v>0</v>
      </c>
      <c r="AI56" s="393"/>
      <c r="AJ56" s="393">
        <v>0</v>
      </c>
      <c r="AK56" s="391">
        <f t="shared" si="11"/>
        <v>30000000</v>
      </c>
    </row>
    <row r="57" spans="1:37" ht="90.75" customHeight="1" x14ac:dyDescent="0.2">
      <c r="A57" s="39"/>
      <c r="B57" s="46"/>
      <c r="C57" s="775"/>
      <c r="D57" s="778"/>
      <c r="E57" s="775"/>
      <c r="F57" s="775"/>
      <c r="G57" s="46"/>
      <c r="H57" s="54">
        <v>270</v>
      </c>
      <c r="I57" s="679" t="s">
        <v>105</v>
      </c>
      <c r="J57" s="41" t="s">
        <v>37</v>
      </c>
      <c r="K57" s="42">
        <v>12</v>
      </c>
      <c r="L57" s="785"/>
      <c r="M57" s="781"/>
      <c r="N57" s="775"/>
      <c r="O57" s="778"/>
      <c r="P57" s="106" t="s">
        <v>46</v>
      </c>
      <c r="Q57" s="391">
        <v>0</v>
      </c>
      <c r="R57" s="391">
        <v>0</v>
      </c>
      <c r="S57" s="391">
        <v>0</v>
      </c>
      <c r="T57" s="391">
        <v>0</v>
      </c>
      <c r="U57" s="391">
        <v>0</v>
      </c>
      <c r="V57" s="391">
        <v>0</v>
      </c>
      <c r="W57" s="391">
        <v>0</v>
      </c>
      <c r="X57" s="391"/>
      <c r="Y57" s="391"/>
      <c r="Z57" s="391">
        <v>0</v>
      </c>
      <c r="AA57" s="391">
        <v>0</v>
      </c>
      <c r="AB57" s="391"/>
      <c r="AC57" s="391"/>
      <c r="AD57" s="391">
        <v>0</v>
      </c>
      <c r="AE57" s="391">
        <v>0</v>
      </c>
      <c r="AF57" s="634">
        <v>21000000</v>
      </c>
      <c r="AG57" s="392"/>
      <c r="AH57" s="391">
        <v>0</v>
      </c>
      <c r="AI57" s="393"/>
      <c r="AJ57" s="393">
        <v>0</v>
      </c>
      <c r="AK57" s="391">
        <f t="shared" si="11"/>
        <v>21000000</v>
      </c>
    </row>
    <row r="58" spans="1:37" ht="90.75" customHeight="1" x14ac:dyDescent="0.2">
      <c r="A58" s="39"/>
      <c r="B58" s="46"/>
      <c r="C58" s="775"/>
      <c r="D58" s="778"/>
      <c r="E58" s="775"/>
      <c r="F58" s="775"/>
      <c r="G58" s="46"/>
      <c r="H58" s="54">
        <v>271</v>
      </c>
      <c r="I58" s="679" t="s">
        <v>106</v>
      </c>
      <c r="J58" s="41">
        <v>12</v>
      </c>
      <c r="K58" s="42">
        <v>12</v>
      </c>
      <c r="L58" s="785"/>
      <c r="M58" s="781"/>
      <c r="N58" s="775"/>
      <c r="O58" s="778"/>
      <c r="P58" s="106" t="s">
        <v>46</v>
      </c>
      <c r="Q58" s="391">
        <v>0</v>
      </c>
      <c r="R58" s="391">
        <v>0</v>
      </c>
      <c r="S58" s="391">
        <v>0</v>
      </c>
      <c r="T58" s="391">
        <v>0</v>
      </c>
      <c r="U58" s="391">
        <v>0</v>
      </c>
      <c r="V58" s="391">
        <v>0</v>
      </c>
      <c r="W58" s="391">
        <v>0</v>
      </c>
      <c r="X58" s="391"/>
      <c r="Y58" s="391"/>
      <c r="Z58" s="391">
        <v>0</v>
      </c>
      <c r="AA58" s="391">
        <v>0</v>
      </c>
      <c r="AB58" s="391"/>
      <c r="AC58" s="391"/>
      <c r="AD58" s="391">
        <v>0</v>
      </c>
      <c r="AE58" s="391">
        <v>0</v>
      </c>
      <c r="AF58" s="634">
        <v>38500000</v>
      </c>
      <c r="AG58" s="392"/>
      <c r="AH58" s="391">
        <v>0</v>
      </c>
      <c r="AI58" s="393"/>
      <c r="AJ58" s="393">
        <v>0</v>
      </c>
      <c r="AK58" s="391">
        <f t="shared" si="11"/>
        <v>38500000</v>
      </c>
    </row>
    <row r="59" spans="1:37" ht="90.75" customHeight="1" x14ac:dyDescent="0.2">
      <c r="A59" s="39"/>
      <c r="B59" s="46"/>
      <c r="C59" s="775"/>
      <c r="D59" s="778"/>
      <c r="E59" s="775"/>
      <c r="F59" s="775"/>
      <c r="G59" s="46"/>
      <c r="H59" s="54">
        <v>272</v>
      </c>
      <c r="I59" s="679" t="s">
        <v>107</v>
      </c>
      <c r="J59" s="41" t="s">
        <v>37</v>
      </c>
      <c r="K59" s="42">
        <v>12</v>
      </c>
      <c r="L59" s="785"/>
      <c r="M59" s="781"/>
      <c r="N59" s="775"/>
      <c r="O59" s="778"/>
      <c r="P59" s="106" t="s">
        <v>46</v>
      </c>
      <c r="Q59" s="391">
        <v>0</v>
      </c>
      <c r="R59" s="391">
        <v>0</v>
      </c>
      <c r="S59" s="391">
        <v>0</v>
      </c>
      <c r="T59" s="391">
        <v>0</v>
      </c>
      <c r="U59" s="391">
        <v>0</v>
      </c>
      <c r="V59" s="391">
        <v>0</v>
      </c>
      <c r="W59" s="391">
        <v>0</v>
      </c>
      <c r="X59" s="391"/>
      <c r="Y59" s="391"/>
      <c r="Z59" s="391">
        <v>0</v>
      </c>
      <c r="AA59" s="391">
        <v>0</v>
      </c>
      <c r="AB59" s="391"/>
      <c r="AC59" s="391"/>
      <c r="AD59" s="391">
        <v>0</v>
      </c>
      <c r="AE59" s="391">
        <v>0</v>
      </c>
      <c r="AF59" s="634">
        <v>38500000</v>
      </c>
      <c r="AG59" s="392"/>
      <c r="AH59" s="391">
        <v>0</v>
      </c>
      <c r="AI59" s="393"/>
      <c r="AJ59" s="393">
        <v>0</v>
      </c>
      <c r="AK59" s="391">
        <f t="shared" si="11"/>
        <v>38500000</v>
      </c>
    </row>
    <row r="60" spans="1:37" ht="90.75" customHeight="1" x14ac:dyDescent="0.2">
      <c r="A60" s="39"/>
      <c r="B60" s="46"/>
      <c r="C60" s="775"/>
      <c r="D60" s="778"/>
      <c r="E60" s="775"/>
      <c r="F60" s="775"/>
      <c r="G60" s="46"/>
      <c r="H60" s="54">
        <v>273</v>
      </c>
      <c r="I60" s="679" t="s">
        <v>108</v>
      </c>
      <c r="J60" s="41">
        <v>12</v>
      </c>
      <c r="K60" s="42">
        <v>12</v>
      </c>
      <c r="L60" s="785"/>
      <c r="M60" s="781"/>
      <c r="N60" s="775"/>
      <c r="O60" s="778"/>
      <c r="P60" s="106" t="s">
        <v>46</v>
      </c>
      <c r="Q60" s="391">
        <v>0</v>
      </c>
      <c r="R60" s="391">
        <v>0</v>
      </c>
      <c r="S60" s="391">
        <v>0</v>
      </c>
      <c r="T60" s="391">
        <v>0</v>
      </c>
      <c r="U60" s="391">
        <v>0</v>
      </c>
      <c r="V60" s="391">
        <v>0</v>
      </c>
      <c r="W60" s="391">
        <v>0</v>
      </c>
      <c r="X60" s="391"/>
      <c r="Y60" s="391"/>
      <c r="Z60" s="391">
        <v>0</v>
      </c>
      <c r="AA60" s="391">
        <v>0</v>
      </c>
      <c r="AB60" s="391"/>
      <c r="AC60" s="391"/>
      <c r="AD60" s="391">
        <v>0</v>
      </c>
      <c r="AE60" s="391">
        <v>0</v>
      </c>
      <c r="AF60" s="634">
        <v>2000000</v>
      </c>
      <c r="AG60" s="392"/>
      <c r="AH60" s="391">
        <v>0</v>
      </c>
      <c r="AI60" s="393"/>
      <c r="AJ60" s="393">
        <v>0</v>
      </c>
      <c r="AK60" s="391">
        <f t="shared" si="11"/>
        <v>2000000</v>
      </c>
    </row>
    <row r="61" spans="1:37" ht="90.75" customHeight="1" x14ac:dyDescent="0.2">
      <c r="A61" s="39"/>
      <c r="B61" s="46"/>
      <c r="C61" s="775"/>
      <c r="D61" s="778"/>
      <c r="E61" s="775"/>
      <c r="F61" s="775"/>
      <c r="G61" s="46"/>
      <c r="H61" s="54">
        <v>274</v>
      </c>
      <c r="I61" s="679" t="s">
        <v>109</v>
      </c>
      <c r="J61" s="41" t="s">
        <v>37</v>
      </c>
      <c r="K61" s="42">
        <v>12</v>
      </c>
      <c r="L61" s="785"/>
      <c r="M61" s="781"/>
      <c r="N61" s="775"/>
      <c r="O61" s="778"/>
      <c r="P61" s="106" t="s">
        <v>46</v>
      </c>
      <c r="Q61" s="391">
        <v>0</v>
      </c>
      <c r="R61" s="391">
        <v>0</v>
      </c>
      <c r="S61" s="391">
        <v>0</v>
      </c>
      <c r="T61" s="391">
        <v>0</v>
      </c>
      <c r="U61" s="391">
        <v>0</v>
      </c>
      <c r="V61" s="391">
        <v>0</v>
      </c>
      <c r="W61" s="391">
        <v>0</v>
      </c>
      <c r="X61" s="391"/>
      <c r="Y61" s="391"/>
      <c r="Z61" s="391">
        <v>0</v>
      </c>
      <c r="AA61" s="391">
        <v>0</v>
      </c>
      <c r="AB61" s="391"/>
      <c r="AC61" s="391"/>
      <c r="AD61" s="391">
        <v>0</v>
      </c>
      <c r="AE61" s="391">
        <v>0</v>
      </c>
      <c r="AF61" s="634">
        <f>21000000+9000000</f>
        <v>30000000</v>
      </c>
      <c r="AG61" s="392"/>
      <c r="AH61" s="391">
        <v>0</v>
      </c>
      <c r="AI61" s="393"/>
      <c r="AJ61" s="393">
        <v>0</v>
      </c>
      <c r="AK61" s="391">
        <f t="shared" si="11"/>
        <v>30000000</v>
      </c>
    </row>
    <row r="62" spans="1:37" ht="90.75" customHeight="1" x14ac:dyDescent="0.2">
      <c r="A62" s="39"/>
      <c r="B62" s="46"/>
      <c r="C62" s="775"/>
      <c r="D62" s="778"/>
      <c r="E62" s="775"/>
      <c r="F62" s="775"/>
      <c r="G62" s="90"/>
      <c r="H62" s="54">
        <v>260</v>
      </c>
      <c r="I62" s="679" t="s">
        <v>110</v>
      </c>
      <c r="J62" s="41">
        <v>12</v>
      </c>
      <c r="K62" s="42">
        <v>12</v>
      </c>
      <c r="L62" s="786"/>
      <c r="M62" s="782"/>
      <c r="N62" s="776"/>
      <c r="O62" s="779"/>
      <c r="P62" s="106" t="s">
        <v>46</v>
      </c>
      <c r="Q62" s="391">
        <v>0</v>
      </c>
      <c r="R62" s="391">
        <v>0</v>
      </c>
      <c r="S62" s="391">
        <v>0</v>
      </c>
      <c r="T62" s="391">
        <v>0</v>
      </c>
      <c r="U62" s="391">
        <v>0</v>
      </c>
      <c r="V62" s="391">
        <v>0</v>
      </c>
      <c r="W62" s="391">
        <v>0</v>
      </c>
      <c r="X62" s="391"/>
      <c r="Y62" s="391"/>
      <c r="Z62" s="391">
        <v>0</v>
      </c>
      <c r="AA62" s="391">
        <v>0</v>
      </c>
      <c r="AB62" s="391"/>
      <c r="AC62" s="391"/>
      <c r="AD62" s="391">
        <v>0</v>
      </c>
      <c r="AE62" s="391">
        <v>0</v>
      </c>
      <c r="AF62" s="634">
        <v>10000000</v>
      </c>
      <c r="AG62" s="392"/>
      <c r="AH62" s="391">
        <v>0</v>
      </c>
      <c r="AI62" s="393"/>
      <c r="AJ62" s="393">
        <v>0</v>
      </c>
      <c r="AK62" s="391">
        <f t="shared" si="11"/>
        <v>10000000</v>
      </c>
    </row>
    <row r="63" spans="1:37" ht="30" customHeight="1" x14ac:dyDescent="0.2">
      <c r="A63" s="39"/>
      <c r="B63" s="90"/>
      <c r="C63" s="650"/>
      <c r="D63" s="656"/>
      <c r="E63" s="650"/>
      <c r="F63" s="650"/>
      <c r="G63" s="55"/>
      <c r="H63" s="56"/>
      <c r="I63" s="55"/>
      <c r="J63" s="57"/>
      <c r="K63" s="109"/>
      <c r="L63" s="109"/>
      <c r="M63" s="57"/>
      <c r="N63" s="56"/>
      <c r="O63" s="55"/>
      <c r="P63" s="56"/>
      <c r="Q63" s="400">
        <f>SUM(Q45:Q62)</f>
        <v>0</v>
      </c>
      <c r="R63" s="400">
        <f t="shared" ref="R63:AK63" si="12">SUM(R45:R62)</f>
        <v>0</v>
      </c>
      <c r="S63" s="400">
        <f t="shared" si="12"/>
        <v>0</v>
      </c>
      <c r="T63" s="400">
        <f t="shared" si="12"/>
        <v>0</v>
      </c>
      <c r="U63" s="400">
        <f t="shared" si="12"/>
        <v>0</v>
      </c>
      <c r="V63" s="400">
        <f t="shared" si="12"/>
        <v>0</v>
      </c>
      <c r="W63" s="400">
        <f t="shared" si="12"/>
        <v>0</v>
      </c>
      <c r="X63" s="400">
        <f t="shared" si="12"/>
        <v>0</v>
      </c>
      <c r="Y63" s="400">
        <f t="shared" si="12"/>
        <v>0</v>
      </c>
      <c r="Z63" s="400">
        <f t="shared" si="12"/>
        <v>0</v>
      </c>
      <c r="AA63" s="400">
        <f t="shared" si="12"/>
        <v>0</v>
      </c>
      <c r="AB63" s="400">
        <f t="shared" si="12"/>
        <v>0</v>
      </c>
      <c r="AC63" s="400">
        <f t="shared" si="12"/>
        <v>0</v>
      </c>
      <c r="AD63" s="400">
        <f t="shared" si="12"/>
        <v>0</v>
      </c>
      <c r="AE63" s="400">
        <f t="shared" si="12"/>
        <v>0</v>
      </c>
      <c r="AF63" s="400">
        <f t="shared" si="12"/>
        <v>1450000000</v>
      </c>
      <c r="AG63" s="400">
        <f t="shared" si="12"/>
        <v>0</v>
      </c>
      <c r="AH63" s="400">
        <f t="shared" si="12"/>
        <v>0</v>
      </c>
      <c r="AI63" s="400">
        <f t="shared" si="12"/>
        <v>0</v>
      </c>
      <c r="AJ63" s="400">
        <f t="shared" si="12"/>
        <v>0</v>
      </c>
      <c r="AK63" s="400">
        <f t="shared" si="12"/>
        <v>1450000000</v>
      </c>
    </row>
    <row r="64" spans="1:37" ht="30" customHeight="1" x14ac:dyDescent="0.2">
      <c r="A64" s="39"/>
      <c r="B64" s="254"/>
      <c r="C64" s="564"/>
      <c r="D64" s="565"/>
      <c r="E64" s="564"/>
      <c r="F64" s="579"/>
      <c r="G64" s="59"/>
      <c r="H64" s="97"/>
      <c r="I64" s="96"/>
      <c r="J64" s="344"/>
      <c r="K64" s="345"/>
      <c r="L64" s="345"/>
      <c r="M64" s="344"/>
      <c r="N64" s="97"/>
      <c r="O64" s="96"/>
      <c r="P64" s="97"/>
      <c r="Q64" s="457">
        <f t="shared" ref="Q64:AK64" si="13">Q63</f>
        <v>0</v>
      </c>
      <c r="R64" s="457">
        <f t="shared" si="13"/>
        <v>0</v>
      </c>
      <c r="S64" s="457">
        <f t="shared" si="13"/>
        <v>0</v>
      </c>
      <c r="T64" s="457">
        <f t="shared" si="13"/>
        <v>0</v>
      </c>
      <c r="U64" s="457">
        <f t="shared" si="13"/>
        <v>0</v>
      </c>
      <c r="V64" s="457">
        <f t="shared" si="13"/>
        <v>0</v>
      </c>
      <c r="W64" s="457">
        <f t="shared" si="13"/>
        <v>0</v>
      </c>
      <c r="X64" s="457">
        <f t="shared" si="13"/>
        <v>0</v>
      </c>
      <c r="Y64" s="457">
        <f t="shared" si="13"/>
        <v>0</v>
      </c>
      <c r="Z64" s="457">
        <f t="shared" si="13"/>
        <v>0</v>
      </c>
      <c r="AA64" s="457">
        <f t="shared" si="13"/>
        <v>0</v>
      </c>
      <c r="AB64" s="457">
        <f t="shared" si="13"/>
        <v>0</v>
      </c>
      <c r="AC64" s="457">
        <f t="shared" si="13"/>
        <v>0</v>
      </c>
      <c r="AD64" s="457">
        <f t="shared" si="13"/>
        <v>0</v>
      </c>
      <c r="AE64" s="457">
        <f t="shared" si="13"/>
        <v>0</v>
      </c>
      <c r="AF64" s="457">
        <f t="shared" si="13"/>
        <v>1450000000</v>
      </c>
      <c r="AG64" s="457">
        <f t="shared" si="13"/>
        <v>0</v>
      </c>
      <c r="AH64" s="457">
        <f t="shared" si="13"/>
        <v>0</v>
      </c>
      <c r="AI64" s="457">
        <f t="shared" si="13"/>
        <v>0</v>
      </c>
      <c r="AJ64" s="457">
        <f t="shared" si="13"/>
        <v>0</v>
      </c>
      <c r="AK64" s="457">
        <f t="shared" si="13"/>
        <v>1450000000</v>
      </c>
    </row>
    <row r="65" spans="1:37" s="5" customFormat="1" ht="30" customHeight="1" x14ac:dyDescent="0.25">
      <c r="A65" s="739"/>
      <c r="B65" s="706"/>
      <c r="C65" s="707"/>
      <c r="D65" s="706"/>
      <c r="E65" s="707"/>
      <c r="F65" s="707"/>
      <c r="G65" s="62"/>
      <c r="H65" s="63"/>
      <c r="I65" s="62"/>
      <c r="J65" s="64"/>
      <c r="K65" s="112"/>
      <c r="L65" s="112"/>
      <c r="M65" s="64"/>
      <c r="N65" s="63"/>
      <c r="O65" s="62"/>
      <c r="P65" s="63"/>
      <c r="Q65" s="412">
        <f t="shared" ref="Q65:AK65" si="14">Q35+Q41+Q64</f>
        <v>0</v>
      </c>
      <c r="R65" s="412">
        <f t="shared" si="14"/>
        <v>0</v>
      </c>
      <c r="S65" s="412">
        <f t="shared" si="14"/>
        <v>0</v>
      </c>
      <c r="T65" s="412">
        <f t="shared" si="14"/>
        <v>0</v>
      </c>
      <c r="U65" s="412">
        <f t="shared" si="14"/>
        <v>0</v>
      </c>
      <c r="V65" s="412">
        <f t="shared" si="14"/>
        <v>0</v>
      </c>
      <c r="W65" s="412">
        <f t="shared" si="14"/>
        <v>0</v>
      </c>
      <c r="X65" s="412">
        <f t="shared" si="14"/>
        <v>0</v>
      </c>
      <c r="Y65" s="412">
        <f t="shared" si="14"/>
        <v>0</v>
      </c>
      <c r="Z65" s="412">
        <f t="shared" si="14"/>
        <v>0</v>
      </c>
      <c r="AA65" s="412">
        <f t="shared" si="14"/>
        <v>0</v>
      </c>
      <c r="AB65" s="412">
        <f t="shared" si="14"/>
        <v>0</v>
      </c>
      <c r="AC65" s="412">
        <f t="shared" si="14"/>
        <v>0</v>
      </c>
      <c r="AD65" s="412">
        <f t="shared" si="14"/>
        <v>0</v>
      </c>
      <c r="AE65" s="412">
        <f t="shared" si="14"/>
        <v>0</v>
      </c>
      <c r="AF65" s="412">
        <f t="shared" si="14"/>
        <v>1617000000</v>
      </c>
      <c r="AG65" s="412">
        <f t="shared" si="14"/>
        <v>0</v>
      </c>
      <c r="AH65" s="412">
        <f t="shared" si="14"/>
        <v>0</v>
      </c>
      <c r="AI65" s="412">
        <f t="shared" si="14"/>
        <v>0</v>
      </c>
      <c r="AJ65" s="412">
        <f t="shared" si="14"/>
        <v>0</v>
      </c>
      <c r="AK65" s="412">
        <f t="shared" si="14"/>
        <v>1617000000</v>
      </c>
    </row>
    <row r="66" spans="1:37" s="5" customFormat="1" ht="30" customHeight="1" x14ac:dyDescent="0.25">
      <c r="A66" s="740"/>
      <c r="B66" s="708"/>
      <c r="C66" s="709"/>
      <c r="D66" s="708"/>
      <c r="E66" s="709"/>
      <c r="F66" s="709"/>
      <c r="G66" s="65"/>
      <c r="H66" s="66"/>
      <c r="I66" s="65"/>
      <c r="J66" s="67"/>
      <c r="K66" s="113"/>
      <c r="L66" s="113"/>
      <c r="M66" s="67"/>
      <c r="N66" s="66"/>
      <c r="O66" s="65"/>
      <c r="P66" s="66"/>
      <c r="Q66" s="413">
        <f t="shared" ref="Q66:AK66" si="15">Q65</f>
        <v>0</v>
      </c>
      <c r="R66" s="413">
        <f t="shared" si="15"/>
        <v>0</v>
      </c>
      <c r="S66" s="413">
        <f t="shared" si="15"/>
        <v>0</v>
      </c>
      <c r="T66" s="413">
        <f t="shared" si="15"/>
        <v>0</v>
      </c>
      <c r="U66" s="413">
        <f t="shared" si="15"/>
        <v>0</v>
      </c>
      <c r="V66" s="413">
        <f t="shared" si="15"/>
        <v>0</v>
      </c>
      <c r="W66" s="413">
        <f t="shared" si="15"/>
        <v>0</v>
      </c>
      <c r="X66" s="413">
        <f t="shared" si="15"/>
        <v>0</v>
      </c>
      <c r="Y66" s="413">
        <f t="shared" si="15"/>
        <v>0</v>
      </c>
      <c r="Z66" s="413">
        <f t="shared" si="15"/>
        <v>0</v>
      </c>
      <c r="AA66" s="413">
        <f t="shared" si="15"/>
        <v>0</v>
      </c>
      <c r="AB66" s="413">
        <f t="shared" si="15"/>
        <v>0</v>
      </c>
      <c r="AC66" s="413">
        <f t="shared" si="15"/>
        <v>0</v>
      </c>
      <c r="AD66" s="413">
        <f t="shared" si="15"/>
        <v>0</v>
      </c>
      <c r="AE66" s="413">
        <f t="shared" si="15"/>
        <v>0</v>
      </c>
      <c r="AF66" s="413">
        <f t="shared" si="15"/>
        <v>1617000000</v>
      </c>
      <c r="AG66" s="413">
        <f t="shared" si="15"/>
        <v>0</v>
      </c>
      <c r="AH66" s="413">
        <f t="shared" si="15"/>
        <v>0</v>
      </c>
      <c r="AI66" s="413">
        <f t="shared" si="15"/>
        <v>0</v>
      </c>
      <c r="AJ66" s="413">
        <f t="shared" si="15"/>
        <v>0</v>
      </c>
      <c r="AK66" s="413">
        <f t="shared" si="15"/>
        <v>1617000000</v>
      </c>
    </row>
    <row r="67" spans="1:37" s="2" customFormat="1" ht="30" customHeight="1" x14ac:dyDescent="0.25">
      <c r="A67" s="566"/>
      <c r="B67" s="698"/>
      <c r="C67" s="697"/>
      <c r="D67" s="698"/>
      <c r="E67" s="697"/>
      <c r="F67" s="697"/>
      <c r="G67" s="698"/>
      <c r="H67" s="697"/>
      <c r="I67" s="698"/>
      <c r="J67" s="699"/>
      <c r="K67" s="741"/>
      <c r="L67" s="741"/>
      <c r="M67" s="699"/>
      <c r="N67" s="697"/>
      <c r="O67" s="698"/>
      <c r="P67" s="188"/>
      <c r="Q67" s="742"/>
      <c r="R67" s="743"/>
      <c r="S67" s="742"/>
      <c r="T67" s="742"/>
      <c r="U67" s="742"/>
      <c r="V67" s="742"/>
      <c r="W67" s="742"/>
      <c r="X67" s="742"/>
      <c r="Y67" s="742"/>
      <c r="Z67" s="742"/>
      <c r="AA67" s="742"/>
      <c r="AB67" s="743"/>
      <c r="AC67" s="743"/>
      <c r="AD67" s="742"/>
      <c r="AE67" s="742"/>
      <c r="AF67" s="744" t="s">
        <v>63</v>
      </c>
      <c r="AG67" s="742"/>
      <c r="AH67" s="742"/>
      <c r="AI67" s="742"/>
      <c r="AJ67" s="743"/>
      <c r="AK67" s="742"/>
    </row>
    <row r="68" spans="1:37" ht="30" customHeight="1" x14ac:dyDescent="0.2">
      <c r="A68" s="116" t="s">
        <v>111</v>
      </c>
      <c r="B68" s="117"/>
      <c r="C68" s="118"/>
      <c r="D68" s="117"/>
      <c r="E68" s="117"/>
      <c r="F68" s="117"/>
      <c r="G68" s="117"/>
      <c r="H68" s="118"/>
      <c r="I68" s="117"/>
      <c r="J68" s="117"/>
      <c r="K68" s="119"/>
      <c r="L68" s="119"/>
      <c r="M68" s="117"/>
      <c r="N68" s="118"/>
      <c r="O68" s="117"/>
      <c r="P68" s="30"/>
      <c r="Q68" s="580"/>
      <c r="R68" s="580"/>
      <c r="S68" s="580"/>
      <c r="T68" s="580"/>
      <c r="U68" s="580"/>
      <c r="V68" s="580"/>
      <c r="W68" s="580"/>
      <c r="X68" s="580"/>
      <c r="Y68" s="580"/>
      <c r="Z68" s="580"/>
      <c r="AA68" s="580"/>
      <c r="AB68" s="580"/>
      <c r="AC68" s="580"/>
      <c r="AD68" s="580"/>
      <c r="AE68" s="580"/>
      <c r="AF68" s="581"/>
      <c r="AG68" s="582"/>
      <c r="AH68" s="580"/>
      <c r="AI68" s="580"/>
      <c r="AJ68" s="580"/>
      <c r="AK68" s="580"/>
    </row>
    <row r="69" spans="1:37" ht="30" customHeight="1" x14ac:dyDescent="0.2">
      <c r="A69" s="738">
        <v>5</v>
      </c>
      <c r="B69" s="31" t="s">
        <v>31</v>
      </c>
      <c r="C69" s="32"/>
      <c r="D69" s="31"/>
      <c r="E69" s="31"/>
      <c r="F69" s="31"/>
      <c r="G69" s="31"/>
      <c r="H69" s="32"/>
      <c r="I69" s="31"/>
      <c r="J69" s="31"/>
      <c r="K69" s="120"/>
      <c r="L69" s="120"/>
      <c r="M69" s="31"/>
      <c r="N69" s="32"/>
      <c r="O69" s="31"/>
      <c r="P69" s="31"/>
      <c r="Q69" s="421"/>
      <c r="R69" s="421"/>
      <c r="S69" s="421"/>
      <c r="T69" s="421"/>
      <c r="U69" s="421"/>
      <c r="V69" s="421"/>
      <c r="W69" s="421"/>
      <c r="X69" s="421"/>
      <c r="Y69" s="421"/>
      <c r="Z69" s="421"/>
      <c r="AA69" s="421"/>
      <c r="AB69" s="421"/>
      <c r="AC69" s="421"/>
      <c r="AD69" s="421"/>
      <c r="AE69" s="421"/>
      <c r="AF69" s="422"/>
      <c r="AG69" s="421"/>
      <c r="AH69" s="421"/>
      <c r="AI69" s="421"/>
      <c r="AJ69" s="421"/>
      <c r="AK69" s="421"/>
    </row>
    <row r="70" spans="1:37" ht="30" customHeight="1" x14ac:dyDescent="0.2">
      <c r="A70" s="73"/>
      <c r="B70" s="121">
        <v>28</v>
      </c>
      <c r="C70" s="37" t="s">
        <v>32</v>
      </c>
      <c r="D70" s="36"/>
      <c r="E70" s="36"/>
      <c r="F70" s="36"/>
      <c r="G70" s="36"/>
      <c r="H70" s="37"/>
      <c r="I70" s="36"/>
      <c r="J70" s="36"/>
      <c r="K70" s="122"/>
      <c r="L70" s="122"/>
      <c r="M70" s="36"/>
      <c r="N70" s="37"/>
      <c r="O70" s="36"/>
      <c r="P70" s="36"/>
      <c r="Q70" s="402"/>
      <c r="R70" s="402"/>
      <c r="S70" s="402"/>
      <c r="T70" s="402"/>
      <c r="U70" s="402"/>
      <c r="V70" s="402"/>
      <c r="W70" s="402"/>
      <c r="X70" s="402"/>
      <c r="Y70" s="402"/>
      <c r="Z70" s="402"/>
      <c r="AA70" s="402"/>
      <c r="AB70" s="402"/>
      <c r="AC70" s="402"/>
      <c r="AD70" s="402"/>
      <c r="AE70" s="402"/>
      <c r="AF70" s="403"/>
      <c r="AG70" s="402"/>
      <c r="AH70" s="402"/>
      <c r="AI70" s="402"/>
      <c r="AJ70" s="402"/>
      <c r="AK70" s="402"/>
    </row>
    <row r="71" spans="1:37" ht="30" customHeight="1" x14ac:dyDescent="0.2">
      <c r="A71" s="39"/>
      <c r="B71" s="71"/>
      <c r="C71" s="26"/>
      <c r="D71" s="73"/>
      <c r="E71" s="73"/>
      <c r="F71" s="73"/>
      <c r="G71" s="75">
        <v>88</v>
      </c>
      <c r="H71" s="76" t="s">
        <v>112</v>
      </c>
      <c r="I71" s="77"/>
      <c r="J71" s="77"/>
      <c r="K71" s="124"/>
      <c r="L71" s="124"/>
      <c r="M71" s="77"/>
      <c r="N71" s="169"/>
      <c r="O71" s="77"/>
      <c r="P71" s="77"/>
      <c r="Q71" s="263"/>
      <c r="R71" s="263"/>
      <c r="S71" s="263"/>
      <c r="T71" s="263"/>
      <c r="U71" s="263"/>
      <c r="V71" s="263"/>
      <c r="W71" s="263"/>
      <c r="X71" s="263"/>
      <c r="Y71" s="263"/>
      <c r="Z71" s="263"/>
      <c r="AA71" s="263"/>
      <c r="AB71" s="263"/>
      <c r="AC71" s="263"/>
      <c r="AD71" s="263"/>
      <c r="AE71" s="263"/>
      <c r="AF71" s="404"/>
      <c r="AG71" s="263"/>
      <c r="AH71" s="263"/>
      <c r="AI71" s="263"/>
      <c r="AJ71" s="263"/>
      <c r="AK71" s="263"/>
    </row>
    <row r="72" spans="1:37" ht="61.5" customHeight="1" x14ac:dyDescent="0.2">
      <c r="A72" s="39"/>
      <c r="B72" s="72"/>
      <c r="C72" s="775">
        <v>38</v>
      </c>
      <c r="D72" s="778" t="s">
        <v>47</v>
      </c>
      <c r="E72" s="775">
        <v>0</v>
      </c>
      <c r="F72" s="775">
        <v>2</v>
      </c>
      <c r="G72" s="40"/>
      <c r="H72" s="662">
        <v>275</v>
      </c>
      <c r="I72" s="657" t="s">
        <v>113</v>
      </c>
      <c r="J72" s="654" t="s">
        <v>37</v>
      </c>
      <c r="K72" s="51">
        <v>4</v>
      </c>
      <c r="L72" s="784">
        <v>2017003630028</v>
      </c>
      <c r="M72" s="781" t="s">
        <v>38</v>
      </c>
      <c r="N72" s="774" t="s">
        <v>114</v>
      </c>
      <c r="O72" s="777" t="s">
        <v>954</v>
      </c>
      <c r="P72" s="662" t="s">
        <v>46</v>
      </c>
      <c r="Q72" s="414"/>
      <c r="R72" s="414"/>
      <c r="S72" s="414"/>
      <c r="T72" s="414"/>
      <c r="U72" s="416">
        <v>0</v>
      </c>
      <c r="V72" s="416">
        <v>0</v>
      </c>
      <c r="W72" s="414"/>
      <c r="X72" s="414"/>
      <c r="Y72" s="414"/>
      <c r="Z72" s="414"/>
      <c r="AA72" s="414"/>
      <c r="AB72" s="414"/>
      <c r="AC72" s="414"/>
      <c r="AD72" s="414"/>
      <c r="AE72" s="414"/>
      <c r="AF72" s="634">
        <f>900000000+387010000+75000000+115000000-60500000-25082209</f>
        <v>1391427791</v>
      </c>
      <c r="AG72" s="392"/>
      <c r="AH72" s="414"/>
      <c r="AI72" s="414"/>
      <c r="AJ72" s="414"/>
      <c r="AK72" s="391">
        <f>Q72+R72+S72+T72+U72+V72+W72+X72+Y72+Z72+AA72+AB72+AC72+AD72+AE72+AF72+AG72+AH72+AI72+AJ72</f>
        <v>1391427791</v>
      </c>
    </row>
    <row r="73" spans="1:37" ht="61.5" customHeight="1" x14ac:dyDescent="0.2">
      <c r="A73" s="39"/>
      <c r="B73" s="72"/>
      <c r="C73" s="775"/>
      <c r="D73" s="778"/>
      <c r="E73" s="775"/>
      <c r="F73" s="775"/>
      <c r="G73" s="46"/>
      <c r="H73" s="662">
        <v>276</v>
      </c>
      <c r="I73" s="679" t="s">
        <v>116</v>
      </c>
      <c r="J73" s="41">
        <v>1</v>
      </c>
      <c r="K73" s="42">
        <v>1</v>
      </c>
      <c r="L73" s="785"/>
      <c r="M73" s="781"/>
      <c r="N73" s="775"/>
      <c r="O73" s="778"/>
      <c r="P73" s="54" t="s">
        <v>46</v>
      </c>
      <c r="Q73" s="414"/>
      <c r="R73" s="414"/>
      <c r="S73" s="414"/>
      <c r="T73" s="414"/>
      <c r="U73" s="394">
        <f>41200000-41200000</f>
        <v>0</v>
      </c>
      <c r="V73" s="414"/>
      <c r="W73" s="414"/>
      <c r="X73" s="414"/>
      <c r="Y73" s="414"/>
      <c r="Z73" s="414"/>
      <c r="AA73" s="414"/>
      <c r="AB73" s="414"/>
      <c r="AC73" s="414"/>
      <c r="AD73" s="414"/>
      <c r="AE73" s="414"/>
      <c r="AF73" s="634">
        <f>300000000+40990000-75000000+67201457-3000000-15417791</f>
        <v>314773666</v>
      </c>
      <c r="AG73" s="392"/>
      <c r="AH73" s="414"/>
      <c r="AI73" s="414"/>
      <c r="AJ73" s="414"/>
      <c r="AK73" s="391">
        <f>Q73+R73+S73+T73+U73+V73+W73+X73+Y73+Z73+AA73+AB73+AC73+AD73+AE73+AF73+AG73+AH73+AI73+AJ73</f>
        <v>314773666</v>
      </c>
    </row>
    <row r="74" spans="1:37" s="2" customFormat="1" ht="61.5" customHeight="1" x14ac:dyDescent="0.25">
      <c r="A74" s="39"/>
      <c r="B74" s="72"/>
      <c r="C74" s="776"/>
      <c r="D74" s="779"/>
      <c r="E74" s="776"/>
      <c r="F74" s="776"/>
      <c r="G74" s="46"/>
      <c r="H74" s="662">
        <v>277</v>
      </c>
      <c r="I74" s="679" t="s">
        <v>117</v>
      </c>
      <c r="J74" s="41">
        <v>1</v>
      </c>
      <c r="K74" s="42">
        <v>1</v>
      </c>
      <c r="L74" s="786"/>
      <c r="M74" s="782"/>
      <c r="N74" s="776"/>
      <c r="O74" s="779"/>
      <c r="P74" s="54" t="s">
        <v>46</v>
      </c>
      <c r="Q74" s="414"/>
      <c r="R74" s="414"/>
      <c r="S74" s="414"/>
      <c r="T74" s="414"/>
      <c r="U74" s="416">
        <f>250000000+43558736</f>
        <v>293558736</v>
      </c>
      <c r="V74" s="414"/>
      <c r="W74" s="414"/>
      <c r="X74" s="414"/>
      <c r="Y74" s="414"/>
      <c r="Z74" s="414"/>
      <c r="AA74" s="414"/>
      <c r="AB74" s="414"/>
      <c r="AC74" s="414"/>
      <c r="AD74" s="414"/>
      <c r="AE74" s="414"/>
      <c r="AF74" s="634">
        <f>81181264+3000000+60500000</f>
        <v>144681264</v>
      </c>
      <c r="AG74" s="392"/>
      <c r="AH74" s="391"/>
      <c r="AI74" s="393"/>
      <c r="AJ74" s="394"/>
      <c r="AK74" s="391">
        <f>Q74+R74+S74+T74+U74+V74+W74+X74+Y74+Z74+AA74+AB74+AC74+AD74+AE74+AF74+AG74+AH74+AI74+AJ74</f>
        <v>438240000</v>
      </c>
    </row>
    <row r="75" spans="1:37" ht="61.5" customHeight="1" x14ac:dyDescent="0.2">
      <c r="A75" s="39"/>
      <c r="B75" s="72"/>
      <c r="C75" s="774">
        <v>38</v>
      </c>
      <c r="D75" s="777" t="s">
        <v>47</v>
      </c>
      <c r="E75" s="774">
        <v>0</v>
      </c>
      <c r="F75" s="774">
        <v>2</v>
      </c>
      <c r="G75" s="46"/>
      <c r="H75" s="662">
        <v>278</v>
      </c>
      <c r="I75" s="679" t="s">
        <v>118</v>
      </c>
      <c r="J75" s="41" t="s">
        <v>37</v>
      </c>
      <c r="K75" s="42">
        <v>1</v>
      </c>
      <c r="L75" s="787">
        <f>[2]ANDRES!$G$5</f>
        <v>2017003630029</v>
      </c>
      <c r="M75" s="780" t="s">
        <v>38</v>
      </c>
      <c r="N75" s="774" t="s">
        <v>119</v>
      </c>
      <c r="O75" s="777" t="s">
        <v>955</v>
      </c>
      <c r="P75" s="54" t="s">
        <v>46</v>
      </c>
      <c r="Q75" s="391">
        <v>0</v>
      </c>
      <c r="R75" s="391">
        <v>0</v>
      </c>
      <c r="S75" s="391">
        <v>0</v>
      </c>
      <c r="T75" s="391">
        <v>0</v>
      </c>
      <c r="U75" s="391">
        <v>0</v>
      </c>
      <c r="V75" s="391">
        <v>0</v>
      </c>
      <c r="W75" s="391">
        <v>0</v>
      </c>
      <c r="X75" s="391"/>
      <c r="Y75" s="391"/>
      <c r="Z75" s="391">
        <v>0</v>
      </c>
      <c r="AA75" s="391">
        <v>0</v>
      </c>
      <c r="AB75" s="391"/>
      <c r="AC75" s="391"/>
      <c r="AD75" s="391">
        <v>0</v>
      </c>
      <c r="AE75" s="391">
        <v>0</v>
      </c>
      <c r="AF75" s="634">
        <f>18000000</f>
        <v>18000000</v>
      </c>
      <c r="AG75" s="392"/>
      <c r="AH75" s="391">
        <v>0</v>
      </c>
      <c r="AI75" s="393"/>
      <c r="AJ75" s="393">
        <v>0</v>
      </c>
      <c r="AK75" s="391">
        <f>Q75+R75+S75+T75+U75+V75+W75+X75+Y75+Z75+AA75+AB75+AC75+AD75+AE75+AF75+AG75+AH75+AI75+AJ75</f>
        <v>18000000</v>
      </c>
    </row>
    <row r="76" spans="1:37" ht="61.5" customHeight="1" x14ac:dyDescent="0.2">
      <c r="A76" s="39"/>
      <c r="B76" s="72"/>
      <c r="C76" s="775"/>
      <c r="D76" s="778"/>
      <c r="E76" s="775"/>
      <c r="F76" s="775"/>
      <c r="G76" s="90"/>
      <c r="H76" s="662">
        <v>279</v>
      </c>
      <c r="I76" s="679" t="s">
        <v>121</v>
      </c>
      <c r="J76" s="41" t="s">
        <v>37</v>
      </c>
      <c r="K76" s="42">
        <v>1</v>
      </c>
      <c r="L76" s="776"/>
      <c r="M76" s="782"/>
      <c r="N76" s="776"/>
      <c r="O76" s="779"/>
      <c r="P76" s="54" t="s">
        <v>46</v>
      </c>
      <c r="Q76" s="391">
        <v>0</v>
      </c>
      <c r="R76" s="391">
        <v>0</v>
      </c>
      <c r="S76" s="391">
        <v>0</v>
      </c>
      <c r="T76" s="391">
        <v>0</v>
      </c>
      <c r="U76" s="391">
        <v>0</v>
      </c>
      <c r="V76" s="391"/>
      <c r="W76" s="391">
        <v>0</v>
      </c>
      <c r="X76" s="391"/>
      <c r="Y76" s="391"/>
      <c r="Z76" s="391">
        <v>0</v>
      </c>
      <c r="AA76" s="391">
        <v>0</v>
      </c>
      <c r="AB76" s="391"/>
      <c r="AC76" s="391"/>
      <c r="AD76" s="391">
        <v>0</v>
      </c>
      <c r="AE76" s="391">
        <v>0</v>
      </c>
      <c r="AF76" s="634">
        <f>300000000+72000000+40500000</f>
        <v>412500000</v>
      </c>
      <c r="AG76" s="392"/>
      <c r="AH76" s="391"/>
      <c r="AI76" s="393"/>
      <c r="AJ76" s="393">
        <v>0</v>
      </c>
      <c r="AK76" s="391">
        <f>Q76+R76+S76+T76+U76+V76+W76+X76+Y76+Z76+AA76+AB76+AC76+AD76+AE76+AF76+AG76+AH76+AI76+AJ76</f>
        <v>412500000</v>
      </c>
    </row>
    <row r="77" spans="1:37" ht="30" customHeight="1" x14ac:dyDescent="0.2">
      <c r="A77" s="39"/>
      <c r="B77" s="110"/>
      <c r="C77" s="662"/>
      <c r="D77" s="657"/>
      <c r="E77" s="662"/>
      <c r="F77" s="662"/>
      <c r="G77" s="55"/>
      <c r="H77" s="56"/>
      <c r="I77" s="55"/>
      <c r="J77" s="57"/>
      <c r="K77" s="81"/>
      <c r="L77" s="81"/>
      <c r="M77" s="57"/>
      <c r="N77" s="56"/>
      <c r="O77" s="55"/>
      <c r="P77" s="56"/>
      <c r="Q77" s="400">
        <f t="shared" ref="Q77:AJ77" si="16">SUM(Q72:Q76)</f>
        <v>0</v>
      </c>
      <c r="R77" s="400">
        <f t="shared" si="16"/>
        <v>0</v>
      </c>
      <c r="S77" s="400">
        <f t="shared" si="16"/>
        <v>0</v>
      </c>
      <c r="T77" s="400">
        <f t="shared" si="16"/>
        <v>0</v>
      </c>
      <c r="U77" s="400">
        <f t="shared" si="16"/>
        <v>293558736</v>
      </c>
      <c r="V77" s="400">
        <f t="shared" si="16"/>
        <v>0</v>
      </c>
      <c r="W77" s="400">
        <f t="shared" si="16"/>
        <v>0</v>
      </c>
      <c r="X77" s="400">
        <f t="shared" si="16"/>
        <v>0</v>
      </c>
      <c r="Y77" s="400">
        <f t="shared" si="16"/>
        <v>0</v>
      </c>
      <c r="Z77" s="400">
        <f t="shared" si="16"/>
        <v>0</v>
      </c>
      <c r="AA77" s="400">
        <f t="shared" si="16"/>
        <v>0</v>
      </c>
      <c r="AB77" s="400">
        <f t="shared" si="16"/>
        <v>0</v>
      </c>
      <c r="AC77" s="400">
        <f t="shared" si="16"/>
        <v>0</v>
      </c>
      <c r="AD77" s="400">
        <f t="shared" si="16"/>
        <v>0</v>
      </c>
      <c r="AE77" s="400">
        <f t="shared" si="16"/>
        <v>0</v>
      </c>
      <c r="AF77" s="400">
        <f t="shared" si="16"/>
        <v>2281382721</v>
      </c>
      <c r="AG77" s="400">
        <f t="shared" si="16"/>
        <v>0</v>
      </c>
      <c r="AH77" s="400">
        <f t="shared" si="16"/>
        <v>0</v>
      </c>
      <c r="AI77" s="400">
        <f t="shared" si="16"/>
        <v>0</v>
      </c>
      <c r="AJ77" s="400">
        <f t="shared" si="16"/>
        <v>0</v>
      </c>
      <c r="AK77" s="400">
        <f>SUM(AK72:AK76)</f>
        <v>2574941457</v>
      </c>
    </row>
    <row r="78" spans="1:37" ht="30" customHeight="1" x14ac:dyDescent="0.2">
      <c r="A78" s="52"/>
      <c r="B78" s="93"/>
      <c r="C78" s="60"/>
      <c r="D78" s="59"/>
      <c r="E78" s="60"/>
      <c r="F78" s="60"/>
      <c r="G78" s="59"/>
      <c r="H78" s="60"/>
      <c r="I78" s="59"/>
      <c r="J78" s="61"/>
      <c r="K78" s="98"/>
      <c r="L78" s="98"/>
      <c r="M78" s="61"/>
      <c r="N78" s="60"/>
      <c r="O78" s="59"/>
      <c r="P78" s="60"/>
      <c r="Q78" s="406">
        <f t="shared" ref="Q78:AK80" si="17">Q77</f>
        <v>0</v>
      </c>
      <c r="R78" s="406">
        <f t="shared" si="17"/>
        <v>0</v>
      </c>
      <c r="S78" s="406">
        <f t="shared" si="17"/>
        <v>0</v>
      </c>
      <c r="T78" s="406">
        <f t="shared" si="17"/>
        <v>0</v>
      </c>
      <c r="U78" s="406">
        <f t="shared" si="17"/>
        <v>293558736</v>
      </c>
      <c r="V78" s="406">
        <f t="shared" si="17"/>
        <v>0</v>
      </c>
      <c r="W78" s="406">
        <f t="shared" si="17"/>
        <v>0</v>
      </c>
      <c r="X78" s="406">
        <f t="shared" si="17"/>
        <v>0</v>
      </c>
      <c r="Y78" s="406">
        <f t="shared" si="17"/>
        <v>0</v>
      </c>
      <c r="Z78" s="406">
        <f t="shared" si="17"/>
        <v>0</v>
      </c>
      <c r="AA78" s="406">
        <f t="shared" si="17"/>
        <v>0</v>
      </c>
      <c r="AB78" s="406">
        <f t="shared" si="17"/>
        <v>0</v>
      </c>
      <c r="AC78" s="406">
        <f t="shared" si="17"/>
        <v>0</v>
      </c>
      <c r="AD78" s="406">
        <f t="shared" si="17"/>
        <v>0</v>
      </c>
      <c r="AE78" s="406">
        <f t="shared" si="17"/>
        <v>0</v>
      </c>
      <c r="AF78" s="406">
        <f t="shared" si="17"/>
        <v>2281382721</v>
      </c>
      <c r="AG78" s="406">
        <f t="shared" si="17"/>
        <v>0</v>
      </c>
      <c r="AH78" s="406">
        <f t="shared" si="17"/>
        <v>0</v>
      </c>
      <c r="AI78" s="406">
        <f t="shared" si="17"/>
        <v>0</v>
      </c>
      <c r="AJ78" s="406">
        <f t="shared" si="17"/>
        <v>0</v>
      </c>
      <c r="AK78" s="406">
        <f t="shared" si="17"/>
        <v>2574941457</v>
      </c>
    </row>
    <row r="79" spans="1:37" ht="30" customHeight="1" x14ac:dyDescent="0.2">
      <c r="A79" s="62"/>
      <c r="B79" s="62"/>
      <c r="C79" s="63"/>
      <c r="D79" s="62"/>
      <c r="E79" s="63"/>
      <c r="F79" s="63"/>
      <c r="G79" s="62"/>
      <c r="H79" s="63"/>
      <c r="I79" s="62"/>
      <c r="J79" s="64"/>
      <c r="K79" s="125"/>
      <c r="L79" s="125"/>
      <c r="M79" s="64"/>
      <c r="N79" s="63"/>
      <c r="O79" s="62"/>
      <c r="P79" s="63"/>
      <c r="Q79" s="412">
        <f t="shared" si="17"/>
        <v>0</v>
      </c>
      <c r="R79" s="412">
        <f t="shared" si="17"/>
        <v>0</v>
      </c>
      <c r="S79" s="412">
        <f t="shared" si="17"/>
        <v>0</v>
      </c>
      <c r="T79" s="412">
        <f t="shared" si="17"/>
        <v>0</v>
      </c>
      <c r="U79" s="412">
        <f t="shared" si="17"/>
        <v>293558736</v>
      </c>
      <c r="V79" s="412">
        <f t="shared" si="17"/>
        <v>0</v>
      </c>
      <c r="W79" s="412">
        <f t="shared" si="17"/>
        <v>0</v>
      </c>
      <c r="X79" s="412">
        <f t="shared" si="17"/>
        <v>0</v>
      </c>
      <c r="Y79" s="412">
        <f t="shared" si="17"/>
        <v>0</v>
      </c>
      <c r="Z79" s="412">
        <f t="shared" si="17"/>
        <v>0</v>
      </c>
      <c r="AA79" s="412">
        <f t="shared" si="17"/>
        <v>0</v>
      </c>
      <c r="AB79" s="412">
        <f t="shared" si="17"/>
        <v>0</v>
      </c>
      <c r="AC79" s="412">
        <f t="shared" si="17"/>
        <v>0</v>
      </c>
      <c r="AD79" s="412">
        <f t="shared" si="17"/>
        <v>0</v>
      </c>
      <c r="AE79" s="412">
        <f t="shared" si="17"/>
        <v>0</v>
      </c>
      <c r="AF79" s="412">
        <f t="shared" si="17"/>
        <v>2281382721</v>
      </c>
      <c r="AG79" s="412">
        <f t="shared" si="17"/>
        <v>0</v>
      </c>
      <c r="AH79" s="412">
        <f t="shared" si="17"/>
        <v>0</v>
      </c>
      <c r="AI79" s="412">
        <f t="shared" si="17"/>
        <v>0</v>
      </c>
      <c r="AJ79" s="412">
        <f t="shared" si="17"/>
        <v>0</v>
      </c>
      <c r="AK79" s="412">
        <f t="shared" si="17"/>
        <v>2574941457</v>
      </c>
    </row>
    <row r="80" spans="1:37" ht="30" customHeight="1" x14ac:dyDescent="0.2">
      <c r="A80" s="65"/>
      <c r="B80" s="65"/>
      <c r="C80" s="66"/>
      <c r="D80" s="65"/>
      <c r="E80" s="66"/>
      <c r="F80" s="66"/>
      <c r="G80" s="65"/>
      <c r="H80" s="66"/>
      <c r="I80" s="65"/>
      <c r="J80" s="67"/>
      <c r="K80" s="126"/>
      <c r="L80" s="126"/>
      <c r="M80" s="67"/>
      <c r="N80" s="66"/>
      <c r="O80" s="65"/>
      <c r="P80" s="66"/>
      <c r="Q80" s="413">
        <f t="shared" si="17"/>
        <v>0</v>
      </c>
      <c r="R80" s="413">
        <f t="shared" si="17"/>
        <v>0</v>
      </c>
      <c r="S80" s="413">
        <f t="shared" si="17"/>
        <v>0</v>
      </c>
      <c r="T80" s="413">
        <f t="shared" si="17"/>
        <v>0</v>
      </c>
      <c r="U80" s="413">
        <f t="shared" si="17"/>
        <v>293558736</v>
      </c>
      <c r="V80" s="413">
        <f t="shared" si="17"/>
        <v>0</v>
      </c>
      <c r="W80" s="413">
        <f t="shared" si="17"/>
        <v>0</v>
      </c>
      <c r="X80" s="413">
        <f t="shared" si="17"/>
        <v>0</v>
      </c>
      <c r="Y80" s="413">
        <f t="shared" si="17"/>
        <v>0</v>
      </c>
      <c r="Z80" s="413">
        <f t="shared" si="17"/>
        <v>0</v>
      </c>
      <c r="AA80" s="413">
        <f t="shared" si="17"/>
        <v>0</v>
      </c>
      <c r="AB80" s="413">
        <f t="shared" si="17"/>
        <v>0</v>
      </c>
      <c r="AC80" s="413">
        <f t="shared" si="17"/>
        <v>0</v>
      </c>
      <c r="AD80" s="413">
        <f t="shared" si="17"/>
        <v>0</v>
      </c>
      <c r="AE80" s="413">
        <f t="shared" si="17"/>
        <v>0</v>
      </c>
      <c r="AF80" s="413">
        <f t="shared" si="17"/>
        <v>2281382721</v>
      </c>
      <c r="AG80" s="413">
        <f t="shared" si="17"/>
        <v>0</v>
      </c>
      <c r="AH80" s="413">
        <f t="shared" si="17"/>
        <v>0</v>
      </c>
      <c r="AI80" s="413">
        <f t="shared" si="17"/>
        <v>0</v>
      </c>
      <c r="AJ80" s="413">
        <f t="shared" si="17"/>
        <v>0</v>
      </c>
      <c r="AK80" s="413">
        <f t="shared" si="17"/>
        <v>2574941457</v>
      </c>
    </row>
    <row r="81" spans="1:37" ht="30" customHeight="1" x14ac:dyDescent="0.2">
      <c r="A81" s="68"/>
      <c r="B81" s="69"/>
      <c r="C81" s="146"/>
      <c r="D81" s="69"/>
      <c r="E81" s="146"/>
      <c r="F81" s="146"/>
      <c r="G81" s="69"/>
      <c r="H81" s="146"/>
      <c r="I81" s="69"/>
      <c r="J81" s="70"/>
      <c r="K81" s="80"/>
      <c r="L81" s="80"/>
      <c r="M81" s="70"/>
      <c r="N81" s="146"/>
      <c r="O81" s="69"/>
      <c r="P81" s="146"/>
      <c r="Q81" s="395"/>
      <c r="R81" s="396"/>
      <c r="S81" s="395"/>
      <c r="T81" s="395"/>
      <c r="U81" s="395"/>
      <c r="V81" s="395"/>
      <c r="W81" s="395"/>
      <c r="X81" s="395"/>
      <c r="Y81" s="395"/>
      <c r="Z81" s="395"/>
      <c r="AA81" s="395"/>
      <c r="AB81" s="396"/>
      <c r="AC81" s="396"/>
      <c r="AD81" s="395"/>
      <c r="AE81" s="395"/>
      <c r="AF81" s="397"/>
      <c r="AG81" s="398"/>
      <c r="AH81" s="395"/>
      <c r="AI81" s="395"/>
      <c r="AJ81" s="396"/>
      <c r="AK81" s="395"/>
    </row>
    <row r="82" spans="1:37" ht="30" customHeight="1" x14ac:dyDescent="0.2">
      <c r="A82" s="28" t="s">
        <v>122</v>
      </c>
      <c r="B82" s="29"/>
      <c r="C82" s="30"/>
      <c r="D82" s="29"/>
      <c r="E82" s="29"/>
      <c r="F82" s="29"/>
      <c r="G82" s="29"/>
      <c r="H82" s="30"/>
      <c r="I82" s="29"/>
      <c r="J82" s="29"/>
      <c r="K82" s="127"/>
      <c r="L82" s="127"/>
      <c r="M82" s="29"/>
      <c r="N82" s="30"/>
      <c r="O82" s="29"/>
      <c r="P82" s="30"/>
      <c r="Q82" s="459"/>
      <c r="R82" s="459"/>
      <c r="S82" s="459"/>
      <c r="T82" s="459"/>
      <c r="U82" s="459"/>
      <c r="V82" s="459"/>
      <c r="W82" s="459"/>
      <c r="X82" s="459"/>
      <c r="Y82" s="459"/>
      <c r="Z82" s="459"/>
      <c r="AA82" s="459"/>
      <c r="AB82" s="459"/>
      <c r="AC82" s="459"/>
      <c r="AD82" s="459"/>
      <c r="AE82" s="459"/>
      <c r="AF82" s="460"/>
      <c r="AG82" s="461"/>
      <c r="AH82" s="459"/>
      <c r="AI82" s="459"/>
      <c r="AJ82" s="459"/>
      <c r="AK82" s="459"/>
    </row>
    <row r="83" spans="1:37" ht="30" customHeight="1" x14ac:dyDescent="0.2">
      <c r="A83" s="738">
        <v>2</v>
      </c>
      <c r="B83" s="31" t="s">
        <v>123</v>
      </c>
      <c r="C83" s="32"/>
      <c r="D83" s="31"/>
      <c r="E83" s="31"/>
      <c r="F83" s="31"/>
      <c r="G83" s="31"/>
      <c r="H83" s="32"/>
      <c r="I83" s="31"/>
      <c r="J83" s="31"/>
      <c r="K83" s="128"/>
      <c r="L83" s="128"/>
      <c r="M83" s="31"/>
      <c r="N83" s="32"/>
      <c r="O83" s="31"/>
      <c r="P83" s="31"/>
      <c r="Q83" s="421"/>
      <c r="R83" s="421"/>
      <c r="S83" s="421"/>
      <c r="T83" s="421"/>
      <c r="U83" s="421"/>
      <c r="V83" s="421"/>
      <c r="W83" s="421"/>
      <c r="X83" s="421"/>
      <c r="Y83" s="421"/>
      <c r="Z83" s="421"/>
      <c r="AA83" s="421"/>
      <c r="AB83" s="421"/>
      <c r="AC83" s="421"/>
      <c r="AD83" s="421"/>
      <c r="AE83" s="421"/>
      <c r="AF83" s="422"/>
      <c r="AG83" s="421"/>
      <c r="AH83" s="421"/>
      <c r="AI83" s="421"/>
      <c r="AJ83" s="421"/>
      <c r="AK83" s="423"/>
    </row>
    <row r="84" spans="1:37" ht="30" customHeight="1" x14ac:dyDescent="0.2">
      <c r="A84" s="155"/>
      <c r="B84" s="129">
        <v>4</v>
      </c>
      <c r="C84" s="35" t="s">
        <v>124</v>
      </c>
      <c r="D84" s="36"/>
      <c r="E84" s="36"/>
      <c r="F84" s="36"/>
      <c r="G84" s="36"/>
      <c r="H84" s="37"/>
      <c r="I84" s="36"/>
      <c r="J84" s="36"/>
      <c r="K84" s="88"/>
      <c r="L84" s="88"/>
      <c r="M84" s="36"/>
      <c r="N84" s="37"/>
      <c r="O84" s="36"/>
      <c r="P84" s="36"/>
      <c r="Q84" s="402"/>
      <c r="R84" s="402"/>
      <c r="S84" s="402"/>
      <c r="T84" s="402"/>
      <c r="U84" s="402"/>
      <c r="V84" s="402"/>
      <c r="W84" s="402"/>
      <c r="X84" s="402"/>
      <c r="Y84" s="402"/>
      <c r="Z84" s="402"/>
      <c r="AA84" s="402"/>
      <c r="AB84" s="402"/>
      <c r="AC84" s="402"/>
      <c r="AD84" s="402"/>
      <c r="AE84" s="402"/>
      <c r="AF84" s="403"/>
      <c r="AG84" s="402"/>
      <c r="AH84" s="402"/>
      <c r="AI84" s="402"/>
      <c r="AJ84" s="402"/>
      <c r="AK84" s="402"/>
    </row>
    <row r="85" spans="1:37" ht="30" customHeight="1" x14ac:dyDescent="0.2">
      <c r="A85" s="201"/>
      <c r="B85" s="33"/>
      <c r="C85" s="661"/>
      <c r="D85" s="655"/>
      <c r="E85" s="661"/>
      <c r="F85" s="661"/>
      <c r="G85" s="75">
        <v>14</v>
      </c>
      <c r="H85" s="77" t="s">
        <v>125</v>
      </c>
      <c r="I85" s="77"/>
      <c r="J85" s="77"/>
      <c r="K85" s="89"/>
      <c r="L85" s="89"/>
      <c r="M85" s="77"/>
      <c r="N85" s="169"/>
      <c r="O85" s="77"/>
      <c r="P85" s="77"/>
      <c r="Q85" s="263"/>
      <c r="R85" s="263"/>
      <c r="S85" s="263"/>
      <c r="T85" s="263"/>
      <c r="U85" s="263"/>
      <c r="V85" s="263"/>
      <c r="W85" s="263"/>
      <c r="X85" s="263"/>
      <c r="Y85" s="263"/>
      <c r="Z85" s="263"/>
      <c r="AA85" s="263"/>
      <c r="AB85" s="263"/>
      <c r="AC85" s="263"/>
      <c r="AD85" s="263"/>
      <c r="AE85" s="263"/>
      <c r="AF85" s="404"/>
      <c r="AG85" s="263"/>
      <c r="AH85" s="263"/>
      <c r="AI85" s="263"/>
      <c r="AJ85" s="263"/>
      <c r="AK85" s="265"/>
    </row>
    <row r="86" spans="1:37" ht="78.75" customHeight="1" x14ac:dyDescent="0.2">
      <c r="A86" s="201"/>
      <c r="B86" s="696"/>
      <c r="C86" s="775">
        <v>9</v>
      </c>
      <c r="D86" s="778" t="s">
        <v>126</v>
      </c>
      <c r="E86" s="775">
        <v>59</v>
      </c>
      <c r="F86" s="775">
        <v>87</v>
      </c>
      <c r="G86" s="46"/>
      <c r="H86" s="130">
        <v>54</v>
      </c>
      <c r="I86" s="679" t="s">
        <v>127</v>
      </c>
      <c r="J86" s="54">
        <v>129.85</v>
      </c>
      <c r="K86" s="105">
        <v>130</v>
      </c>
      <c r="L86" s="787">
        <f>[2]ANDRES!$G$7</f>
        <v>2017003630030</v>
      </c>
      <c r="M86" s="774" t="s">
        <v>128</v>
      </c>
      <c r="N86" s="774" t="s">
        <v>129</v>
      </c>
      <c r="O86" s="777" t="s">
        <v>63</v>
      </c>
      <c r="P86" s="54" t="s">
        <v>46</v>
      </c>
      <c r="Q86" s="391"/>
      <c r="R86" s="391"/>
      <c r="S86" s="391"/>
      <c r="T86" s="391"/>
      <c r="U86" s="391"/>
      <c r="V86" s="131">
        <f>248486462+22454001</f>
        <v>270940463</v>
      </c>
      <c r="W86" s="391"/>
      <c r="X86" s="391"/>
      <c r="Y86" s="391"/>
      <c r="Z86" s="391"/>
      <c r="AA86" s="391"/>
      <c r="AB86" s="391"/>
      <c r="AC86" s="391"/>
      <c r="AD86" s="391"/>
      <c r="AE86" s="391"/>
      <c r="AF86" s="634">
        <f>49839592+655093538</f>
        <v>704933130</v>
      </c>
      <c r="AG86" s="405"/>
      <c r="AH86" s="391"/>
      <c r="AI86" s="393">
        <v>3020000000</v>
      </c>
      <c r="AJ86" s="393"/>
      <c r="AK86" s="391">
        <f>Q86+R86+S86+T86+U86+V86+W86+X86+Y86+Z86+AA86+AB86+AC86+AD86+AE86+AF86+AG86+AH86+AI86+AJ86</f>
        <v>3995873593</v>
      </c>
    </row>
    <row r="87" spans="1:37" ht="60" customHeight="1" x14ac:dyDescent="0.2">
      <c r="A87" s="201"/>
      <c r="B87" s="696"/>
      <c r="C87" s="775"/>
      <c r="D87" s="778"/>
      <c r="E87" s="775"/>
      <c r="F87" s="775"/>
      <c r="G87" s="46"/>
      <c r="H87" s="54">
        <v>55</v>
      </c>
      <c r="I87" s="679" t="s">
        <v>131</v>
      </c>
      <c r="J87" s="54">
        <v>12</v>
      </c>
      <c r="K87" s="105">
        <v>12</v>
      </c>
      <c r="L87" s="795"/>
      <c r="M87" s="775"/>
      <c r="N87" s="775"/>
      <c r="O87" s="778"/>
      <c r="P87" s="54" t="s">
        <v>46</v>
      </c>
      <c r="Q87" s="391"/>
      <c r="R87" s="391"/>
      <c r="S87" s="391"/>
      <c r="T87" s="391"/>
      <c r="U87" s="391"/>
      <c r="V87" s="131">
        <f>431000000+120000000</f>
        <v>551000000</v>
      </c>
      <c r="W87" s="391"/>
      <c r="X87" s="391"/>
      <c r="Y87" s="391"/>
      <c r="Z87" s="391"/>
      <c r="AA87" s="391"/>
      <c r="AB87" s="391"/>
      <c r="AC87" s="391"/>
      <c r="AD87" s="391"/>
      <c r="AE87" s="391"/>
      <c r="AF87" s="634">
        <v>324906462</v>
      </c>
      <c r="AG87" s="405"/>
      <c r="AH87" s="391"/>
      <c r="AI87" s="393">
        <f>1080000000-120000000</f>
        <v>960000000</v>
      </c>
      <c r="AJ87" s="393"/>
      <c r="AK87" s="391">
        <f>Q87+R87+S87+T87+U87+V87+W87+X87+Y87+Z87+AA87+AB87+AC87+AD87+AE87+AF87+AG87+AH87+AI87+AJ87</f>
        <v>1835906462</v>
      </c>
    </row>
    <row r="88" spans="1:37" ht="78.75" customHeight="1" x14ac:dyDescent="0.2">
      <c r="A88" s="201"/>
      <c r="B88" s="696"/>
      <c r="C88" s="775"/>
      <c r="D88" s="778"/>
      <c r="E88" s="775"/>
      <c r="F88" s="775"/>
      <c r="G88" s="90"/>
      <c r="H88" s="54">
        <v>56</v>
      </c>
      <c r="I88" s="679" t="s">
        <v>132</v>
      </c>
      <c r="J88" s="54">
        <v>9</v>
      </c>
      <c r="K88" s="722">
        <v>3</v>
      </c>
      <c r="L88" s="796"/>
      <c r="M88" s="776"/>
      <c r="N88" s="776"/>
      <c r="O88" s="779"/>
      <c r="P88" s="54" t="s">
        <v>61</v>
      </c>
      <c r="Q88" s="391">
        <v>0</v>
      </c>
      <c r="R88" s="391">
        <v>0</v>
      </c>
      <c r="S88" s="391">
        <v>0</v>
      </c>
      <c r="T88" s="391">
        <v>0</v>
      </c>
      <c r="U88" s="391">
        <v>0</v>
      </c>
      <c r="V88" s="131">
        <f>120000000-120000000+72000000</f>
        <v>72000000</v>
      </c>
      <c r="W88" s="391">
        <v>0</v>
      </c>
      <c r="X88" s="391"/>
      <c r="Y88" s="391"/>
      <c r="Z88" s="391">
        <v>0</v>
      </c>
      <c r="AA88" s="391">
        <v>0</v>
      </c>
      <c r="AB88" s="391"/>
      <c r="AC88" s="391"/>
      <c r="AD88" s="391">
        <v>0</v>
      </c>
      <c r="AE88" s="391">
        <v>0</v>
      </c>
      <c r="AF88" s="634"/>
      <c r="AG88" s="405"/>
      <c r="AH88" s="391">
        <v>0</v>
      </c>
      <c r="AI88" s="393">
        <f>780000000+120000000</f>
        <v>900000000</v>
      </c>
      <c r="AJ88" s="393">
        <v>0</v>
      </c>
      <c r="AK88" s="391">
        <f>Q88+R88+S88+T88+U88+V88+W88+X88+Y88+Z88+AA88+AB88+AC88+AD88+AE88+AF88+AG88+AH88+AI88+AJ88</f>
        <v>972000000</v>
      </c>
    </row>
    <row r="89" spans="1:37" ht="30" customHeight="1" x14ac:dyDescent="0.2">
      <c r="A89" s="201"/>
      <c r="B89" s="696"/>
      <c r="C89" s="662"/>
      <c r="D89" s="657"/>
      <c r="E89" s="662"/>
      <c r="F89" s="662"/>
      <c r="G89" s="55"/>
      <c r="H89" s="56"/>
      <c r="I89" s="55"/>
      <c r="J89" s="56"/>
      <c r="K89" s="132"/>
      <c r="L89" s="132"/>
      <c r="M89" s="56"/>
      <c r="N89" s="56"/>
      <c r="O89" s="55"/>
      <c r="P89" s="56"/>
      <c r="Q89" s="400">
        <f t="shared" ref="Q89:AJ89" si="18">SUM(Q86:Q88)</f>
        <v>0</v>
      </c>
      <c r="R89" s="400">
        <f t="shared" si="18"/>
        <v>0</v>
      </c>
      <c r="S89" s="400">
        <f t="shared" si="18"/>
        <v>0</v>
      </c>
      <c r="T89" s="400">
        <f t="shared" si="18"/>
        <v>0</v>
      </c>
      <c r="U89" s="400">
        <f t="shared" si="18"/>
        <v>0</v>
      </c>
      <c r="V89" s="400">
        <f t="shared" si="18"/>
        <v>893940463</v>
      </c>
      <c r="W89" s="400">
        <f t="shared" si="18"/>
        <v>0</v>
      </c>
      <c r="X89" s="400">
        <f t="shared" si="18"/>
        <v>0</v>
      </c>
      <c r="Y89" s="400">
        <f t="shared" si="18"/>
        <v>0</v>
      </c>
      <c r="Z89" s="400">
        <f t="shared" si="18"/>
        <v>0</v>
      </c>
      <c r="AA89" s="400">
        <f t="shared" si="18"/>
        <v>0</v>
      </c>
      <c r="AB89" s="400">
        <f t="shared" si="18"/>
        <v>0</v>
      </c>
      <c r="AC89" s="400">
        <f t="shared" si="18"/>
        <v>0</v>
      </c>
      <c r="AD89" s="400">
        <f t="shared" si="18"/>
        <v>0</v>
      </c>
      <c r="AE89" s="400">
        <f t="shared" si="18"/>
        <v>0</v>
      </c>
      <c r="AF89" s="400">
        <f t="shared" si="18"/>
        <v>1029839592</v>
      </c>
      <c r="AG89" s="400">
        <f t="shared" si="18"/>
        <v>0</v>
      </c>
      <c r="AH89" s="400">
        <f t="shared" si="18"/>
        <v>0</v>
      </c>
      <c r="AI89" s="400">
        <f t="shared" si="18"/>
        <v>4880000000</v>
      </c>
      <c r="AJ89" s="400">
        <f t="shared" si="18"/>
        <v>0</v>
      </c>
      <c r="AK89" s="400">
        <f>SUM(AK86:AK88)</f>
        <v>6803780055</v>
      </c>
    </row>
    <row r="90" spans="1:37" ht="30" customHeight="1" x14ac:dyDescent="0.2">
      <c r="A90" s="201"/>
      <c r="B90" s="696"/>
      <c r="C90" s="133"/>
      <c r="D90" s="69"/>
      <c r="E90" s="146"/>
      <c r="F90" s="146"/>
      <c r="G90" s="69"/>
      <c r="H90" s="146"/>
      <c r="I90" s="69"/>
      <c r="J90" s="146"/>
      <c r="K90" s="147"/>
      <c r="L90" s="147"/>
      <c r="M90" s="146"/>
      <c r="N90" s="146"/>
      <c r="O90" s="69"/>
      <c r="P90" s="146"/>
      <c r="Q90" s="395"/>
      <c r="R90" s="396"/>
      <c r="S90" s="395"/>
      <c r="T90" s="395"/>
      <c r="U90" s="395"/>
      <c r="V90" s="395"/>
      <c r="W90" s="395"/>
      <c r="X90" s="395"/>
      <c r="Y90" s="395"/>
      <c r="Z90" s="395"/>
      <c r="AA90" s="395"/>
      <c r="AB90" s="396"/>
      <c r="AC90" s="396"/>
      <c r="AD90" s="395"/>
      <c r="AE90" s="395"/>
      <c r="AF90" s="397"/>
      <c r="AG90" s="398"/>
      <c r="AH90" s="395"/>
      <c r="AI90" s="395"/>
      <c r="AJ90" s="396"/>
      <c r="AK90" s="395"/>
    </row>
    <row r="91" spans="1:37" ht="30" customHeight="1" x14ac:dyDescent="0.2">
      <c r="A91" s="201"/>
      <c r="B91" s="696"/>
      <c r="C91" s="133"/>
      <c r="D91" s="134"/>
      <c r="E91" s="134"/>
      <c r="F91" s="135"/>
      <c r="G91" s="136">
        <v>15</v>
      </c>
      <c r="H91" s="137" t="s">
        <v>133</v>
      </c>
      <c r="I91" s="77"/>
      <c r="J91" s="77"/>
      <c r="K91" s="124"/>
      <c r="L91" s="124"/>
      <c r="M91" s="77"/>
      <c r="N91" s="169"/>
      <c r="O91" s="77"/>
      <c r="P91" s="77"/>
      <c r="Q91" s="263"/>
      <c r="R91" s="263"/>
      <c r="S91" s="263"/>
      <c r="T91" s="263"/>
      <c r="U91" s="263"/>
      <c r="V91" s="263"/>
      <c r="W91" s="263"/>
      <c r="X91" s="263"/>
      <c r="Y91" s="263"/>
      <c r="Z91" s="263"/>
      <c r="AA91" s="263"/>
      <c r="AB91" s="263"/>
      <c r="AC91" s="263"/>
      <c r="AD91" s="263"/>
      <c r="AE91" s="263"/>
      <c r="AF91" s="404"/>
      <c r="AG91" s="263"/>
      <c r="AH91" s="263"/>
      <c r="AI91" s="263"/>
      <c r="AJ91" s="263"/>
      <c r="AK91" s="265"/>
    </row>
    <row r="92" spans="1:37" ht="108.75" customHeight="1" x14ac:dyDescent="0.2">
      <c r="A92" s="201"/>
      <c r="B92" s="696"/>
      <c r="C92" s="774">
        <v>7</v>
      </c>
      <c r="D92" s="777" t="s">
        <v>134</v>
      </c>
      <c r="E92" s="791">
        <v>0.317</v>
      </c>
      <c r="F92" s="793">
        <v>0.27</v>
      </c>
      <c r="G92" s="40"/>
      <c r="H92" s="54">
        <v>57</v>
      </c>
      <c r="I92" s="679" t="s">
        <v>135</v>
      </c>
      <c r="J92" s="54">
        <v>103</v>
      </c>
      <c r="K92" s="105">
        <v>12</v>
      </c>
      <c r="L92" s="787">
        <f>[2]ANDRES!$G$8</f>
        <v>2017003630044</v>
      </c>
      <c r="M92" s="40" t="s">
        <v>136</v>
      </c>
      <c r="N92" s="774" t="s">
        <v>137</v>
      </c>
      <c r="O92" s="777" t="s">
        <v>138</v>
      </c>
      <c r="P92" s="54" t="s">
        <v>61</v>
      </c>
      <c r="Q92" s="391"/>
      <c r="R92" s="391"/>
      <c r="S92" s="635">
        <f>4150000000+2390695347</f>
        <v>6540695347</v>
      </c>
      <c r="T92" s="391"/>
      <c r="U92" s="391"/>
      <c r="V92" s="391"/>
      <c r="W92" s="391"/>
      <c r="X92" s="391"/>
      <c r="Y92" s="391"/>
      <c r="Z92" s="391"/>
      <c r="AA92" s="391"/>
      <c r="AB92" s="391"/>
      <c r="AC92" s="391"/>
      <c r="AD92" s="391"/>
      <c r="AE92" s="391"/>
      <c r="AF92" s="392"/>
      <c r="AG92" s="405"/>
      <c r="AH92" s="391">
        <v>0</v>
      </c>
      <c r="AI92" s="393"/>
      <c r="AJ92" s="418"/>
      <c r="AK92" s="391">
        <f t="shared" ref="AK92:AK100" si="19">Q92+R92+S92+T92+U92+V92+W92+X92+Y92+Z92+AA92+AB92+AC92+AD92+AE92+AF92+AG92+AH92+AI92+AJ92</f>
        <v>6540695347</v>
      </c>
    </row>
    <row r="93" spans="1:37" ht="108.75" customHeight="1" x14ac:dyDescent="0.2">
      <c r="A93" s="201"/>
      <c r="B93" s="696"/>
      <c r="C93" s="775"/>
      <c r="D93" s="778"/>
      <c r="E93" s="792"/>
      <c r="F93" s="794"/>
      <c r="G93" s="46"/>
      <c r="H93" s="54">
        <v>58</v>
      </c>
      <c r="I93" s="679" t="s">
        <v>139</v>
      </c>
      <c r="J93" s="54">
        <v>6</v>
      </c>
      <c r="K93" s="105">
        <v>2</v>
      </c>
      <c r="L93" s="795"/>
      <c r="M93" s="40" t="s">
        <v>140</v>
      </c>
      <c r="N93" s="775"/>
      <c r="O93" s="778"/>
      <c r="P93" s="54" t="s">
        <v>61</v>
      </c>
      <c r="Q93" s="391">
        <v>0</v>
      </c>
      <c r="R93" s="391">
        <v>0</v>
      </c>
      <c r="S93" s="635"/>
      <c r="T93" s="391">
        <v>0</v>
      </c>
      <c r="U93" s="391">
        <v>0</v>
      </c>
      <c r="V93" s="391">
        <v>0</v>
      </c>
      <c r="W93" s="391">
        <v>0</v>
      </c>
      <c r="X93" s="391"/>
      <c r="Y93" s="391"/>
      <c r="Z93" s="391">
        <v>0</v>
      </c>
      <c r="AA93" s="391">
        <v>0</v>
      </c>
      <c r="AB93" s="391"/>
      <c r="AC93" s="391"/>
      <c r="AD93" s="391">
        <v>0</v>
      </c>
      <c r="AE93" s="391">
        <v>0</v>
      </c>
      <c r="AF93" s="392"/>
      <c r="AG93" s="405"/>
      <c r="AH93" s="391">
        <v>0</v>
      </c>
      <c r="AI93" s="635">
        <f>5400000000-4601825364</f>
        <v>798174636</v>
      </c>
      <c r="AJ93" s="393">
        <v>0</v>
      </c>
      <c r="AK93" s="391">
        <f t="shared" si="19"/>
        <v>798174636</v>
      </c>
    </row>
    <row r="94" spans="1:37" ht="108.75" customHeight="1" x14ac:dyDescent="0.2">
      <c r="A94" s="201"/>
      <c r="B94" s="696"/>
      <c r="C94" s="775"/>
      <c r="D94" s="778"/>
      <c r="E94" s="792"/>
      <c r="F94" s="794"/>
      <c r="G94" s="46"/>
      <c r="H94" s="54">
        <v>59</v>
      </c>
      <c r="I94" s="679" t="s">
        <v>141</v>
      </c>
      <c r="J94" s="54">
        <v>82</v>
      </c>
      <c r="K94" s="105">
        <v>12</v>
      </c>
      <c r="L94" s="795"/>
      <c r="M94" s="40" t="s">
        <v>140</v>
      </c>
      <c r="N94" s="775"/>
      <c r="O94" s="778"/>
      <c r="P94" s="54" t="s">
        <v>61</v>
      </c>
      <c r="Q94" s="391">
        <v>0</v>
      </c>
      <c r="R94" s="391">
        <v>0</v>
      </c>
      <c r="S94" s="635">
        <f>2000000000+1110062514</f>
        <v>3110062514</v>
      </c>
      <c r="T94" s="391">
        <v>0</v>
      </c>
      <c r="U94" s="391">
        <v>0</v>
      </c>
      <c r="V94" s="391">
        <v>0</v>
      </c>
      <c r="W94" s="391">
        <v>0</v>
      </c>
      <c r="X94" s="391"/>
      <c r="Y94" s="391"/>
      <c r="Z94" s="391">
        <v>0</v>
      </c>
      <c r="AA94" s="391">
        <v>0</v>
      </c>
      <c r="AB94" s="391"/>
      <c r="AC94" s="391"/>
      <c r="AD94" s="391">
        <v>0</v>
      </c>
      <c r="AE94" s="391">
        <v>0</v>
      </c>
      <c r="AF94" s="392">
        <v>0</v>
      </c>
      <c r="AG94" s="405"/>
      <c r="AH94" s="391">
        <v>0</v>
      </c>
      <c r="AI94" s="638">
        <f>280000000+120000000</f>
        <v>400000000</v>
      </c>
      <c r="AJ94" s="393"/>
      <c r="AK94" s="391">
        <f t="shared" si="19"/>
        <v>3510062514</v>
      </c>
    </row>
    <row r="95" spans="1:37" ht="108.75" customHeight="1" x14ac:dyDescent="0.2">
      <c r="A95" s="201"/>
      <c r="B95" s="696"/>
      <c r="C95" s="775"/>
      <c r="D95" s="778"/>
      <c r="E95" s="792"/>
      <c r="F95" s="794"/>
      <c r="G95" s="46"/>
      <c r="H95" s="54">
        <v>60</v>
      </c>
      <c r="I95" s="679" t="s">
        <v>142</v>
      </c>
      <c r="J95" s="54">
        <v>9</v>
      </c>
      <c r="K95" s="105">
        <v>12</v>
      </c>
      <c r="L95" s="795"/>
      <c r="M95" s="40" t="s">
        <v>140</v>
      </c>
      <c r="N95" s="775"/>
      <c r="O95" s="778"/>
      <c r="P95" s="54" t="s">
        <v>61</v>
      </c>
      <c r="Q95" s="391">
        <v>0</v>
      </c>
      <c r="R95" s="391">
        <v>0</v>
      </c>
      <c r="S95" s="419"/>
      <c r="T95" s="391">
        <v>0</v>
      </c>
      <c r="U95" s="391">
        <v>0</v>
      </c>
      <c r="V95" s="391">
        <v>0</v>
      </c>
      <c r="W95" s="391">
        <v>0</v>
      </c>
      <c r="X95" s="391"/>
      <c r="Y95" s="391"/>
      <c r="Z95" s="391">
        <v>0</v>
      </c>
      <c r="AA95" s="391">
        <v>0</v>
      </c>
      <c r="AB95" s="391"/>
      <c r="AC95" s="391"/>
      <c r="AD95" s="391">
        <v>0</v>
      </c>
      <c r="AE95" s="391">
        <v>0</v>
      </c>
      <c r="AF95" s="635">
        <f>226000000-60000000</f>
        <v>166000000</v>
      </c>
      <c r="AG95" s="405"/>
      <c r="AH95" s="391">
        <v>0</v>
      </c>
      <c r="AI95" s="638">
        <f>3400000000-900000000-1068941717</f>
        <v>1431058283</v>
      </c>
      <c r="AJ95" s="393">
        <v>0</v>
      </c>
      <c r="AK95" s="391">
        <f t="shared" si="19"/>
        <v>1597058283</v>
      </c>
    </row>
    <row r="96" spans="1:37" ht="108.75" customHeight="1" x14ac:dyDescent="0.2">
      <c r="A96" s="201"/>
      <c r="B96" s="696"/>
      <c r="C96" s="775"/>
      <c r="D96" s="778"/>
      <c r="E96" s="792"/>
      <c r="F96" s="794"/>
      <c r="G96" s="46"/>
      <c r="H96" s="54">
        <v>61</v>
      </c>
      <c r="I96" s="679" t="s">
        <v>143</v>
      </c>
      <c r="J96" s="54">
        <v>2</v>
      </c>
      <c r="K96" s="105">
        <v>1</v>
      </c>
      <c r="L96" s="795"/>
      <c r="M96" s="40" t="s">
        <v>140</v>
      </c>
      <c r="N96" s="775"/>
      <c r="O96" s="778"/>
      <c r="P96" s="54" t="s">
        <v>61</v>
      </c>
      <c r="Q96" s="391">
        <v>0</v>
      </c>
      <c r="R96" s="391">
        <v>0</v>
      </c>
      <c r="S96" s="419"/>
      <c r="T96" s="391">
        <v>0</v>
      </c>
      <c r="U96" s="391">
        <v>0</v>
      </c>
      <c r="V96" s="391">
        <v>0</v>
      </c>
      <c r="W96" s="391">
        <v>0</v>
      </c>
      <c r="X96" s="391"/>
      <c r="Y96" s="391"/>
      <c r="Z96" s="391">
        <v>0</v>
      </c>
      <c r="AA96" s="391">
        <v>0</v>
      </c>
      <c r="AB96" s="391"/>
      <c r="AC96" s="391"/>
      <c r="AD96" s="391">
        <v>0</v>
      </c>
      <c r="AE96" s="391">
        <v>0</v>
      </c>
      <c r="AF96" s="634">
        <f>120000000+60000000</f>
        <v>180000000</v>
      </c>
      <c r="AG96" s="405"/>
      <c r="AH96" s="391">
        <v>0</v>
      </c>
      <c r="AI96" s="635">
        <f>1340000000+280000000</f>
        <v>1620000000</v>
      </c>
      <c r="AJ96" s="393">
        <v>0</v>
      </c>
      <c r="AK96" s="391">
        <f t="shared" si="19"/>
        <v>1800000000</v>
      </c>
    </row>
    <row r="97" spans="1:37" ht="108.75" customHeight="1" x14ac:dyDescent="0.2">
      <c r="A97" s="201"/>
      <c r="B97" s="696"/>
      <c r="C97" s="775"/>
      <c r="D97" s="778"/>
      <c r="E97" s="792"/>
      <c r="F97" s="794"/>
      <c r="G97" s="46"/>
      <c r="H97" s="54">
        <v>62</v>
      </c>
      <c r="I97" s="679" t="s">
        <v>144</v>
      </c>
      <c r="J97" s="54">
        <v>1</v>
      </c>
      <c r="K97" s="105">
        <v>2</v>
      </c>
      <c r="L97" s="795"/>
      <c r="M97" s="140" t="s">
        <v>140</v>
      </c>
      <c r="N97" s="775"/>
      <c r="O97" s="778"/>
      <c r="P97" s="54" t="s">
        <v>46</v>
      </c>
      <c r="Q97" s="391">
        <v>0</v>
      </c>
      <c r="R97" s="391">
        <v>0</v>
      </c>
      <c r="S97" s="419"/>
      <c r="T97" s="391">
        <v>0</v>
      </c>
      <c r="U97" s="391">
        <v>0</v>
      </c>
      <c r="V97" s="391">
        <v>0</v>
      </c>
      <c r="W97" s="391">
        <v>0</v>
      </c>
      <c r="X97" s="391"/>
      <c r="Y97" s="391"/>
      <c r="Z97" s="391">
        <v>0</v>
      </c>
      <c r="AA97" s="391">
        <v>0</v>
      </c>
      <c r="AB97" s="391"/>
      <c r="AC97" s="391"/>
      <c r="AD97" s="391">
        <v>0</v>
      </c>
      <c r="AE97" s="391">
        <v>0</v>
      </c>
      <c r="AF97" s="392">
        <v>0</v>
      </c>
      <c r="AG97" s="405"/>
      <c r="AH97" s="391">
        <v>0</v>
      </c>
      <c r="AI97" s="131">
        <v>1500000000</v>
      </c>
      <c r="AJ97" s="393">
        <v>0</v>
      </c>
      <c r="AK97" s="391">
        <f t="shared" si="19"/>
        <v>1500000000</v>
      </c>
    </row>
    <row r="98" spans="1:37" ht="108.75" customHeight="1" x14ac:dyDescent="0.2">
      <c r="A98" s="201"/>
      <c r="B98" s="696"/>
      <c r="C98" s="775"/>
      <c r="D98" s="778"/>
      <c r="E98" s="792"/>
      <c r="F98" s="794"/>
      <c r="G98" s="46"/>
      <c r="H98" s="54">
        <v>63</v>
      </c>
      <c r="I98" s="679" t="s">
        <v>145</v>
      </c>
      <c r="J98" s="54" t="s">
        <v>37</v>
      </c>
      <c r="K98" s="105">
        <v>250</v>
      </c>
      <c r="L98" s="795"/>
      <c r="M98" s="140" t="s">
        <v>146</v>
      </c>
      <c r="N98" s="775"/>
      <c r="O98" s="778"/>
      <c r="P98" s="54" t="s">
        <v>61</v>
      </c>
      <c r="Q98" s="391"/>
      <c r="R98" s="391"/>
      <c r="S98" s="419"/>
      <c r="T98" s="391"/>
      <c r="U98" s="391"/>
      <c r="V98" s="391"/>
      <c r="W98" s="391"/>
      <c r="X98" s="391"/>
      <c r="Y98" s="391"/>
      <c r="Z98" s="391"/>
      <c r="AA98" s="391"/>
      <c r="AB98" s="391"/>
      <c r="AC98" s="391"/>
      <c r="AD98" s="391"/>
      <c r="AE98" s="391"/>
      <c r="AF98" s="394">
        <v>0</v>
      </c>
      <c r="AG98" s="420"/>
      <c r="AH98" s="391"/>
      <c r="AI98" s="635">
        <f>2200000000+500000000-2700000000</f>
        <v>0</v>
      </c>
      <c r="AJ98" s="393"/>
      <c r="AK98" s="391">
        <f t="shared" si="19"/>
        <v>0</v>
      </c>
    </row>
    <row r="99" spans="1:37" ht="108.75" customHeight="1" x14ac:dyDescent="0.2">
      <c r="A99" s="201"/>
      <c r="B99" s="696"/>
      <c r="C99" s="775"/>
      <c r="D99" s="778"/>
      <c r="E99" s="792"/>
      <c r="F99" s="794"/>
      <c r="G99" s="46"/>
      <c r="H99" s="54">
        <v>64</v>
      </c>
      <c r="I99" s="679" t="s">
        <v>147</v>
      </c>
      <c r="J99" s="54">
        <v>0</v>
      </c>
      <c r="K99" s="722">
        <v>2</v>
      </c>
      <c r="L99" s="796"/>
      <c r="M99" s="40" t="s">
        <v>140</v>
      </c>
      <c r="N99" s="776"/>
      <c r="O99" s="779"/>
      <c r="P99" s="54" t="s">
        <v>61</v>
      </c>
      <c r="Q99" s="391">
        <v>0</v>
      </c>
      <c r="R99" s="391">
        <v>0</v>
      </c>
      <c r="S99" s="131"/>
      <c r="T99" s="391">
        <v>0</v>
      </c>
      <c r="U99" s="391">
        <v>0</v>
      </c>
      <c r="V99" s="391">
        <v>0</v>
      </c>
      <c r="W99" s="391">
        <v>0</v>
      </c>
      <c r="X99" s="391"/>
      <c r="Y99" s="391"/>
      <c r="Z99" s="391">
        <v>0</v>
      </c>
      <c r="AA99" s="391">
        <v>0</v>
      </c>
      <c r="AB99" s="391"/>
      <c r="AC99" s="391"/>
      <c r="AD99" s="391">
        <v>0</v>
      </c>
      <c r="AE99" s="391">
        <v>0</v>
      </c>
      <c r="AF99" s="394">
        <v>30000000</v>
      </c>
      <c r="AG99" s="394"/>
      <c r="AH99" s="391">
        <v>0</v>
      </c>
      <c r="AI99" s="393"/>
      <c r="AJ99" s="393">
        <v>0</v>
      </c>
      <c r="AK99" s="391">
        <f t="shared" si="19"/>
        <v>30000000</v>
      </c>
    </row>
    <row r="100" spans="1:37" ht="108.75" customHeight="1" x14ac:dyDescent="0.2">
      <c r="A100" s="201"/>
      <c r="B100" s="696"/>
      <c r="C100" s="650"/>
      <c r="D100" s="656"/>
      <c r="E100" s="664"/>
      <c r="F100" s="660"/>
      <c r="G100" s="90"/>
      <c r="H100" s="54">
        <v>59</v>
      </c>
      <c r="I100" s="679" t="s">
        <v>148</v>
      </c>
      <c r="J100" s="54" t="s">
        <v>37</v>
      </c>
      <c r="K100" s="54" t="s">
        <v>149</v>
      </c>
      <c r="L100" s="54">
        <v>0</v>
      </c>
      <c r="M100" s="662" t="s">
        <v>140</v>
      </c>
      <c r="N100" s="666" t="s">
        <v>150</v>
      </c>
      <c r="O100" s="657" t="s">
        <v>151</v>
      </c>
      <c r="P100" s="54"/>
      <c r="Q100" s="391"/>
      <c r="R100" s="391"/>
      <c r="S100" s="131"/>
      <c r="T100" s="391"/>
      <c r="U100" s="391"/>
      <c r="V100" s="391"/>
      <c r="W100" s="391"/>
      <c r="X100" s="391"/>
      <c r="Y100" s="391"/>
      <c r="Z100" s="391"/>
      <c r="AA100" s="391"/>
      <c r="AB100" s="391"/>
      <c r="AC100" s="391"/>
      <c r="AD100" s="391"/>
      <c r="AE100" s="391"/>
      <c r="AF100" s="394"/>
      <c r="AG100" s="394"/>
      <c r="AH100" s="391"/>
      <c r="AI100" s="393"/>
      <c r="AJ100" s="638">
        <f>611890318+611890317</f>
        <v>1223780635</v>
      </c>
      <c r="AK100" s="391">
        <f t="shared" si="19"/>
        <v>1223780635</v>
      </c>
    </row>
    <row r="101" spans="1:37" ht="30" customHeight="1" x14ac:dyDescent="0.2">
      <c r="A101" s="201"/>
      <c r="B101" s="58"/>
      <c r="C101" s="662"/>
      <c r="D101" s="657"/>
      <c r="E101" s="662"/>
      <c r="F101" s="662"/>
      <c r="G101" s="55"/>
      <c r="H101" s="56"/>
      <c r="I101" s="141"/>
      <c r="J101" s="56"/>
      <c r="K101" s="132"/>
      <c r="L101" s="132"/>
      <c r="M101" s="142"/>
      <c r="N101" s="56"/>
      <c r="O101" s="141"/>
      <c r="P101" s="56"/>
      <c r="Q101" s="400">
        <f t="shared" ref="Q101:AJ101" si="20">SUM(Q92:Q100)</f>
        <v>0</v>
      </c>
      <c r="R101" s="400">
        <f t="shared" si="20"/>
        <v>0</v>
      </c>
      <c r="S101" s="400">
        <f t="shared" si="20"/>
        <v>9650757861</v>
      </c>
      <c r="T101" s="400">
        <f t="shared" si="20"/>
        <v>0</v>
      </c>
      <c r="U101" s="400">
        <f t="shared" si="20"/>
        <v>0</v>
      </c>
      <c r="V101" s="400">
        <f t="shared" si="20"/>
        <v>0</v>
      </c>
      <c r="W101" s="400">
        <f t="shared" si="20"/>
        <v>0</v>
      </c>
      <c r="X101" s="400">
        <f t="shared" si="20"/>
        <v>0</v>
      </c>
      <c r="Y101" s="400">
        <f t="shared" si="20"/>
        <v>0</v>
      </c>
      <c r="Z101" s="400">
        <f t="shared" si="20"/>
        <v>0</v>
      </c>
      <c r="AA101" s="400">
        <f t="shared" si="20"/>
        <v>0</v>
      </c>
      <c r="AB101" s="400">
        <f t="shared" si="20"/>
        <v>0</v>
      </c>
      <c r="AC101" s="400">
        <f t="shared" si="20"/>
        <v>0</v>
      </c>
      <c r="AD101" s="400">
        <f t="shared" si="20"/>
        <v>0</v>
      </c>
      <c r="AE101" s="400">
        <f t="shared" si="20"/>
        <v>0</v>
      </c>
      <c r="AF101" s="400">
        <f t="shared" si="20"/>
        <v>376000000</v>
      </c>
      <c r="AG101" s="400">
        <f t="shared" si="20"/>
        <v>0</v>
      </c>
      <c r="AH101" s="400">
        <f t="shared" si="20"/>
        <v>0</v>
      </c>
      <c r="AI101" s="400">
        <f t="shared" si="20"/>
        <v>5749232919</v>
      </c>
      <c r="AJ101" s="400">
        <f t="shared" si="20"/>
        <v>1223780635</v>
      </c>
      <c r="AK101" s="400">
        <f t="shared" ref="AK101" si="21">SUM(AK92:AK100)</f>
        <v>16999771415</v>
      </c>
    </row>
    <row r="102" spans="1:37" ht="30" customHeight="1" x14ac:dyDescent="0.2">
      <c r="A102" s="203"/>
      <c r="B102" s="59"/>
      <c r="C102" s="60"/>
      <c r="D102" s="59"/>
      <c r="E102" s="60"/>
      <c r="F102" s="60"/>
      <c r="G102" s="59"/>
      <c r="H102" s="60"/>
      <c r="I102" s="59"/>
      <c r="J102" s="60"/>
      <c r="K102" s="143"/>
      <c r="L102" s="143"/>
      <c r="M102" s="60"/>
      <c r="N102" s="60"/>
      <c r="O102" s="59"/>
      <c r="P102" s="60"/>
      <c r="Q102" s="406">
        <f t="shared" ref="Q102:AK102" si="22">Q101+Q89</f>
        <v>0</v>
      </c>
      <c r="R102" s="406">
        <f t="shared" si="22"/>
        <v>0</v>
      </c>
      <c r="S102" s="406">
        <f t="shared" si="22"/>
        <v>9650757861</v>
      </c>
      <c r="T102" s="406">
        <f t="shared" si="22"/>
        <v>0</v>
      </c>
      <c r="U102" s="406">
        <f t="shared" si="22"/>
        <v>0</v>
      </c>
      <c r="V102" s="406">
        <f t="shared" si="22"/>
        <v>893940463</v>
      </c>
      <c r="W102" s="406">
        <f t="shared" si="22"/>
        <v>0</v>
      </c>
      <c r="X102" s="406">
        <f t="shared" si="22"/>
        <v>0</v>
      </c>
      <c r="Y102" s="406">
        <f t="shared" si="22"/>
        <v>0</v>
      </c>
      <c r="Z102" s="406">
        <f t="shared" si="22"/>
        <v>0</v>
      </c>
      <c r="AA102" s="406">
        <f t="shared" si="22"/>
        <v>0</v>
      </c>
      <c r="AB102" s="406">
        <f t="shared" si="22"/>
        <v>0</v>
      </c>
      <c r="AC102" s="406">
        <f t="shared" si="22"/>
        <v>0</v>
      </c>
      <c r="AD102" s="406">
        <f t="shared" si="22"/>
        <v>0</v>
      </c>
      <c r="AE102" s="406">
        <f t="shared" si="22"/>
        <v>0</v>
      </c>
      <c r="AF102" s="406">
        <f t="shared" si="22"/>
        <v>1405839592</v>
      </c>
      <c r="AG102" s="406">
        <f t="shared" si="22"/>
        <v>0</v>
      </c>
      <c r="AH102" s="406">
        <f t="shared" si="22"/>
        <v>0</v>
      </c>
      <c r="AI102" s="406">
        <f t="shared" si="22"/>
        <v>10629232919</v>
      </c>
      <c r="AJ102" s="406">
        <f t="shared" si="22"/>
        <v>1223780635</v>
      </c>
      <c r="AK102" s="406">
        <f t="shared" si="22"/>
        <v>23803551470</v>
      </c>
    </row>
    <row r="103" spans="1:37" ht="30" customHeight="1" x14ac:dyDescent="0.2">
      <c r="A103" s="62"/>
      <c r="B103" s="62"/>
      <c r="C103" s="63"/>
      <c r="D103" s="62"/>
      <c r="E103" s="63"/>
      <c r="F103" s="63"/>
      <c r="G103" s="62"/>
      <c r="H103" s="63"/>
      <c r="I103" s="62"/>
      <c r="J103" s="63"/>
      <c r="K103" s="145"/>
      <c r="L103" s="145"/>
      <c r="M103" s="63"/>
      <c r="N103" s="63"/>
      <c r="O103" s="62"/>
      <c r="P103" s="63"/>
      <c r="Q103" s="412">
        <f t="shared" ref="Q103:AK103" si="23">Q102</f>
        <v>0</v>
      </c>
      <c r="R103" s="412">
        <f t="shared" si="23"/>
        <v>0</v>
      </c>
      <c r="S103" s="412">
        <f t="shared" si="23"/>
        <v>9650757861</v>
      </c>
      <c r="T103" s="412">
        <f t="shared" si="23"/>
        <v>0</v>
      </c>
      <c r="U103" s="412">
        <f t="shared" si="23"/>
        <v>0</v>
      </c>
      <c r="V103" s="412">
        <f t="shared" si="23"/>
        <v>893940463</v>
      </c>
      <c r="W103" s="412">
        <f t="shared" si="23"/>
        <v>0</v>
      </c>
      <c r="X103" s="412">
        <f t="shared" si="23"/>
        <v>0</v>
      </c>
      <c r="Y103" s="412">
        <f t="shared" si="23"/>
        <v>0</v>
      </c>
      <c r="Z103" s="412">
        <f t="shared" si="23"/>
        <v>0</v>
      </c>
      <c r="AA103" s="412">
        <f t="shared" si="23"/>
        <v>0</v>
      </c>
      <c r="AB103" s="412">
        <f t="shared" si="23"/>
        <v>0</v>
      </c>
      <c r="AC103" s="412">
        <f t="shared" si="23"/>
        <v>0</v>
      </c>
      <c r="AD103" s="412">
        <f t="shared" si="23"/>
        <v>0</v>
      </c>
      <c r="AE103" s="412">
        <f t="shared" si="23"/>
        <v>0</v>
      </c>
      <c r="AF103" s="412">
        <f t="shared" si="23"/>
        <v>1405839592</v>
      </c>
      <c r="AG103" s="412">
        <f t="shared" si="23"/>
        <v>0</v>
      </c>
      <c r="AH103" s="412">
        <f t="shared" si="23"/>
        <v>0</v>
      </c>
      <c r="AI103" s="412">
        <f t="shared" si="23"/>
        <v>10629232919</v>
      </c>
      <c r="AJ103" s="412">
        <f t="shared" si="23"/>
        <v>1223780635</v>
      </c>
      <c r="AK103" s="412">
        <f t="shared" si="23"/>
        <v>23803551470</v>
      </c>
    </row>
    <row r="104" spans="1:37" ht="30" customHeight="1" x14ac:dyDescent="0.2">
      <c r="A104" s="68"/>
      <c r="B104" s="69"/>
      <c r="C104" s="146"/>
      <c r="D104" s="69"/>
      <c r="E104" s="146"/>
      <c r="F104" s="146"/>
      <c r="G104" s="69"/>
      <c r="H104" s="146"/>
      <c r="I104" s="69"/>
      <c r="J104" s="146"/>
      <c r="K104" s="147"/>
      <c r="L104" s="147"/>
      <c r="M104" s="146"/>
      <c r="N104" s="146"/>
      <c r="O104" s="69"/>
      <c r="P104" s="146"/>
      <c r="Q104" s="395"/>
      <c r="R104" s="396"/>
      <c r="S104" s="395"/>
      <c r="T104" s="395"/>
      <c r="U104" s="395"/>
      <c r="V104" s="395"/>
      <c r="W104" s="395"/>
      <c r="X104" s="395"/>
      <c r="Y104" s="395"/>
      <c r="Z104" s="395"/>
      <c r="AA104" s="395"/>
      <c r="AB104" s="743"/>
      <c r="AC104" s="743"/>
      <c r="AD104" s="742"/>
      <c r="AE104" s="395"/>
      <c r="AF104" s="397"/>
      <c r="AG104" s="398"/>
      <c r="AH104" s="395"/>
      <c r="AI104" s="395"/>
      <c r="AJ104" s="396"/>
      <c r="AK104" s="395"/>
    </row>
    <row r="105" spans="1:37" ht="30" customHeight="1" x14ac:dyDescent="0.2">
      <c r="A105" s="738">
        <v>1</v>
      </c>
      <c r="B105" s="31" t="s">
        <v>152</v>
      </c>
      <c r="C105" s="32"/>
      <c r="D105" s="31"/>
      <c r="E105" s="31"/>
      <c r="F105" s="31"/>
      <c r="G105" s="31"/>
      <c r="H105" s="32"/>
      <c r="I105" s="31"/>
      <c r="J105" s="31"/>
      <c r="K105" s="120"/>
      <c r="L105" s="120"/>
      <c r="M105" s="31"/>
      <c r="N105" s="32"/>
      <c r="O105" s="31"/>
      <c r="P105" s="31"/>
      <c r="Q105" s="421"/>
      <c r="R105" s="421"/>
      <c r="S105" s="421"/>
      <c r="T105" s="421"/>
      <c r="U105" s="421"/>
      <c r="V105" s="421"/>
      <c r="W105" s="421"/>
      <c r="X105" s="421"/>
      <c r="Y105" s="421"/>
      <c r="Z105" s="421"/>
      <c r="AA105" s="421"/>
      <c r="AB105" s="421"/>
      <c r="AC105" s="421"/>
      <c r="AD105" s="421"/>
      <c r="AE105" s="421"/>
      <c r="AF105" s="422"/>
      <c r="AG105" s="421"/>
      <c r="AH105" s="421"/>
      <c r="AI105" s="421"/>
      <c r="AJ105" s="421"/>
      <c r="AK105" s="423"/>
    </row>
    <row r="106" spans="1:37" ht="30" customHeight="1" x14ac:dyDescent="0.2">
      <c r="A106" s="73"/>
      <c r="B106" s="148">
        <v>1</v>
      </c>
      <c r="C106" s="35" t="s">
        <v>153</v>
      </c>
      <c r="D106" s="36"/>
      <c r="E106" s="36"/>
      <c r="F106" s="36"/>
      <c r="G106" s="36"/>
      <c r="H106" s="37"/>
      <c r="I106" s="36"/>
      <c r="J106" s="36"/>
      <c r="K106" s="122"/>
      <c r="L106" s="122"/>
      <c r="M106" s="36"/>
      <c r="N106" s="37"/>
      <c r="O106" s="36"/>
      <c r="P106" s="36"/>
      <c r="Q106" s="402"/>
      <c r="R106" s="402"/>
      <c r="S106" s="402"/>
      <c r="T106" s="402"/>
      <c r="U106" s="402"/>
      <c r="V106" s="402"/>
      <c r="W106" s="402"/>
      <c r="X106" s="402"/>
      <c r="Y106" s="402"/>
      <c r="Z106" s="402"/>
      <c r="AA106" s="402"/>
      <c r="AB106" s="402"/>
      <c r="AC106" s="402"/>
      <c r="AD106" s="402"/>
      <c r="AE106" s="402"/>
      <c r="AF106" s="403"/>
      <c r="AG106" s="402"/>
      <c r="AH106" s="402"/>
      <c r="AI106" s="402"/>
      <c r="AJ106" s="402"/>
      <c r="AK106" s="407"/>
    </row>
    <row r="107" spans="1:37" ht="30" customHeight="1" x14ac:dyDescent="0.2">
      <c r="A107" s="39"/>
      <c r="B107" s="73"/>
      <c r="C107" s="26"/>
      <c r="D107" s="73"/>
      <c r="E107" s="73"/>
      <c r="F107" s="73"/>
      <c r="G107" s="75">
        <v>2</v>
      </c>
      <c r="H107" s="77" t="s">
        <v>154</v>
      </c>
      <c r="I107" s="77"/>
      <c r="J107" s="77"/>
      <c r="K107" s="124"/>
      <c r="L107" s="124"/>
      <c r="M107" s="77"/>
      <c r="N107" s="169"/>
      <c r="O107" s="77"/>
      <c r="P107" s="77"/>
      <c r="Q107" s="263"/>
      <c r="R107" s="263"/>
      <c r="S107" s="263"/>
      <c r="T107" s="263"/>
      <c r="U107" s="263"/>
      <c r="V107" s="263"/>
      <c r="W107" s="263"/>
      <c r="X107" s="263"/>
      <c r="Y107" s="263"/>
      <c r="Z107" s="263"/>
      <c r="AA107" s="263"/>
      <c r="AB107" s="263"/>
      <c r="AC107" s="263"/>
      <c r="AD107" s="263"/>
      <c r="AE107" s="263"/>
      <c r="AF107" s="404"/>
      <c r="AG107" s="263"/>
      <c r="AH107" s="263"/>
      <c r="AI107" s="263"/>
      <c r="AJ107" s="263"/>
      <c r="AK107" s="265"/>
    </row>
    <row r="108" spans="1:37" ht="60" x14ac:dyDescent="0.2">
      <c r="A108" s="39"/>
      <c r="B108" s="39"/>
      <c r="C108" s="662">
        <v>3</v>
      </c>
      <c r="D108" s="657" t="s">
        <v>155</v>
      </c>
      <c r="E108" s="662" t="s">
        <v>156</v>
      </c>
      <c r="F108" s="662" t="s">
        <v>157</v>
      </c>
      <c r="G108" s="40"/>
      <c r="H108" s="54">
        <v>9</v>
      </c>
      <c r="I108" s="679" t="s">
        <v>158</v>
      </c>
      <c r="J108" s="54">
        <v>35</v>
      </c>
      <c r="K108" s="105">
        <v>5</v>
      </c>
      <c r="L108" s="43">
        <v>2017003630097</v>
      </c>
      <c r="M108" s="679" t="s">
        <v>159</v>
      </c>
      <c r="N108" s="41" t="s">
        <v>160</v>
      </c>
      <c r="O108" s="679" t="s">
        <v>161</v>
      </c>
      <c r="P108" s="54" t="s">
        <v>61</v>
      </c>
      <c r="Q108" s="391">
        <v>0</v>
      </c>
      <c r="R108" s="391">
        <v>0</v>
      </c>
      <c r="S108" s="637">
        <f>1074750000+159691948+22323484</f>
        <v>1256765432</v>
      </c>
      <c r="T108" s="391">
        <v>0</v>
      </c>
      <c r="U108" s="391">
        <v>0</v>
      </c>
      <c r="V108" s="391">
        <v>0</v>
      </c>
      <c r="W108" s="391">
        <v>0</v>
      </c>
      <c r="X108" s="391"/>
      <c r="Y108" s="391"/>
      <c r="Z108" s="391">
        <v>0</v>
      </c>
      <c r="AA108" s="391">
        <v>0</v>
      </c>
      <c r="AB108" s="391"/>
      <c r="AC108" s="391"/>
      <c r="AD108" s="391">
        <v>0</v>
      </c>
      <c r="AE108" s="637">
        <f>3800000+6592117</f>
        <v>10392117</v>
      </c>
      <c r="AF108" s="131"/>
      <c r="AG108" s="45"/>
      <c r="AH108" s="391">
        <v>0</v>
      </c>
      <c r="AI108" s="393"/>
      <c r="AJ108" s="393">
        <v>0</v>
      </c>
      <c r="AK108" s="391">
        <f t="shared" ref="AK108:AK113" si="24">Q108+R108+S108+T108+U108+V108+W108+X108+Y108+Z108+AA108+AB108+AC108+AD108+AE108+AF108+AG108+AH108+AI108+AJ108</f>
        <v>1267157549</v>
      </c>
    </row>
    <row r="109" spans="1:37" ht="60" x14ac:dyDescent="0.2">
      <c r="A109" s="39"/>
      <c r="B109" s="39"/>
      <c r="C109" s="677">
        <v>3</v>
      </c>
      <c r="D109" s="679" t="s">
        <v>155</v>
      </c>
      <c r="E109" s="54" t="s">
        <v>156</v>
      </c>
      <c r="F109" s="54" t="s">
        <v>157</v>
      </c>
      <c r="G109" s="46"/>
      <c r="H109" s="54">
        <v>9</v>
      </c>
      <c r="I109" s="679" t="s">
        <v>158</v>
      </c>
      <c r="J109" s="54">
        <v>35</v>
      </c>
      <c r="K109" s="105">
        <v>5</v>
      </c>
      <c r="L109" s="43">
        <v>20170036300121</v>
      </c>
      <c r="M109" s="679" t="s">
        <v>159</v>
      </c>
      <c r="N109" s="41" t="s">
        <v>162</v>
      </c>
      <c r="O109" s="679" t="s">
        <v>163</v>
      </c>
      <c r="P109" s="54" t="s">
        <v>61</v>
      </c>
      <c r="Q109" s="391"/>
      <c r="R109" s="391"/>
      <c r="S109" s="642">
        <v>54317072</v>
      </c>
      <c r="T109" s="391"/>
      <c r="U109" s="391"/>
      <c r="V109" s="391"/>
      <c r="W109" s="391"/>
      <c r="X109" s="391"/>
      <c r="Y109" s="391"/>
      <c r="Z109" s="391"/>
      <c r="AA109" s="391"/>
      <c r="AB109" s="391"/>
      <c r="AC109" s="391"/>
      <c r="AD109" s="391">
        <v>0</v>
      </c>
      <c r="AE109" s="635">
        <f>646081112+126635520</f>
        <v>772716632</v>
      </c>
      <c r="AF109" s="394"/>
      <c r="AG109" s="394"/>
      <c r="AH109" s="391"/>
      <c r="AI109" s="393"/>
      <c r="AJ109" s="393"/>
      <c r="AK109" s="391">
        <f t="shared" si="24"/>
        <v>827033704</v>
      </c>
    </row>
    <row r="110" spans="1:37" ht="75" x14ac:dyDescent="0.2">
      <c r="A110" s="39"/>
      <c r="B110" s="39"/>
      <c r="C110" s="677">
        <v>3</v>
      </c>
      <c r="D110" s="679" t="s">
        <v>164</v>
      </c>
      <c r="E110" s="54" t="s">
        <v>156</v>
      </c>
      <c r="F110" s="54" t="s">
        <v>157</v>
      </c>
      <c r="G110" s="46"/>
      <c r="H110" s="54">
        <v>10</v>
      </c>
      <c r="I110" s="679" t="s">
        <v>165</v>
      </c>
      <c r="J110" s="150">
        <v>1</v>
      </c>
      <c r="K110" s="151">
        <v>5</v>
      </c>
      <c r="L110" s="43">
        <v>20170036300118</v>
      </c>
      <c r="M110" s="679" t="s">
        <v>159</v>
      </c>
      <c r="N110" s="41" t="s">
        <v>166</v>
      </c>
      <c r="O110" s="679" t="s">
        <v>167</v>
      </c>
      <c r="P110" s="54" t="s">
        <v>61</v>
      </c>
      <c r="Q110" s="391">
        <v>0</v>
      </c>
      <c r="R110" s="391">
        <v>0</v>
      </c>
      <c r="S110" s="391">
        <v>0</v>
      </c>
      <c r="T110" s="391">
        <v>0</v>
      </c>
      <c r="U110" s="391">
        <v>0</v>
      </c>
      <c r="V110" s="391">
        <v>0</v>
      </c>
      <c r="W110" s="391">
        <v>0</v>
      </c>
      <c r="X110" s="391"/>
      <c r="Y110" s="391"/>
      <c r="Z110" s="391">
        <v>0</v>
      </c>
      <c r="AA110" s="391">
        <v>0</v>
      </c>
      <c r="AB110" s="391"/>
      <c r="AC110" s="391"/>
      <c r="AD110" s="391">
        <v>0</v>
      </c>
      <c r="AE110" s="131">
        <v>80000000</v>
      </c>
      <c r="AF110" s="392">
        <v>0</v>
      </c>
      <c r="AG110" s="405"/>
      <c r="AH110" s="391">
        <v>0</v>
      </c>
      <c r="AI110" s="393"/>
      <c r="AJ110" s="393">
        <v>0</v>
      </c>
      <c r="AK110" s="391">
        <f t="shared" si="24"/>
        <v>80000000</v>
      </c>
    </row>
    <row r="111" spans="1:37" s="2" customFormat="1" ht="60" x14ac:dyDescent="0.25">
      <c r="A111" s="39"/>
      <c r="B111" s="39"/>
      <c r="C111" s="677">
        <v>3</v>
      </c>
      <c r="D111" s="679" t="s">
        <v>164</v>
      </c>
      <c r="E111" s="54" t="s">
        <v>156</v>
      </c>
      <c r="F111" s="54" t="s">
        <v>157</v>
      </c>
      <c r="G111" s="46"/>
      <c r="H111" s="54">
        <v>11</v>
      </c>
      <c r="I111" s="679" t="s">
        <v>168</v>
      </c>
      <c r="J111" s="54">
        <v>1</v>
      </c>
      <c r="K111" s="105">
        <v>1</v>
      </c>
      <c r="L111" s="43">
        <v>20170036300117</v>
      </c>
      <c r="M111" s="679" t="s">
        <v>159</v>
      </c>
      <c r="N111" s="41" t="s">
        <v>169</v>
      </c>
      <c r="O111" s="679" t="s">
        <v>956</v>
      </c>
      <c r="P111" s="54" t="s">
        <v>46</v>
      </c>
      <c r="Q111" s="391">
        <v>0</v>
      </c>
      <c r="R111" s="391">
        <v>0</v>
      </c>
      <c r="S111" s="391">
        <v>0</v>
      </c>
      <c r="T111" s="391">
        <v>0</v>
      </c>
      <c r="U111" s="391">
        <v>0</v>
      </c>
      <c r="V111" s="391">
        <v>0</v>
      </c>
      <c r="W111" s="391">
        <v>0</v>
      </c>
      <c r="X111" s="391"/>
      <c r="Y111" s="391"/>
      <c r="Z111" s="391">
        <v>0</v>
      </c>
      <c r="AA111" s="391">
        <v>0</v>
      </c>
      <c r="AB111" s="391"/>
      <c r="AC111" s="391"/>
      <c r="AD111" s="391">
        <v>0</v>
      </c>
      <c r="AE111" s="131">
        <v>312000000</v>
      </c>
      <c r="AF111" s="392">
        <v>0</v>
      </c>
      <c r="AG111" s="405"/>
      <c r="AH111" s="391">
        <v>0</v>
      </c>
      <c r="AI111" s="393"/>
      <c r="AJ111" s="393">
        <v>0</v>
      </c>
      <c r="AK111" s="391">
        <f t="shared" si="24"/>
        <v>312000000</v>
      </c>
    </row>
    <row r="112" spans="1:37" ht="60" x14ac:dyDescent="0.2">
      <c r="A112" s="39"/>
      <c r="B112" s="39"/>
      <c r="C112" s="677">
        <v>3</v>
      </c>
      <c r="D112" s="679" t="s">
        <v>164</v>
      </c>
      <c r="E112" s="54" t="s">
        <v>156</v>
      </c>
      <c r="F112" s="54" t="s">
        <v>157</v>
      </c>
      <c r="G112" s="46"/>
      <c r="H112" s="54">
        <v>12</v>
      </c>
      <c r="I112" s="679" t="s">
        <v>171</v>
      </c>
      <c r="J112" s="54">
        <v>1</v>
      </c>
      <c r="K112" s="105">
        <v>3</v>
      </c>
      <c r="L112" s="43">
        <v>20170036300120</v>
      </c>
      <c r="M112" s="679" t="s">
        <v>159</v>
      </c>
      <c r="N112" s="41" t="s">
        <v>172</v>
      </c>
      <c r="O112" s="679" t="s">
        <v>173</v>
      </c>
      <c r="P112" s="54" t="s">
        <v>46</v>
      </c>
      <c r="Q112" s="391">
        <v>0</v>
      </c>
      <c r="R112" s="391">
        <v>0</v>
      </c>
      <c r="S112" s="391">
        <v>0</v>
      </c>
      <c r="T112" s="391">
        <v>0</v>
      </c>
      <c r="U112" s="391">
        <v>0</v>
      </c>
      <c r="V112" s="391">
        <v>0</v>
      </c>
      <c r="W112" s="391">
        <v>0</v>
      </c>
      <c r="X112" s="391"/>
      <c r="Y112" s="391"/>
      <c r="Z112" s="391">
        <v>0</v>
      </c>
      <c r="AA112" s="391">
        <v>0</v>
      </c>
      <c r="AB112" s="391"/>
      <c r="AC112" s="391"/>
      <c r="AD112" s="391">
        <v>0</v>
      </c>
      <c r="AE112" s="131">
        <v>1050000000</v>
      </c>
      <c r="AF112" s="392">
        <v>0</v>
      </c>
      <c r="AG112" s="405"/>
      <c r="AH112" s="391">
        <v>0</v>
      </c>
      <c r="AI112" s="393"/>
      <c r="AJ112" s="393">
        <v>0</v>
      </c>
      <c r="AK112" s="391">
        <f t="shared" si="24"/>
        <v>1050000000</v>
      </c>
    </row>
    <row r="113" spans="1:37" ht="60" x14ac:dyDescent="0.2">
      <c r="A113" s="39"/>
      <c r="B113" s="39"/>
      <c r="C113" s="661">
        <v>3</v>
      </c>
      <c r="D113" s="655" t="s">
        <v>164</v>
      </c>
      <c r="E113" s="661" t="s">
        <v>156</v>
      </c>
      <c r="F113" s="661" t="s">
        <v>157</v>
      </c>
      <c r="G113" s="90"/>
      <c r="H113" s="54">
        <v>13</v>
      </c>
      <c r="I113" s="679" t="s">
        <v>174</v>
      </c>
      <c r="J113" s="54">
        <v>0</v>
      </c>
      <c r="K113" s="105">
        <v>2</v>
      </c>
      <c r="L113" s="43">
        <v>20170036300119</v>
      </c>
      <c r="M113" s="679" t="s">
        <v>159</v>
      </c>
      <c r="N113" s="41" t="s">
        <v>175</v>
      </c>
      <c r="O113" s="679" t="s">
        <v>176</v>
      </c>
      <c r="P113" s="54" t="s">
        <v>46</v>
      </c>
      <c r="Q113" s="391">
        <v>0</v>
      </c>
      <c r="R113" s="391">
        <v>0</v>
      </c>
      <c r="S113" s="391"/>
      <c r="T113" s="391">
        <v>0</v>
      </c>
      <c r="U113" s="391">
        <v>0</v>
      </c>
      <c r="V113" s="391">
        <v>0</v>
      </c>
      <c r="W113" s="391">
        <v>0</v>
      </c>
      <c r="X113" s="391"/>
      <c r="Y113" s="391"/>
      <c r="Z113" s="391">
        <v>0</v>
      </c>
      <c r="AA113" s="391">
        <v>0</v>
      </c>
      <c r="AB113" s="391"/>
      <c r="AC113" s="391"/>
      <c r="AD113" s="391">
        <v>0</v>
      </c>
      <c r="AE113" s="131">
        <v>300000000</v>
      </c>
      <c r="AF113" s="392">
        <v>0</v>
      </c>
      <c r="AG113" s="405"/>
      <c r="AH113" s="391">
        <v>0</v>
      </c>
      <c r="AI113" s="393"/>
      <c r="AJ113" s="393">
        <v>0</v>
      </c>
      <c r="AK113" s="391">
        <f t="shared" si="24"/>
        <v>300000000</v>
      </c>
    </row>
    <row r="114" spans="1:37" ht="30" customHeight="1" x14ac:dyDescent="0.2">
      <c r="A114" s="39"/>
      <c r="B114" s="52"/>
      <c r="C114" s="662"/>
      <c r="D114" s="657"/>
      <c r="E114" s="662"/>
      <c r="F114" s="662"/>
      <c r="G114" s="152"/>
      <c r="H114" s="152"/>
      <c r="I114" s="153"/>
      <c r="J114" s="152"/>
      <c r="K114" s="152"/>
      <c r="L114" s="152"/>
      <c r="M114" s="152"/>
      <c r="N114" s="152"/>
      <c r="O114" s="154"/>
      <c r="P114" s="152"/>
      <c r="Q114" s="424">
        <f t="shared" ref="Q114:AK114" si="25">SUM(Q108:Q113)</f>
        <v>0</v>
      </c>
      <c r="R114" s="424">
        <f t="shared" si="25"/>
        <v>0</v>
      </c>
      <c r="S114" s="424">
        <f t="shared" si="25"/>
        <v>1311082504</v>
      </c>
      <c r="T114" s="424">
        <f t="shared" si="25"/>
        <v>0</v>
      </c>
      <c r="U114" s="424">
        <f t="shared" si="25"/>
        <v>0</v>
      </c>
      <c r="V114" s="424">
        <f t="shared" si="25"/>
        <v>0</v>
      </c>
      <c r="W114" s="424">
        <f t="shared" si="25"/>
        <v>0</v>
      </c>
      <c r="X114" s="424">
        <f t="shared" si="25"/>
        <v>0</v>
      </c>
      <c r="Y114" s="424">
        <f t="shared" si="25"/>
        <v>0</v>
      </c>
      <c r="Z114" s="424">
        <f t="shared" si="25"/>
        <v>0</v>
      </c>
      <c r="AA114" s="424">
        <f t="shared" si="25"/>
        <v>0</v>
      </c>
      <c r="AB114" s="424">
        <f t="shared" si="25"/>
        <v>0</v>
      </c>
      <c r="AC114" s="424">
        <f t="shared" si="25"/>
        <v>0</v>
      </c>
      <c r="AD114" s="424">
        <f t="shared" si="25"/>
        <v>0</v>
      </c>
      <c r="AE114" s="424">
        <f t="shared" si="25"/>
        <v>2525108749</v>
      </c>
      <c r="AF114" s="424">
        <f t="shared" si="25"/>
        <v>0</v>
      </c>
      <c r="AG114" s="424">
        <f t="shared" si="25"/>
        <v>0</v>
      </c>
      <c r="AH114" s="424">
        <f t="shared" si="25"/>
        <v>0</v>
      </c>
      <c r="AI114" s="424">
        <f t="shared" si="25"/>
        <v>0</v>
      </c>
      <c r="AJ114" s="424">
        <f t="shared" si="25"/>
        <v>0</v>
      </c>
      <c r="AK114" s="424">
        <f t="shared" si="25"/>
        <v>3836191253</v>
      </c>
    </row>
    <row r="115" spans="1:37" ht="30" customHeight="1" x14ac:dyDescent="0.2">
      <c r="A115" s="52"/>
      <c r="B115" s="59"/>
      <c r="C115" s="95"/>
      <c r="D115" s="59"/>
      <c r="E115" s="60"/>
      <c r="F115" s="60"/>
      <c r="G115" s="59"/>
      <c r="H115" s="60"/>
      <c r="I115" s="59"/>
      <c r="J115" s="60"/>
      <c r="K115" s="60"/>
      <c r="L115" s="60"/>
      <c r="M115" s="60"/>
      <c r="N115" s="60"/>
      <c r="O115" s="59"/>
      <c r="P115" s="60"/>
      <c r="Q115" s="406">
        <f t="shared" ref="Q115:AK115" si="26">Q114</f>
        <v>0</v>
      </c>
      <c r="R115" s="406">
        <f t="shared" si="26"/>
        <v>0</v>
      </c>
      <c r="S115" s="406">
        <f t="shared" si="26"/>
        <v>1311082504</v>
      </c>
      <c r="T115" s="406">
        <f t="shared" si="26"/>
        <v>0</v>
      </c>
      <c r="U115" s="406">
        <f t="shared" si="26"/>
        <v>0</v>
      </c>
      <c r="V115" s="406">
        <f t="shared" si="26"/>
        <v>0</v>
      </c>
      <c r="W115" s="406">
        <f t="shared" si="26"/>
        <v>0</v>
      </c>
      <c r="X115" s="406">
        <f t="shared" si="26"/>
        <v>0</v>
      </c>
      <c r="Y115" s="406">
        <f t="shared" si="26"/>
        <v>0</v>
      </c>
      <c r="Z115" s="406">
        <f t="shared" si="26"/>
        <v>0</v>
      </c>
      <c r="AA115" s="406">
        <f t="shared" si="26"/>
        <v>0</v>
      </c>
      <c r="AB115" s="406">
        <f t="shared" si="26"/>
        <v>0</v>
      </c>
      <c r="AC115" s="406">
        <f t="shared" si="26"/>
        <v>0</v>
      </c>
      <c r="AD115" s="406">
        <f t="shared" si="26"/>
        <v>0</v>
      </c>
      <c r="AE115" s="406">
        <f t="shared" si="26"/>
        <v>2525108749</v>
      </c>
      <c r="AF115" s="406">
        <f t="shared" si="26"/>
        <v>0</v>
      </c>
      <c r="AG115" s="406">
        <f t="shared" si="26"/>
        <v>0</v>
      </c>
      <c r="AH115" s="406">
        <f t="shared" si="26"/>
        <v>0</v>
      </c>
      <c r="AI115" s="406">
        <f t="shared" si="26"/>
        <v>0</v>
      </c>
      <c r="AJ115" s="406">
        <f t="shared" si="26"/>
        <v>0</v>
      </c>
      <c r="AK115" s="406">
        <f t="shared" si="26"/>
        <v>3836191253</v>
      </c>
    </row>
    <row r="116" spans="1:37" ht="30" customHeight="1" x14ac:dyDescent="0.2">
      <c r="A116" s="62"/>
      <c r="B116" s="62"/>
      <c r="C116" s="62"/>
      <c r="D116" s="62"/>
      <c r="E116" s="62"/>
      <c r="F116" s="62"/>
      <c r="G116" s="62"/>
      <c r="H116" s="62"/>
      <c r="I116" s="62"/>
      <c r="J116" s="62"/>
      <c r="K116" s="62"/>
      <c r="L116" s="62"/>
      <c r="M116" s="63"/>
      <c r="N116" s="63"/>
      <c r="O116" s="62"/>
      <c r="P116" s="63"/>
      <c r="Q116" s="412">
        <f t="shared" ref="Q116:AK116" si="27">+Q115</f>
        <v>0</v>
      </c>
      <c r="R116" s="412">
        <f t="shared" si="27"/>
        <v>0</v>
      </c>
      <c r="S116" s="412">
        <f t="shared" si="27"/>
        <v>1311082504</v>
      </c>
      <c r="T116" s="412">
        <f t="shared" si="27"/>
        <v>0</v>
      </c>
      <c r="U116" s="412">
        <f t="shared" si="27"/>
        <v>0</v>
      </c>
      <c r="V116" s="412">
        <f t="shared" si="27"/>
        <v>0</v>
      </c>
      <c r="W116" s="412">
        <f t="shared" si="27"/>
        <v>0</v>
      </c>
      <c r="X116" s="412">
        <f t="shared" si="27"/>
        <v>0</v>
      </c>
      <c r="Y116" s="412">
        <f t="shared" si="27"/>
        <v>0</v>
      </c>
      <c r="Z116" s="412">
        <f t="shared" si="27"/>
        <v>0</v>
      </c>
      <c r="AA116" s="412">
        <f t="shared" si="27"/>
        <v>0</v>
      </c>
      <c r="AB116" s="412">
        <f t="shared" si="27"/>
        <v>0</v>
      </c>
      <c r="AC116" s="412">
        <f t="shared" si="27"/>
        <v>0</v>
      </c>
      <c r="AD116" s="412">
        <f t="shared" si="27"/>
        <v>0</v>
      </c>
      <c r="AE116" s="412">
        <f t="shared" si="27"/>
        <v>2525108749</v>
      </c>
      <c r="AF116" s="412">
        <f t="shared" si="27"/>
        <v>0</v>
      </c>
      <c r="AG116" s="412">
        <f t="shared" si="27"/>
        <v>0</v>
      </c>
      <c r="AH116" s="412">
        <f t="shared" si="27"/>
        <v>0</v>
      </c>
      <c r="AI116" s="412">
        <f t="shared" si="27"/>
        <v>0</v>
      </c>
      <c r="AJ116" s="412">
        <f t="shared" si="27"/>
        <v>0</v>
      </c>
      <c r="AK116" s="412">
        <f t="shared" si="27"/>
        <v>3836191253</v>
      </c>
    </row>
    <row r="117" spans="1:37" ht="30" customHeight="1" x14ac:dyDescent="0.2">
      <c r="A117" s="203"/>
      <c r="B117" s="69"/>
      <c r="C117" s="146"/>
      <c r="D117" s="69"/>
      <c r="E117" s="146"/>
      <c r="F117" s="146"/>
      <c r="G117" s="69"/>
      <c r="H117" s="146"/>
      <c r="I117" s="69"/>
      <c r="J117" s="146"/>
      <c r="K117" s="146"/>
      <c r="L117" s="146"/>
      <c r="M117" s="146"/>
      <c r="N117" s="146"/>
      <c r="O117" s="69"/>
      <c r="P117" s="146"/>
      <c r="Q117" s="395"/>
      <c r="R117" s="395"/>
      <c r="S117" s="395"/>
      <c r="T117" s="395"/>
      <c r="U117" s="395"/>
      <c r="V117" s="395"/>
      <c r="W117" s="395"/>
      <c r="X117" s="395"/>
      <c r="Y117" s="395"/>
      <c r="Z117" s="395"/>
      <c r="AA117" s="395"/>
      <c r="AB117" s="395"/>
      <c r="AC117" s="395"/>
      <c r="AD117" s="395"/>
      <c r="AE117" s="395"/>
      <c r="AF117" s="395"/>
      <c r="AG117" s="395"/>
      <c r="AH117" s="395"/>
      <c r="AI117" s="395"/>
      <c r="AJ117" s="395"/>
      <c r="AK117" s="395"/>
    </row>
    <row r="118" spans="1:37" ht="30" customHeight="1" x14ac:dyDescent="0.2">
      <c r="A118" s="738">
        <v>4</v>
      </c>
      <c r="B118" s="31" t="s">
        <v>177</v>
      </c>
      <c r="C118" s="32"/>
      <c r="D118" s="31"/>
      <c r="E118" s="31"/>
      <c r="F118" s="31"/>
      <c r="G118" s="31"/>
      <c r="H118" s="31"/>
      <c r="I118" s="31"/>
      <c r="J118" s="31"/>
      <c r="K118" s="31"/>
      <c r="L118" s="31"/>
      <c r="M118" s="31"/>
      <c r="N118" s="32"/>
      <c r="O118" s="31"/>
      <c r="P118" s="31"/>
      <c r="Q118" s="421"/>
      <c r="R118" s="421"/>
      <c r="S118" s="421"/>
      <c r="T118" s="421"/>
      <c r="U118" s="421"/>
      <c r="V118" s="421"/>
      <c r="W118" s="421"/>
      <c r="X118" s="421"/>
      <c r="Y118" s="421"/>
      <c r="Z118" s="421"/>
      <c r="AA118" s="421"/>
      <c r="AB118" s="421"/>
      <c r="AC118" s="421"/>
      <c r="AD118" s="421"/>
      <c r="AE118" s="421"/>
      <c r="AF118" s="421"/>
      <c r="AG118" s="421"/>
      <c r="AH118" s="421"/>
      <c r="AI118" s="421"/>
      <c r="AJ118" s="421"/>
      <c r="AK118" s="421"/>
    </row>
    <row r="119" spans="1:37" ht="30" customHeight="1" x14ac:dyDescent="0.2">
      <c r="A119" s="73"/>
      <c r="B119" s="148">
        <v>23</v>
      </c>
      <c r="C119" s="35" t="s">
        <v>178</v>
      </c>
      <c r="D119" s="36"/>
      <c r="E119" s="36"/>
      <c r="F119" s="36"/>
      <c r="G119" s="36"/>
      <c r="H119" s="37"/>
      <c r="I119" s="36"/>
      <c r="J119" s="36"/>
      <c r="K119" s="36"/>
      <c r="L119" s="36"/>
      <c r="M119" s="36"/>
      <c r="N119" s="84"/>
      <c r="O119" s="36"/>
      <c r="P119" s="36"/>
      <c r="Q119" s="402"/>
      <c r="R119" s="402"/>
      <c r="S119" s="402"/>
      <c r="T119" s="402"/>
      <c r="U119" s="402"/>
      <c r="V119" s="402"/>
      <c r="W119" s="402"/>
      <c r="X119" s="402"/>
      <c r="Y119" s="402"/>
      <c r="Z119" s="402"/>
      <c r="AA119" s="402"/>
      <c r="AB119" s="402"/>
      <c r="AC119" s="402"/>
      <c r="AD119" s="402"/>
      <c r="AE119" s="402"/>
      <c r="AF119" s="402"/>
      <c r="AG119" s="402"/>
      <c r="AH119" s="402"/>
      <c r="AI119" s="402"/>
      <c r="AJ119" s="402"/>
      <c r="AK119" s="402"/>
    </row>
    <row r="120" spans="1:37" ht="30" customHeight="1" x14ac:dyDescent="0.2">
      <c r="A120" s="39"/>
      <c r="B120" s="155"/>
      <c r="C120" s="517"/>
      <c r="D120" s="99"/>
      <c r="E120" s="390"/>
      <c r="F120" s="667"/>
      <c r="G120" s="156">
        <v>77</v>
      </c>
      <c r="H120" s="157" t="s">
        <v>179</v>
      </c>
      <c r="I120" s="158"/>
      <c r="J120" s="158"/>
      <c r="K120" s="158"/>
      <c r="L120" s="159"/>
      <c r="M120" s="158"/>
      <c r="N120" s="382"/>
      <c r="O120" s="158"/>
      <c r="P120" s="77"/>
      <c r="Q120" s="263"/>
      <c r="R120" s="263"/>
      <c r="S120" s="263"/>
      <c r="T120" s="263"/>
      <c r="U120" s="263"/>
      <c r="V120" s="263"/>
      <c r="W120" s="263"/>
      <c r="X120" s="263"/>
      <c r="Y120" s="263"/>
      <c r="Z120" s="263"/>
      <c r="AA120" s="263"/>
      <c r="AB120" s="263"/>
      <c r="AC120" s="263"/>
      <c r="AD120" s="263"/>
      <c r="AE120" s="263"/>
      <c r="AF120" s="263"/>
      <c r="AG120" s="263"/>
      <c r="AH120" s="263"/>
      <c r="AI120" s="263"/>
      <c r="AJ120" s="263"/>
      <c r="AK120" s="263"/>
    </row>
    <row r="121" spans="1:37" ht="101.25" customHeight="1" x14ac:dyDescent="0.2">
      <c r="A121" s="52"/>
      <c r="B121" s="160"/>
      <c r="C121" s="198"/>
      <c r="D121" s="58"/>
      <c r="E121" s="58"/>
      <c r="F121" s="110"/>
      <c r="G121" s="161"/>
      <c r="H121" s="54">
        <v>223</v>
      </c>
      <c r="I121" s="679" t="s">
        <v>180</v>
      </c>
      <c r="J121" s="41" t="s">
        <v>37</v>
      </c>
      <c r="K121" s="41">
        <v>1</v>
      </c>
      <c r="L121" s="41">
        <v>1</v>
      </c>
      <c r="M121" s="41" t="s">
        <v>128</v>
      </c>
      <c r="N121" s="42" t="s">
        <v>181</v>
      </c>
      <c r="O121" s="87" t="s">
        <v>182</v>
      </c>
      <c r="P121" s="54" t="s">
        <v>46</v>
      </c>
      <c r="Q121" s="391"/>
      <c r="R121" s="391"/>
      <c r="S121" s="391"/>
      <c r="T121" s="391"/>
      <c r="U121" s="391"/>
      <c r="V121" s="391"/>
      <c r="W121" s="391"/>
      <c r="X121" s="391"/>
      <c r="Y121" s="391"/>
      <c r="Z121" s="391"/>
      <c r="AA121" s="391"/>
      <c r="AB121" s="391"/>
      <c r="AC121" s="391"/>
      <c r="AD121" s="391"/>
      <c r="AE121" s="391"/>
      <c r="AF121" s="391"/>
      <c r="AG121" s="391"/>
      <c r="AH121" s="391"/>
      <c r="AI121" s="391"/>
      <c r="AJ121" s="391">
        <v>500000000</v>
      </c>
      <c r="AK121" s="391">
        <f>Q121+R121+S121+T121+U121+V121+W121+X121+Y121+Z121+AA121+AB121+AC121+AD121+AE121+AF121+AG121+AH121+AI121+AJ121</f>
        <v>500000000</v>
      </c>
    </row>
    <row r="122" spans="1:37" ht="30" customHeight="1" x14ac:dyDescent="0.2">
      <c r="A122" s="152"/>
      <c r="B122" s="162"/>
      <c r="C122" s="162"/>
      <c r="D122" s="162"/>
      <c r="E122" s="162"/>
      <c r="F122" s="162"/>
      <c r="G122" s="152"/>
      <c r="H122" s="153"/>
      <c r="I122" s="153"/>
      <c r="J122" s="153"/>
      <c r="K122" s="153"/>
      <c r="L122" s="153"/>
      <c r="M122" s="153"/>
      <c r="N122" s="152"/>
      <c r="O122" s="153"/>
      <c r="P122" s="153"/>
      <c r="Q122" s="425">
        <f t="shared" ref="Q122:AJ124" si="28">+Q121</f>
        <v>0</v>
      </c>
      <c r="R122" s="425">
        <f t="shared" si="28"/>
        <v>0</v>
      </c>
      <c r="S122" s="425">
        <f t="shared" si="28"/>
        <v>0</v>
      </c>
      <c r="T122" s="425">
        <f t="shared" si="28"/>
        <v>0</v>
      </c>
      <c r="U122" s="425">
        <f t="shared" si="28"/>
        <v>0</v>
      </c>
      <c r="V122" s="425">
        <f t="shared" si="28"/>
        <v>0</v>
      </c>
      <c r="W122" s="425">
        <f t="shared" si="28"/>
        <v>0</v>
      </c>
      <c r="X122" s="425">
        <f t="shared" si="28"/>
        <v>0</v>
      </c>
      <c r="Y122" s="425">
        <f t="shared" si="28"/>
        <v>0</v>
      </c>
      <c r="Z122" s="425">
        <f t="shared" si="28"/>
        <v>0</v>
      </c>
      <c r="AA122" s="425">
        <f t="shared" si="28"/>
        <v>0</v>
      </c>
      <c r="AB122" s="425">
        <f t="shared" si="28"/>
        <v>0</v>
      </c>
      <c r="AC122" s="425">
        <f t="shared" si="28"/>
        <v>0</v>
      </c>
      <c r="AD122" s="425">
        <f t="shared" si="28"/>
        <v>0</v>
      </c>
      <c r="AE122" s="425">
        <f t="shared" si="28"/>
        <v>0</v>
      </c>
      <c r="AF122" s="425">
        <f t="shared" si="28"/>
        <v>0</v>
      </c>
      <c r="AG122" s="425">
        <f t="shared" si="28"/>
        <v>0</v>
      </c>
      <c r="AH122" s="425">
        <f t="shared" si="28"/>
        <v>0</v>
      </c>
      <c r="AI122" s="425">
        <f t="shared" si="28"/>
        <v>0</v>
      </c>
      <c r="AJ122" s="425">
        <f t="shared" si="28"/>
        <v>500000000</v>
      </c>
      <c r="AK122" s="425">
        <f>+AK121</f>
        <v>500000000</v>
      </c>
    </row>
    <row r="123" spans="1:37" ht="30" customHeight="1" x14ac:dyDescent="0.2">
      <c r="A123" s="59"/>
      <c r="B123" s="59"/>
      <c r="C123" s="59"/>
      <c r="D123" s="59"/>
      <c r="E123" s="59"/>
      <c r="F123" s="59"/>
      <c r="G123" s="59"/>
      <c r="H123" s="59"/>
      <c r="I123" s="59"/>
      <c r="J123" s="59"/>
      <c r="K123" s="59"/>
      <c r="L123" s="59"/>
      <c r="M123" s="59"/>
      <c r="N123" s="60"/>
      <c r="O123" s="59"/>
      <c r="P123" s="59"/>
      <c r="Q123" s="426">
        <f t="shared" si="28"/>
        <v>0</v>
      </c>
      <c r="R123" s="426">
        <f t="shared" si="28"/>
        <v>0</v>
      </c>
      <c r="S123" s="426">
        <f t="shared" si="28"/>
        <v>0</v>
      </c>
      <c r="T123" s="426">
        <f t="shared" si="28"/>
        <v>0</v>
      </c>
      <c r="U123" s="426">
        <f t="shared" si="28"/>
        <v>0</v>
      </c>
      <c r="V123" s="426">
        <f t="shared" si="28"/>
        <v>0</v>
      </c>
      <c r="W123" s="426">
        <f t="shared" si="28"/>
        <v>0</v>
      </c>
      <c r="X123" s="426">
        <f t="shared" si="28"/>
        <v>0</v>
      </c>
      <c r="Y123" s="426">
        <f t="shared" si="28"/>
        <v>0</v>
      </c>
      <c r="Z123" s="426">
        <f t="shared" si="28"/>
        <v>0</v>
      </c>
      <c r="AA123" s="426">
        <f t="shared" si="28"/>
        <v>0</v>
      </c>
      <c r="AB123" s="426">
        <f t="shared" si="28"/>
        <v>0</v>
      </c>
      <c r="AC123" s="426">
        <f t="shared" si="28"/>
        <v>0</v>
      </c>
      <c r="AD123" s="426">
        <f t="shared" si="28"/>
        <v>0</v>
      </c>
      <c r="AE123" s="426">
        <f t="shared" si="28"/>
        <v>0</v>
      </c>
      <c r="AF123" s="426">
        <f t="shared" si="28"/>
        <v>0</v>
      </c>
      <c r="AG123" s="426">
        <f t="shared" si="28"/>
        <v>0</v>
      </c>
      <c r="AH123" s="426">
        <f t="shared" si="28"/>
        <v>0</v>
      </c>
      <c r="AI123" s="426">
        <f t="shared" si="28"/>
        <v>0</v>
      </c>
      <c r="AJ123" s="426">
        <f t="shared" si="28"/>
        <v>500000000</v>
      </c>
      <c r="AK123" s="426">
        <f>+AK122</f>
        <v>500000000</v>
      </c>
    </row>
    <row r="124" spans="1:37" ht="30" customHeight="1" x14ac:dyDescent="0.2">
      <c r="A124" s="62"/>
      <c r="B124" s="62"/>
      <c r="C124" s="62"/>
      <c r="D124" s="62"/>
      <c r="E124" s="62"/>
      <c r="F124" s="62"/>
      <c r="G124" s="62"/>
      <c r="H124" s="62"/>
      <c r="I124" s="62"/>
      <c r="J124" s="62"/>
      <c r="K124" s="62"/>
      <c r="L124" s="62"/>
      <c r="M124" s="63"/>
      <c r="N124" s="63"/>
      <c r="O124" s="62"/>
      <c r="P124" s="63"/>
      <c r="Q124" s="412">
        <f t="shared" si="28"/>
        <v>0</v>
      </c>
      <c r="R124" s="412">
        <f t="shared" si="28"/>
        <v>0</v>
      </c>
      <c r="S124" s="412">
        <f t="shared" si="28"/>
        <v>0</v>
      </c>
      <c r="T124" s="412">
        <f t="shared" si="28"/>
        <v>0</v>
      </c>
      <c r="U124" s="412">
        <f t="shared" si="28"/>
        <v>0</v>
      </c>
      <c r="V124" s="412">
        <f t="shared" si="28"/>
        <v>0</v>
      </c>
      <c r="W124" s="412">
        <f t="shared" si="28"/>
        <v>0</v>
      </c>
      <c r="X124" s="412">
        <f t="shared" si="28"/>
        <v>0</v>
      </c>
      <c r="Y124" s="412">
        <f t="shared" si="28"/>
        <v>0</v>
      </c>
      <c r="Z124" s="412">
        <f t="shared" si="28"/>
        <v>0</v>
      </c>
      <c r="AA124" s="412">
        <f t="shared" si="28"/>
        <v>0</v>
      </c>
      <c r="AB124" s="412">
        <f t="shared" si="28"/>
        <v>0</v>
      </c>
      <c r="AC124" s="412">
        <f t="shared" si="28"/>
        <v>0</v>
      </c>
      <c r="AD124" s="412">
        <f t="shared" si="28"/>
        <v>0</v>
      </c>
      <c r="AE124" s="412">
        <f t="shared" si="28"/>
        <v>0</v>
      </c>
      <c r="AF124" s="412">
        <f t="shared" si="28"/>
        <v>0</v>
      </c>
      <c r="AG124" s="412">
        <f t="shared" si="28"/>
        <v>0</v>
      </c>
      <c r="AH124" s="412">
        <f t="shared" si="28"/>
        <v>0</v>
      </c>
      <c r="AI124" s="412">
        <f t="shared" si="28"/>
        <v>0</v>
      </c>
      <c r="AJ124" s="412">
        <f t="shared" si="28"/>
        <v>500000000</v>
      </c>
      <c r="AK124" s="412">
        <f>+AK123</f>
        <v>500000000</v>
      </c>
    </row>
    <row r="125" spans="1:37" ht="30" customHeight="1" x14ac:dyDescent="0.2">
      <c r="A125" s="65"/>
      <c r="B125" s="65"/>
      <c r="C125" s="65"/>
      <c r="D125" s="65"/>
      <c r="E125" s="65"/>
      <c r="F125" s="65"/>
      <c r="G125" s="65"/>
      <c r="H125" s="65"/>
      <c r="I125" s="65"/>
      <c r="J125" s="65"/>
      <c r="K125" s="163"/>
      <c r="L125" s="65"/>
      <c r="M125" s="66"/>
      <c r="N125" s="66"/>
      <c r="O125" s="65"/>
      <c r="P125" s="66"/>
      <c r="Q125" s="413">
        <f t="shared" ref="Q125:AJ125" si="29">+Q124+Q116+Q103</f>
        <v>0</v>
      </c>
      <c r="R125" s="413">
        <f t="shared" si="29"/>
        <v>0</v>
      </c>
      <c r="S125" s="413">
        <f t="shared" si="29"/>
        <v>10961840365</v>
      </c>
      <c r="T125" s="413">
        <f t="shared" si="29"/>
        <v>0</v>
      </c>
      <c r="U125" s="413">
        <f t="shared" si="29"/>
        <v>0</v>
      </c>
      <c r="V125" s="413">
        <f t="shared" si="29"/>
        <v>893940463</v>
      </c>
      <c r="W125" s="413">
        <f t="shared" si="29"/>
        <v>0</v>
      </c>
      <c r="X125" s="413">
        <f t="shared" si="29"/>
        <v>0</v>
      </c>
      <c r="Y125" s="413">
        <f t="shared" si="29"/>
        <v>0</v>
      </c>
      <c r="Z125" s="413">
        <f t="shared" si="29"/>
        <v>0</v>
      </c>
      <c r="AA125" s="413">
        <f t="shared" si="29"/>
        <v>0</v>
      </c>
      <c r="AB125" s="413">
        <f t="shared" si="29"/>
        <v>0</v>
      </c>
      <c r="AC125" s="413">
        <f t="shared" si="29"/>
        <v>0</v>
      </c>
      <c r="AD125" s="413">
        <f t="shared" si="29"/>
        <v>0</v>
      </c>
      <c r="AE125" s="413">
        <f t="shared" si="29"/>
        <v>2525108749</v>
      </c>
      <c r="AF125" s="413">
        <f t="shared" si="29"/>
        <v>1405839592</v>
      </c>
      <c r="AG125" s="413">
        <f t="shared" si="29"/>
        <v>0</v>
      </c>
      <c r="AH125" s="413">
        <f t="shared" si="29"/>
        <v>0</v>
      </c>
      <c r="AI125" s="413">
        <f t="shared" si="29"/>
        <v>10629232919</v>
      </c>
      <c r="AJ125" s="413">
        <f t="shared" si="29"/>
        <v>1723780635</v>
      </c>
      <c r="AK125" s="413">
        <f>+AK124+AK116+AK103</f>
        <v>28139742723</v>
      </c>
    </row>
    <row r="126" spans="1:37" ht="30" customHeight="1" x14ac:dyDescent="0.2">
      <c r="A126" s="68"/>
      <c r="B126" s="69"/>
      <c r="C126" s="146"/>
      <c r="D126" s="99"/>
      <c r="E126" s="146"/>
      <c r="F126" s="146"/>
      <c r="G126" s="69"/>
      <c r="H126" s="146"/>
      <c r="I126" s="69"/>
      <c r="J126" s="146"/>
      <c r="K126" s="146"/>
      <c r="L126" s="146"/>
      <c r="M126" s="146"/>
      <c r="N126" s="146"/>
      <c r="O126" s="69"/>
      <c r="P126" s="146"/>
      <c r="Q126" s="395"/>
      <c r="R126" s="396"/>
      <c r="S126" s="395"/>
      <c r="T126" s="395"/>
      <c r="U126" s="395"/>
      <c r="V126" s="395"/>
      <c r="W126" s="395"/>
      <c r="X126" s="395"/>
      <c r="Y126" s="395"/>
      <c r="Z126" s="395"/>
      <c r="AA126" s="395"/>
      <c r="AB126" s="396"/>
      <c r="AC126" s="396"/>
      <c r="AD126" s="395"/>
      <c r="AE126" s="395"/>
      <c r="AF126" s="397"/>
      <c r="AG126" s="395"/>
      <c r="AH126" s="395"/>
      <c r="AI126" s="395"/>
      <c r="AJ126" s="396"/>
      <c r="AK126" s="395"/>
    </row>
    <row r="127" spans="1:37" ht="30" customHeight="1" x14ac:dyDescent="0.2">
      <c r="A127" s="28" t="s">
        <v>183</v>
      </c>
      <c r="B127" s="29"/>
      <c r="C127" s="30"/>
      <c r="D127" s="117"/>
      <c r="E127" s="29"/>
      <c r="F127" s="29"/>
      <c r="G127" s="29"/>
      <c r="H127" s="30"/>
      <c r="I127" s="29"/>
      <c r="J127" s="29"/>
      <c r="K127" s="29"/>
      <c r="L127" s="29"/>
      <c r="M127" s="29"/>
      <c r="N127" s="30"/>
      <c r="O127" s="29"/>
      <c r="P127" s="30"/>
      <c r="Q127" s="459"/>
      <c r="R127" s="459"/>
      <c r="S127" s="459"/>
      <c r="T127" s="459"/>
      <c r="U127" s="459"/>
      <c r="V127" s="459"/>
      <c r="W127" s="459"/>
      <c r="X127" s="459"/>
      <c r="Y127" s="459"/>
      <c r="Z127" s="459"/>
      <c r="AA127" s="459"/>
      <c r="AB127" s="459"/>
      <c r="AC127" s="459"/>
      <c r="AD127" s="459"/>
      <c r="AE127" s="459"/>
      <c r="AF127" s="460"/>
      <c r="AG127" s="461"/>
      <c r="AH127" s="459"/>
      <c r="AI127" s="459"/>
      <c r="AJ127" s="459"/>
      <c r="AK127" s="459" t="s">
        <v>63</v>
      </c>
    </row>
    <row r="128" spans="1:37" ht="30" customHeight="1" x14ac:dyDescent="0.2">
      <c r="A128" s="738">
        <v>4</v>
      </c>
      <c r="B128" s="31" t="s">
        <v>177</v>
      </c>
      <c r="C128" s="32"/>
      <c r="D128" s="31"/>
      <c r="E128" s="31"/>
      <c r="F128" s="31"/>
      <c r="G128" s="31"/>
      <c r="H128" s="32"/>
      <c r="I128" s="31"/>
      <c r="J128" s="31"/>
      <c r="K128" s="31"/>
      <c r="L128" s="31"/>
      <c r="M128" s="31"/>
      <c r="N128" s="32"/>
      <c r="O128" s="31"/>
      <c r="P128" s="31"/>
      <c r="Q128" s="421"/>
      <c r="R128" s="421"/>
      <c r="S128" s="421"/>
      <c r="T128" s="421"/>
      <c r="U128" s="421"/>
      <c r="V128" s="421"/>
      <c r="W128" s="421"/>
      <c r="X128" s="421"/>
      <c r="Y128" s="421"/>
      <c r="Z128" s="421"/>
      <c r="AA128" s="421"/>
      <c r="AB128" s="421"/>
      <c r="AC128" s="421"/>
      <c r="AD128" s="421"/>
      <c r="AE128" s="421"/>
      <c r="AF128" s="422"/>
      <c r="AG128" s="421"/>
      <c r="AH128" s="421"/>
      <c r="AI128" s="421"/>
      <c r="AJ128" s="421"/>
      <c r="AK128" s="421"/>
    </row>
    <row r="129" spans="1:37" ht="30" customHeight="1" x14ac:dyDescent="0.2">
      <c r="A129" s="73"/>
      <c r="B129" s="148">
        <v>23</v>
      </c>
      <c r="C129" s="37" t="s">
        <v>184</v>
      </c>
      <c r="D129" s="36"/>
      <c r="E129" s="36"/>
      <c r="F129" s="36"/>
      <c r="G129" s="36"/>
      <c r="H129" s="37"/>
      <c r="I129" s="36"/>
      <c r="J129" s="36"/>
      <c r="K129" s="36"/>
      <c r="L129" s="36"/>
      <c r="M129" s="36"/>
      <c r="N129" s="37"/>
      <c r="O129" s="36"/>
      <c r="P129" s="36"/>
      <c r="Q129" s="402"/>
      <c r="R129" s="402"/>
      <c r="S129" s="402"/>
      <c r="T129" s="402"/>
      <c r="U129" s="402"/>
      <c r="V129" s="402"/>
      <c r="W129" s="402"/>
      <c r="X129" s="402"/>
      <c r="Y129" s="402"/>
      <c r="Z129" s="402"/>
      <c r="AA129" s="402"/>
      <c r="AB129" s="402"/>
      <c r="AC129" s="402"/>
      <c r="AD129" s="402"/>
      <c r="AE129" s="402"/>
      <c r="AF129" s="403"/>
      <c r="AG129" s="402"/>
      <c r="AH129" s="402"/>
      <c r="AI129" s="402"/>
      <c r="AJ129" s="402"/>
      <c r="AK129" s="402"/>
    </row>
    <row r="130" spans="1:37" ht="30" customHeight="1" thickBot="1" x14ac:dyDescent="0.25">
      <c r="A130" s="39"/>
      <c r="B130" s="73"/>
      <c r="C130" s="26"/>
      <c r="D130" s="73"/>
      <c r="E130" s="73"/>
      <c r="F130" s="73"/>
      <c r="G130" s="75">
        <v>75</v>
      </c>
      <c r="H130" s="77" t="s">
        <v>185</v>
      </c>
      <c r="I130" s="77"/>
      <c r="J130" s="77"/>
      <c r="K130" s="77"/>
      <c r="L130" s="77"/>
      <c r="M130" s="77"/>
      <c r="N130" s="169"/>
      <c r="O130" s="77"/>
      <c r="P130" s="77"/>
      <c r="Q130" s="263"/>
      <c r="R130" s="263"/>
      <c r="S130" s="263"/>
      <c r="T130" s="263"/>
      <c r="U130" s="263"/>
      <c r="V130" s="263"/>
      <c r="W130" s="263"/>
      <c r="X130" s="263"/>
      <c r="Y130" s="263"/>
      <c r="Z130" s="263"/>
      <c r="AA130" s="263"/>
      <c r="AB130" s="263"/>
      <c r="AC130" s="263"/>
      <c r="AD130" s="263"/>
      <c r="AE130" s="263"/>
      <c r="AF130" s="404"/>
      <c r="AG130" s="263"/>
      <c r="AH130" s="263"/>
      <c r="AI130" s="263"/>
      <c r="AJ130" s="263"/>
      <c r="AK130" s="263"/>
    </row>
    <row r="131" spans="1:37" ht="67.5" customHeight="1" x14ac:dyDescent="0.2">
      <c r="A131" s="39"/>
      <c r="B131" s="39"/>
      <c r="C131" s="775">
        <v>10</v>
      </c>
      <c r="D131" s="778" t="s">
        <v>186</v>
      </c>
      <c r="E131" s="775" t="s">
        <v>187</v>
      </c>
      <c r="F131" s="775" t="s">
        <v>188</v>
      </c>
      <c r="G131" s="40"/>
      <c r="H131" s="54">
        <v>214</v>
      </c>
      <c r="I131" s="679" t="s">
        <v>189</v>
      </c>
      <c r="J131" s="41" t="s">
        <v>37</v>
      </c>
      <c r="K131" s="164">
        <v>3</v>
      </c>
      <c r="L131" s="784">
        <v>2017003630010</v>
      </c>
      <c r="M131" s="780" t="s">
        <v>190</v>
      </c>
      <c r="N131" s="774" t="s">
        <v>191</v>
      </c>
      <c r="O131" s="777" t="s">
        <v>957</v>
      </c>
      <c r="P131" s="165" t="s">
        <v>61</v>
      </c>
      <c r="Q131" s="391">
        <v>0</v>
      </c>
      <c r="R131" s="391">
        <v>0</v>
      </c>
      <c r="S131" s="391">
        <v>0</v>
      </c>
      <c r="T131" s="427">
        <f>20000000</f>
        <v>20000000</v>
      </c>
      <c r="U131" s="391">
        <v>0</v>
      </c>
      <c r="V131" s="391">
        <v>0</v>
      </c>
      <c r="W131" s="391">
        <v>0</v>
      </c>
      <c r="X131" s="391"/>
      <c r="Y131" s="391"/>
      <c r="Z131" s="391">
        <v>0</v>
      </c>
      <c r="AA131" s="391">
        <v>0</v>
      </c>
      <c r="AB131" s="391"/>
      <c r="AC131" s="391"/>
      <c r="AD131" s="391">
        <v>0</v>
      </c>
      <c r="AE131" s="391">
        <v>0</v>
      </c>
      <c r="AF131" s="392">
        <f>22000000+8000000</f>
        <v>30000000</v>
      </c>
      <c r="AG131" s="405"/>
      <c r="AH131" s="391">
        <v>0</v>
      </c>
      <c r="AI131" s="393"/>
      <c r="AJ131" s="420">
        <v>0</v>
      </c>
      <c r="AK131" s="391">
        <f>Q131+R131+S131+T131+U131+V131+W131+X131+Y131+Z131+AA131+AB131+AC131+AD131+AE131+AF131+AG131+AH131+AI131+AJ131</f>
        <v>50000000</v>
      </c>
    </row>
    <row r="132" spans="1:37" ht="67.5" customHeight="1" x14ac:dyDescent="0.2">
      <c r="A132" s="39"/>
      <c r="B132" s="39"/>
      <c r="C132" s="775"/>
      <c r="D132" s="778"/>
      <c r="E132" s="775"/>
      <c r="F132" s="775"/>
      <c r="G132" s="46"/>
      <c r="H132" s="54">
        <v>215</v>
      </c>
      <c r="I132" s="679" t="s">
        <v>193</v>
      </c>
      <c r="J132" s="41">
        <v>10</v>
      </c>
      <c r="K132" s="164">
        <v>3</v>
      </c>
      <c r="L132" s="785"/>
      <c r="M132" s="781"/>
      <c r="N132" s="775"/>
      <c r="O132" s="778"/>
      <c r="P132" s="166" t="s">
        <v>41</v>
      </c>
      <c r="Q132" s="391">
        <v>0</v>
      </c>
      <c r="R132" s="391">
        <v>0</v>
      </c>
      <c r="S132" s="391">
        <v>0</v>
      </c>
      <c r="T132" s="429">
        <v>70000000</v>
      </c>
      <c r="U132" s="391">
        <v>0</v>
      </c>
      <c r="V132" s="391">
        <v>0</v>
      </c>
      <c r="W132" s="391">
        <v>0</v>
      </c>
      <c r="X132" s="391"/>
      <c r="Y132" s="391"/>
      <c r="Z132" s="391">
        <v>0</v>
      </c>
      <c r="AA132" s="391">
        <v>0</v>
      </c>
      <c r="AB132" s="391"/>
      <c r="AC132" s="391"/>
      <c r="AD132" s="391">
        <v>0</v>
      </c>
      <c r="AE132" s="391">
        <v>0</v>
      </c>
      <c r="AF132" s="392"/>
      <c r="AG132" s="405"/>
      <c r="AH132" s="391">
        <v>0</v>
      </c>
      <c r="AI132" s="391"/>
      <c r="AJ132" s="391">
        <v>0</v>
      </c>
      <c r="AK132" s="391">
        <f>Q132+R132+S132+T132+U132+V132+W132+X132+Y132+Z132+AA132+AB132+AC132+AD132+AE132+AF132+AG132+AH132+AI132+AJ132</f>
        <v>70000000</v>
      </c>
    </row>
    <row r="133" spans="1:37" ht="67.5" customHeight="1" x14ac:dyDescent="0.2">
      <c r="A133" s="39"/>
      <c r="B133" s="39"/>
      <c r="C133" s="775"/>
      <c r="D133" s="779"/>
      <c r="E133" s="776"/>
      <c r="F133" s="776"/>
      <c r="G133" s="46"/>
      <c r="H133" s="54">
        <v>216</v>
      </c>
      <c r="I133" s="679" t="s">
        <v>194</v>
      </c>
      <c r="J133" s="54" t="s">
        <v>195</v>
      </c>
      <c r="K133" s="365">
        <v>2</v>
      </c>
      <c r="L133" s="785"/>
      <c r="M133" s="781"/>
      <c r="N133" s="775"/>
      <c r="O133" s="778"/>
      <c r="P133" s="166" t="s">
        <v>61</v>
      </c>
      <c r="Q133" s="391">
        <v>0</v>
      </c>
      <c r="R133" s="391">
        <v>0</v>
      </c>
      <c r="S133" s="391">
        <v>0</v>
      </c>
      <c r="T133" s="429">
        <f>150000000+635000000</f>
        <v>785000000</v>
      </c>
      <c r="U133" s="391">
        <v>0</v>
      </c>
      <c r="V133" s="391">
        <v>0</v>
      </c>
      <c r="W133" s="391">
        <v>0</v>
      </c>
      <c r="X133" s="391"/>
      <c r="Y133" s="391"/>
      <c r="Z133" s="391">
        <v>0</v>
      </c>
      <c r="AA133" s="391">
        <v>0</v>
      </c>
      <c r="AB133" s="391"/>
      <c r="AC133" s="391"/>
      <c r="AD133" s="391">
        <v>0</v>
      </c>
      <c r="AE133" s="391">
        <v>0</v>
      </c>
      <c r="AF133" s="392">
        <v>0</v>
      </c>
      <c r="AG133" s="405"/>
      <c r="AH133" s="391">
        <v>0</v>
      </c>
      <c r="AI133" s="393"/>
      <c r="AJ133" s="393">
        <v>0</v>
      </c>
      <c r="AK133" s="391">
        <f>Q133+R133+S133+T133+U133+V133+W133+X133+Y133+Z133+AA133+AB133+AC133+AD133+AE133+AF133+AG133+AH133+AI133+AJ133</f>
        <v>785000000</v>
      </c>
    </row>
    <row r="134" spans="1:37" ht="67.5" customHeight="1" x14ac:dyDescent="0.2">
      <c r="A134" s="39"/>
      <c r="B134" s="39"/>
      <c r="C134" s="775">
        <v>12</v>
      </c>
      <c r="D134" s="777" t="s">
        <v>196</v>
      </c>
      <c r="E134" s="775">
        <v>3166</v>
      </c>
      <c r="F134" s="775">
        <v>2500</v>
      </c>
      <c r="G134" s="46"/>
      <c r="H134" s="54">
        <v>217</v>
      </c>
      <c r="I134" s="679" t="s">
        <v>197</v>
      </c>
      <c r="J134" s="54" t="s">
        <v>195</v>
      </c>
      <c r="K134" s="365">
        <v>5</v>
      </c>
      <c r="L134" s="785"/>
      <c r="M134" s="781"/>
      <c r="N134" s="775"/>
      <c r="O134" s="778"/>
      <c r="P134" s="165" t="s">
        <v>46</v>
      </c>
      <c r="Q134" s="391">
        <v>0</v>
      </c>
      <c r="R134" s="391">
        <v>0</v>
      </c>
      <c r="S134" s="391">
        <v>0</v>
      </c>
      <c r="T134" s="642">
        <f>1693400000+3039835512.38+8159012</f>
        <v>4741394524.3800001</v>
      </c>
      <c r="U134" s="391"/>
      <c r="V134" s="391">
        <v>0</v>
      </c>
      <c r="W134" s="391">
        <v>0</v>
      </c>
      <c r="X134" s="391"/>
      <c r="Y134" s="391"/>
      <c r="Z134" s="391">
        <v>0</v>
      </c>
      <c r="AA134" s="391">
        <v>0</v>
      </c>
      <c r="AB134" s="391"/>
      <c r="AC134" s="391"/>
      <c r="AD134" s="391">
        <v>0</v>
      </c>
      <c r="AE134" s="391">
        <v>0</v>
      </c>
      <c r="AF134" s="392">
        <v>0</v>
      </c>
      <c r="AG134" s="405"/>
      <c r="AH134" s="391">
        <v>0</v>
      </c>
      <c r="AI134" s="393"/>
      <c r="AJ134" s="393">
        <v>0</v>
      </c>
      <c r="AK134" s="627">
        <f>Q134+R134+S134+T134+U134+V134+W134+X134+Y134+Z134+AA134+AB134+AC134+AD134+AE134+AF134+AG134+AH134+AI134+AJ134</f>
        <v>4741394524.3800001</v>
      </c>
    </row>
    <row r="135" spans="1:37" ht="49.5" customHeight="1" x14ac:dyDescent="0.2">
      <c r="A135" s="39"/>
      <c r="B135" s="39"/>
      <c r="C135" s="775"/>
      <c r="D135" s="778"/>
      <c r="E135" s="775"/>
      <c r="F135" s="775"/>
      <c r="G135" s="90"/>
      <c r="H135" s="54">
        <v>218</v>
      </c>
      <c r="I135" s="679" t="s">
        <v>198</v>
      </c>
      <c r="J135" s="41">
        <v>3</v>
      </c>
      <c r="K135" s="42">
        <v>3</v>
      </c>
      <c r="L135" s="786"/>
      <c r="M135" s="782"/>
      <c r="N135" s="776"/>
      <c r="O135" s="779"/>
      <c r="P135" s="165" t="s">
        <v>46</v>
      </c>
      <c r="Q135" s="391">
        <v>0</v>
      </c>
      <c r="R135" s="391">
        <v>0</v>
      </c>
      <c r="S135" s="391">
        <v>0</v>
      </c>
      <c r="T135" s="429">
        <v>260000000</v>
      </c>
      <c r="U135" s="391">
        <v>0</v>
      </c>
      <c r="V135" s="391">
        <v>0</v>
      </c>
      <c r="W135" s="391">
        <v>0</v>
      </c>
      <c r="X135" s="391"/>
      <c r="Y135" s="391"/>
      <c r="Z135" s="391">
        <v>0</v>
      </c>
      <c r="AA135" s="391">
        <v>0</v>
      </c>
      <c r="AB135" s="391"/>
      <c r="AC135" s="391"/>
      <c r="AD135" s="391">
        <v>0</v>
      </c>
      <c r="AE135" s="391">
        <v>0</v>
      </c>
      <c r="AF135" s="392">
        <v>0</v>
      </c>
      <c r="AG135" s="405"/>
      <c r="AH135" s="391">
        <v>0</v>
      </c>
      <c r="AI135" s="393"/>
      <c r="AJ135" s="393">
        <v>0</v>
      </c>
      <c r="AK135" s="391">
        <f>Q135+R135+S135+T135+U135+V135+W135+X135+Y135+Z135+AA135+AB135+AC135+AD135+AE135+AF135+AG135+AH135+AI135+AJ135</f>
        <v>260000000</v>
      </c>
    </row>
    <row r="136" spans="1:37" ht="30" customHeight="1" x14ac:dyDescent="0.2">
      <c r="A136" s="39"/>
      <c r="B136" s="39"/>
      <c r="C136" s="662"/>
      <c r="D136" s="657"/>
      <c r="E136" s="662"/>
      <c r="F136" s="662"/>
      <c r="G136" s="55"/>
      <c r="H136" s="56"/>
      <c r="I136" s="55"/>
      <c r="J136" s="57"/>
      <c r="K136" s="81"/>
      <c r="L136" s="81"/>
      <c r="M136" s="57"/>
      <c r="N136" s="56"/>
      <c r="O136" s="55"/>
      <c r="P136" s="56"/>
      <c r="Q136" s="400">
        <f t="shared" ref="Q136:AJ136" si="30">SUM(Q131:Q135)</f>
        <v>0</v>
      </c>
      <c r="R136" s="400">
        <f t="shared" si="30"/>
        <v>0</v>
      </c>
      <c r="S136" s="400">
        <f t="shared" si="30"/>
        <v>0</v>
      </c>
      <c r="T136" s="400">
        <f t="shared" si="30"/>
        <v>5876394524.3800001</v>
      </c>
      <c r="U136" s="400">
        <f t="shared" si="30"/>
        <v>0</v>
      </c>
      <c r="V136" s="400">
        <f t="shared" si="30"/>
        <v>0</v>
      </c>
      <c r="W136" s="400">
        <f t="shared" si="30"/>
        <v>0</v>
      </c>
      <c r="X136" s="400">
        <f t="shared" si="30"/>
        <v>0</v>
      </c>
      <c r="Y136" s="400">
        <f t="shared" si="30"/>
        <v>0</v>
      </c>
      <c r="Z136" s="400">
        <f t="shared" si="30"/>
        <v>0</v>
      </c>
      <c r="AA136" s="400">
        <f t="shared" si="30"/>
        <v>0</v>
      </c>
      <c r="AB136" s="400">
        <f t="shared" si="30"/>
        <v>0</v>
      </c>
      <c r="AC136" s="400">
        <f t="shared" si="30"/>
        <v>0</v>
      </c>
      <c r="AD136" s="400">
        <f t="shared" si="30"/>
        <v>0</v>
      </c>
      <c r="AE136" s="400">
        <f t="shared" si="30"/>
        <v>0</v>
      </c>
      <c r="AF136" s="400">
        <f t="shared" si="30"/>
        <v>30000000</v>
      </c>
      <c r="AG136" s="400">
        <f t="shared" si="30"/>
        <v>0</v>
      </c>
      <c r="AH136" s="400">
        <f t="shared" si="30"/>
        <v>0</v>
      </c>
      <c r="AI136" s="400">
        <f t="shared" si="30"/>
        <v>0</v>
      </c>
      <c r="AJ136" s="400">
        <f t="shared" si="30"/>
        <v>0</v>
      </c>
      <c r="AK136" s="630">
        <f>SUM(AK131:AK135)</f>
        <v>5906394524.3800001</v>
      </c>
    </row>
    <row r="137" spans="1:37" ht="30" customHeight="1" x14ac:dyDescent="0.2">
      <c r="A137" s="39"/>
      <c r="B137" s="39"/>
      <c r="C137" s="133"/>
      <c r="D137" s="69"/>
      <c r="E137" s="146"/>
      <c r="F137" s="146"/>
      <c r="G137" s="69"/>
      <c r="H137" s="146"/>
      <c r="I137" s="69"/>
      <c r="J137" s="70"/>
      <c r="K137" s="80"/>
      <c r="L137" s="80"/>
      <c r="M137" s="70"/>
      <c r="N137" s="146"/>
      <c r="O137" s="69"/>
      <c r="P137" s="146"/>
      <c r="Q137" s="395"/>
      <c r="R137" s="396"/>
      <c r="S137" s="395"/>
      <c r="T137" s="395"/>
      <c r="U137" s="395"/>
      <c r="V137" s="395"/>
      <c r="W137" s="395"/>
      <c r="X137" s="395"/>
      <c r="Y137" s="395"/>
      <c r="Z137" s="395"/>
      <c r="AA137" s="395"/>
      <c r="AB137" s="396"/>
      <c r="AC137" s="396"/>
      <c r="AD137" s="395"/>
      <c r="AE137" s="395"/>
      <c r="AF137" s="397"/>
      <c r="AG137" s="398"/>
      <c r="AH137" s="395"/>
      <c r="AI137" s="395"/>
      <c r="AJ137" s="396"/>
      <c r="AK137" s="629"/>
    </row>
    <row r="138" spans="1:37" ht="30" customHeight="1" x14ac:dyDescent="0.2">
      <c r="A138" s="39"/>
      <c r="B138" s="39"/>
      <c r="C138" s="661"/>
      <c r="D138" s="655"/>
      <c r="E138" s="661"/>
      <c r="F138" s="661"/>
      <c r="G138" s="75">
        <v>76</v>
      </c>
      <c r="H138" s="77" t="s">
        <v>199</v>
      </c>
      <c r="I138" s="158"/>
      <c r="J138" s="158"/>
      <c r="K138" s="89"/>
      <c r="L138" s="89"/>
      <c r="M138" s="158"/>
      <c r="N138" s="383"/>
      <c r="O138" s="158"/>
      <c r="P138" s="77"/>
      <c r="Q138" s="263"/>
      <c r="R138" s="263"/>
      <c r="S138" s="263"/>
      <c r="T138" s="263"/>
      <c r="U138" s="263"/>
      <c r="V138" s="263"/>
      <c r="W138" s="263"/>
      <c r="X138" s="263"/>
      <c r="Y138" s="263"/>
      <c r="Z138" s="263"/>
      <c r="AA138" s="263"/>
      <c r="AB138" s="263"/>
      <c r="AC138" s="263"/>
      <c r="AD138" s="263"/>
      <c r="AE138" s="263"/>
      <c r="AF138" s="404"/>
      <c r="AG138" s="263"/>
      <c r="AH138" s="263"/>
      <c r="AI138" s="263"/>
      <c r="AJ138" s="263"/>
      <c r="AK138" s="265"/>
    </row>
    <row r="139" spans="1:37" ht="74.25" customHeight="1" x14ac:dyDescent="0.2">
      <c r="A139" s="39"/>
      <c r="B139" s="39"/>
      <c r="C139" s="775">
        <v>10</v>
      </c>
      <c r="D139" s="778" t="s">
        <v>186</v>
      </c>
      <c r="E139" s="775" t="s">
        <v>187</v>
      </c>
      <c r="F139" s="775" t="s">
        <v>188</v>
      </c>
      <c r="G139" s="40"/>
      <c r="H139" s="54">
        <v>219</v>
      </c>
      <c r="I139" s="679" t="s">
        <v>200</v>
      </c>
      <c r="J139" s="41" t="s">
        <v>37</v>
      </c>
      <c r="K139" s="49">
        <v>11</v>
      </c>
      <c r="L139" s="785">
        <v>2017003630011</v>
      </c>
      <c r="M139" s="780" t="s">
        <v>201</v>
      </c>
      <c r="N139" s="774" t="s">
        <v>202</v>
      </c>
      <c r="O139" s="777" t="s">
        <v>958</v>
      </c>
      <c r="P139" s="54" t="s">
        <v>61</v>
      </c>
      <c r="Q139" s="391">
        <v>0</v>
      </c>
      <c r="R139" s="391">
        <v>0</v>
      </c>
      <c r="S139" s="391">
        <v>0</v>
      </c>
      <c r="T139" s="634">
        <f>250000000+250000000+11961488</f>
        <v>511961488</v>
      </c>
      <c r="U139" s="391">
        <v>0</v>
      </c>
      <c r="V139" s="391">
        <v>0</v>
      </c>
      <c r="W139" s="391">
        <v>0</v>
      </c>
      <c r="X139" s="391"/>
      <c r="Y139" s="391"/>
      <c r="Z139" s="391">
        <v>0</v>
      </c>
      <c r="AA139" s="391">
        <v>0</v>
      </c>
      <c r="AB139" s="391"/>
      <c r="AC139" s="391"/>
      <c r="AD139" s="391">
        <v>0</v>
      </c>
      <c r="AE139" s="391">
        <v>0</v>
      </c>
      <c r="AF139" s="392"/>
      <c r="AG139" s="392"/>
      <c r="AH139" s="391">
        <v>0</v>
      </c>
      <c r="AI139" s="393"/>
      <c r="AJ139" s="393">
        <v>0</v>
      </c>
      <c r="AK139" s="391">
        <f>Q139+R139+S139+T139+U139+V139+W139+X139+Y139+Z139+AA139+AB139+AC139+AD139+AE139+AF139+AG139+AH139+AI139+AJ139</f>
        <v>511961488</v>
      </c>
    </row>
    <row r="140" spans="1:37" ht="54" customHeight="1" x14ac:dyDescent="0.2">
      <c r="A140" s="39"/>
      <c r="B140" s="39"/>
      <c r="C140" s="776"/>
      <c r="D140" s="779"/>
      <c r="E140" s="776"/>
      <c r="F140" s="776"/>
      <c r="G140" s="46"/>
      <c r="H140" s="54">
        <v>220</v>
      </c>
      <c r="I140" s="679" t="s">
        <v>204</v>
      </c>
      <c r="J140" s="41">
        <v>0</v>
      </c>
      <c r="K140" s="47">
        <v>12</v>
      </c>
      <c r="L140" s="785"/>
      <c r="M140" s="781"/>
      <c r="N140" s="775"/>
      <c r="O140" s="778"/>
      <c r="P140" s="54" t="s">
        <v>61</v>
      </c>
      <c r="Q140" s="391">
        <v>0</v>
      </c>
      <c r="R140" s="391">
        <v>0</v>
      </c>
      <c r="S140" s="391">
        <v>0</v>
      </c>
      <c r="T140" s="392">
        <f>250000000+330000000</f>
        <v>580000000</v>
      </c>
      <c r="U140" s="391">
        <v>0</v>
      </c>
      <c r="V140" s="391">
        <v>0</v>
      </c>
      <c r="W140" s="391">
        <v>0</v>
      </c>
      <c r="X140" s="391"/>
      <c r="Y140" s="391"/>
      <c r="Z140" s="391">
        <v>0</v>
      </c>
      <c r="AA140" s="391">
        <v>0</v>
      </c>
      <c r="AB140" s="391"/>
      <c r="AC140" s="391"/>
      <c r="AD140" s="391">
        <v>0</v>
      </c>
      <c r="AE140" s="391">
        <v>0</v>
      </c>
      <c r="AF140" s="634">
        <f>100000000+80000000+60000000</f>
        <v>240000000</v>
      </c>
      <c r="AG140" s="392"/>
      <c r="AH140" s="391">
        <v>0</v>
      </c>
      <c r="AI140" s="393"/>
      <c r="AJ140" s="393">
        <v>0</v>
      </c>
      <c r="AK140" s="391">
        <f>Q140+R140+S140+T140+U140+V140+W140+X140+Y140+Z140+AA140+AB140+AC140+AD140+AE140+AF140+AG140+AH140+AI140+AJ140</f>
        <v>820000000</v>
      </c>
    </row>
    <row r="141" spans="1:37" ht="54" customHeight="1" x14ac:dyDescent="0.2">
      <c r="A141" s="39"/>
      <c r="B141" s="39"/>
      <c r="C141" s="774">
        <v>12</v>
      </c>
      <c r="D141" s="777" t="s">
        <v>196</v>
      </c>
      <c r="E141" s="774">
        <v>3166</v>
      </c>
      <c r="F141" s="774">
        <v>2500</v>
      </c>
      <c r="G141" s="46"/>
      <c r="H141" s="54">
        <v>221</v>
      </c>
      <c r="I141" s="679" t="s">
        <v>205</v>
      </c>
      <c r="J141" s="41">
        <v>1</v>
      </c>
      <c r="K141" s="42">
        <v>1</v>
      </c>
      <c r="L141" s="785"/>
      <c r="M141" s="781"/>
      <c r="N141" s="775"/>
      <c r="O141" s="778"/>
      <c r="P141" s="54" t="s">
        <v>46</v>
      </c>
      <c r="Q141" s="391">
        <v>0</v>
      </c>
      <c r="R141" s="391">
        <v>0</v>
      </c>
      <c r="S141" s="391">
        <v>0</v>
      </c>
      <c r="T141" s="392">
        <v>23300000</v>
      </c>
      <c r="U141" s="391">
        <v>0</v>
      </c>
      <c r="V141" s="391">
        <v>0</v>
      </c>
      <c r="W141" s="391">
        <v>0</v>
      </c>
      <c r="X141" s="391"/>
      <c r="Y141" s="391"/>
      <c r="Z141" s="391">
        <v>0</v>
      </c>
      <c r="AA141" s="391">
        <v>0</v>
      </c>
      <c r="AB141" s="391"/>
      <c r="AC141" s="391"/>
      <c r="AD141" s="391">
        <v>0</v>
      </c>
      <c r="AE141" s="391">
        <v>0</v>
      </c>
      <c r="AF141" s="392">
        <v>8000000</v>
      </c>
      <c r="AG141" s="392"/>
      <c r="AH141" s="391">
        <v>0</v>
      </c>
      <c r="AI141" s="393"/>
      <c r="AJ141" s="393">
        <v>0</v>
      </c>
      <c r="AK141" s="391">
        <f>Q141+R141+S141+T141+U141+V141+W141+X141+Y141+Z141+AA141+AB141+AC141+AD141+AE141+AF141+AG141+AH141+AI141+AJ141</f>
        <v>31300000</v>
      </c>
    </row>
    <row r="142" spans="1:37" ht="54" customHeight="1" x14ac:dyDescent="0.2">
      <c r="A142" s="39"/>
      <c r="B142" s="39"/>
      <c r="C142" s="775"/>
      <c r="D142" s="778"/>
      <c r="E142" s="775"/>
      <c r="F142" s="775"/>
      <c r="G142" s="90"/>
      <c r="H142" s="54">
        <v>222</v>
      </c>
      <c r="I142" s="679" t="s">
        <v>206</v>
      </c>
      <c r="J142" s="41">
        <v>1</v>
      </c>
      <c r="K142" s="42">
        <v>1</v>
      </c>
      <c r="L142" s="786"/>
      <c r="M142" s="782"/>
      <c r="N142" s="776"/>
      <c r="O142" s="779"/>
      <c r="P142" s="54" t="s">
        <v>46</v>
      </c>
      <c r="Q142" s="391">
        <v>0</v>
      </c>
      <c r="R142" s="391">
        <v>0</v>
      </c>
      <c r="S142" s="391">
        <v>0</v>
      </c>
      <c r="T142" s="391">
        <v>23300000</v>
      </c>
      <c r="U142" s="391">
        <v>0</v>
      </c>
      <c r="V142" s="391">
        <v>0</v>
      </c>
      <c r="W142" s="391">
        <v>0</v>
      </c>
      <c r="X142" s="391"/>
      <c r="Y142" s="391"/>
      <c r="Z142" s="391">
        <v>0</v>
      </c>
      <c r="AA142" s="391">
        <v>0</v>
      </c>
      <c r="AB142" s="391"/>
      <c r="AC142" s="391"/>
      <c r="AD142" s="391">
        <v>0</v>
      </c>
      <c r="AE142" s="391">
        <v>0</v>
      </c>
      <c r="AF142" s="394">
        <v>12000000</v>
      </c>
      <c r="AG142" s="394"/>
      <c r="AH142" s="391">
        <v>0</v>
      </c>
      <c r="AI142" s="393"/>
      <c r="AJ142" s="393">
        <v>0</v>
      </c>
      <c r="AK142" s="391">
        <f>Q142+R142+S142+T142+U142+V142+W142+X142+Y142+Z142+AA142+AB142+AC142+AD142+AE142+AF142+AG142+AH142+AI142+AJ142</f>
        <v>35300000</v>
      </c>
    </row>
    <row r="143" spans="1:37" ht="30" customHeight="1" x14ac:dyDescent="0.2">
      <c r="A143" s="39"/>
      <c r="B143" s="52"/>
      <c r="C143" s="662"/>
      <c r="D143" s="657"/>
      <c r="E143" s="662"/>
      <c r="F143" s="662"/>
      <c r="G143" s="332"/>
      <c r="H143" s="560"/>
      <c r="I143" s="332"/>
      <c r="J143" s="332"/>
      <c r="K143" s="559"/>
      <c r="L143" s="559"/>
      <c r="M143" s="332"/>
      <c r="N143" s="560"/>
      <c r="O143" s="332"/>
      <c r="P143" s="332"/>
      <c r="Q143" s="487">
        <f t="shared" ref="Q143:AJ143" si="31">SUM(Q139:Q142)</f>
        <v>0</v>
      </c>
      <c r="R143" s="487">
        <f t="shared" si="31"/>
        <v>0</v>
      </c>
      <c r="S143" s="487">
        <f t="shared" si="31"/>
        <v>0</v>
      </c>
      <c r="T143" s="487">
        <f t="shared" si="31"/>
        <v>1138561488</v>
      </c>
      <c r="U143" s="487">
        <f t="shared" si="31"/>
        <v>0</v>
      </c>
      <c r="V143" s="487">
        <f t="shared" si="31"/>
        <v>0</v>
      </c>
      <c r="W143" s="487">
        <f t="shared" si="31"/>
        <v>0</v>
      </c>
      <c r="X143" s="487">
        <f t="shared" si="31"/>
        <v>0</v>
      </c>
      <c r="Y143" s="487">
        <f t="shared" si="31"/>
        <v>0</v>
      </c>
      <c r="Z143" s="487">
        <f t="shared" si="31"/>
        <v>0</v>
      </c>
      <c r="AA143" s="487">
        <f t="shared" si="31"/>
        <v>0</v>
      </c>
      <c r="AB143" s="487">
        <f t="shared" si="31"/>
        <v>0</v>
      </c>
      <c r="AC143" s="487">
        <f t="shared" si="31"/>
        <v>0</v>
      </c>
      <c r="AD143" s="487">
        <f t="shared" si="31"/>
        <v>0</v>
      </c>
      <c r="AE143" s="487">
        <f t="shared" si="31"/>
        <v>0</v>
      </c>
      <c r="AF143" s="487">
        <f t="shared" si="31"/>
        <v>260000000</v>
      </c>
      <c r="AG143" s="487">
        <f t="shared" si="31"/>
        <v>0</v>
      </c>
      <c r="AH143" s="487">
        <f t="shared" si="31"/>
        <v>0</v>
      </c>
      <c r="AI143" s="487">
        <f t="shared" si="31"/>
        <v>0</v>
      </c>
      <c r="AJ143" s="487">
        <f t="shared" si="31"/>
        <v>0</v>
      </c>
      <c r="AK143" s="487">
        <f t="shared" ref="AK143" si="32">SUM(AK139:AK142)</f>
        <v>1398561488</v>
      </c>
    </row>
    <row r="144" spans="1:37" ht="30" customHeight="1" x14ac:dyDescent="0.2">
      <c r="A144" s="39"/>
      <c r="B144" s="59"/>
      <c r="C144" s="95"/>
      <c r="D144" s="59"/>
      <c r="E144" s="60"/>
      <c r="F144" s="60"/>
      <c r="G144" s="59"/>
      <c r="H144" s="60"/>
      <c r="I144" s="59"/>
      <c r="J144" s="61"/>
      <c r="K144" s="98"/>
      <c r="L144" s="98"/>
      <c r="M144" s="61"/>
      <c r="N144" s="60"/>
      <c r="O144" s="59"/>
      <c r="P144" s="60"/>
      <c r="Q144" s="406">
        <f t="shared" ref="Q144:AK144" si="33">Q143+Q136</f>
        <v>0</v>
      </c>
      <c r="R144" s="406">
        <f t="shared" si="33"/>
        <v>0</v>
      </c>
      <c r="S144" s="406">
        <f t="shared" si="33"/>
        <v>0</v>
      </c>
      <c r="T144" s="406">
        <f t="shared" si="33"/>
        <v>7014956012.3800001</v>
      </c>
      <c r="U144" s="406">
        <f t="shared" si="33"/>
        <v>0</v>
      </c>
      <c r="V144" s="406">
        <f t="shared" si="33"/>
        <v>0</v>
      </c>
      <c r="W144" s="406">
        <f t="shared" si="33"/>
        <v>0</v>
      </c>
      <c r="X144" s="406">
        <f t="shared" si="33"/>
        <v>0</v>
      </c>
      <c r="Y144" s="406">
        <f t="shared" si="33"/>
        <v>0</v>
      </c>
      <c r="Z144" s="406">
        <f t="shared" si="33"/>
        <v>0</v>
      </c>
      <c r="AA144" s="406">
        <f t="shared" si="33"/>
        <v>0</v>
      </c>
      <c r="AB144" s="406">
        <f t="shared" si="33"/>
        <v>0</v>
      </c>
      <c r="AC144" s="406">
        <f t="shared" si="33"/>
        <v>0</v>
      </c>
      <c r="AD144" s="406">
        <f t="shared" si="33"/>
        <v>0</v>
      </c>
      <c r="AE144" s="406">
        <f t="shared" si="33"/>
        <v>0</v>
      </c>
      <c r="AF144" s="406">
        <f t="shared" si="33"/>
        <v>290000000</v>
      </c>
      <c r="AG144" s="406">
        <f t="shared" si="33"/>
        <v>0</v>
      </c>
      <c r="AH144" s="406">
        <f t="shared" si="33"/>
        <v>0</v>
      </c>
      <c r="AI144" s="406">
        <f t="shared" si="33"/>
        <v>0</v>
      </c>
      <c r="AJ144" s="406">
        <f t="shared" si="33"/>
        <v>0</v>
      </c>
      <c r="AK144" s="406">
        <f t="shared" si="33"/>
        <v>7304956012.3800001</v>
      </c>
    </row>
    <row r="145" spans="1:37" ht="30" customHeight="1" x14ac:dyDescent="0.2">
      <c r="A145" s="39"/>
      <c r="B145" s="679"/>
      <c r="C145" s="146"/>
      <c r="D145" s="69"/>
      <c r="E145" s="146"/>
      <c r="F145" s="146"/>
      <c r="G145" s="69"/>
      <c r="H145" s="146"/>
      <c r="I145" s="69"/>
      <c r="J145" s="70"/>
      <c r="K145" s="80"/>
      <c r="L145" s="167"/>
      <c r="M145" s="115"/>
      <c r="N145" s="390"/>
      <c r="O145" s="99"/>
      <c r="P145" s="146"/>
      <c r="Q145" s="395"/>
      <c r="R145" s="396"/>
      <c r="S145" s="395"/>
      <c r="T145" s="395"/>
      <c r="U145" s="395"/>
      <c r="V145" s="395"/>
      <c r="W145" s="395"/>
      <c r="X145" s="395"/>
      <c r="Y145" s="395"/>
      <c r="Z145" s="395"/>
      <c r="AA145" s="395"/>
      <c r="AB145" s="396"/>
      <c r="AC145" s="396"/>
      <c r="AD145" s="395"/>
      <c r="AE145" s="395"/>
      <c r="AF145" s="397"/>
      <c r="AG145" s="398"/>
      <c r="AH145" s="395"/>
      <c r="AI145" s="395"/>
      <c r="AJ145" s="396"/>
      <c r="AK145" s="395"/>
    </row>
    <row r="146" spans="1:37" ht="30" customHeight="1" x14ac:dyDescent="0.2">
      <c r="A146" s="39"/>
      <c r="B146" s="148">
        <v>24</v>
      </c>
      <c r="C146" s="35" t="s">
        <v>207</v>
      </c>
      <c r="D146" s="36"/>
      <c r="E146" s="36"/>
      <c r="F146" s="36"/>
      <c r="G146" s="36"/>
      <c r="H146" s="37"/>
      <c r="I146" s="36"/>
      <c r="J146" s="36"/>
      <c r="K146" s="88"/>
      <c r="L146" s="88"/>
      <c r="M146" s="36"/>
      <c r="N146" s="37"/>
      <c r="O146" s="36"/>
      <c r="P146" s="36"/>
      <c r="Q146" s="402"/>
      <c r="R146" s="402"/>
      <c r="S146" s="402"/>
      <c r="T146" s="402"/>
      <c r="U146" s="402"/>
      <c r="V146" s="402"/>
      <c r="W146" s="402"/>
      <c r="X146" s="402"/>
      <c r="Y146" s="402"/>
      <c r="Z146" s="402"/>
      <c r="AA146" s="402"/>
      <c r="AB146" s="402"/>
      <c r="AC146" s="402"/>
      <c r="AD146" s="402"/>
      <c r="AE146" s="402"/>
      <c r="AF146" s="403"/>
      <c r="AG146" s="402"/>
      <c r="AH146" s="402"/>
      <c r="AI146" s="402"/>
      <c r="AJ146" s="402"/>
      <c r="AK146" s="407"/>
    </row>
    <row r="147" spans="1:37" ht="30" customHeight="1" x14ac:dyDescent="0.2">
      <c r="A147" s="39"/>
      <c r="B147" s="40"/>
      <c r="C147" s="661"/>
      <c r="D147" s="519"/>
      <c r="E147" s="519"/>
      <c r="F147" s="519"/>
      <c r="G147" s="199">
        <v>78</v>
      </c>
      <c r="H147" s="103" t="s">
        <v>208</v>
      </c>
      <c r="I147" s="103"/>
      <c r="J147" s="103"/>
      <c r="K147" s="104"/>
      <c r="L147" s="104"/>
      <c r="M147" s="103"/>
      <c r="N147" s="381"/>
      <c r="O147" s="103"/>
      <c r="P147" s="103"/>
      <c r="Q147" s="408"/>
      <c r="R147" s="408"/>
      <c r="S147" s="408"/>
      <c r="T147" s="408"/>
      <c r="U147" s="408"/>
      <c r="V147" s="408"/>
      <c r="W147" s="408"/>
      <c r="X147" s="408"/>
      <c r="Y147" s="408"/>
      <c r="Z147" s="408"/>
      <c r="AA147" s="408"/>
      <c r="AB147" s="408"/>
      <c r="AC147" s="408"/>
      <c r="AD147" s="408"/>
      <c r="AE147" s="408"/>
      <c r="AF147" s="409"/>
      <c r="AG147" s="408"/>
      <c r="AH147" s="408"/>
      <c r="AI147" s="408"/>
      <c r="AJ147" s="408"/>
      <c r="AK147" s="410"/>
    </row>
    <row r="148" spans="1:37" ht="66" customHeight="1" x14ac:dyDescent="0.2">
      <c r="A148" s="39"/>
      <c r="B148" s="46"/>
      <c r="C148" s="775">
        <v>13</v>
      </c>
      <c r="D148" s="778" t="s">
        <v>209</v>
      </c>
      <c r="E148" s="775" t="s">
        <v>210</v>
      </c>
      <c r="F148" s="775" t="s">
        <v>211</v>
      </c>
      <c r="G148" s="40"/>
      <c r="H148" s="54">
        <v>226</v>
      </c>
      <c r="I148" s="679" t="s">
        <v>212</v>
      </c>
      <c r="J148" s="41">
        <v>12</v>
      </c>
      <c r="K148" s="42">
        <v>12</v>
      </c>
      <c r="L148" s="784">
        <v>2017003630018</v>
      </c>
      <c r="M148" s="780" t="s">
        <v>213</v>
      </c>
      <c r="N148" s="774" t="s">
        <v>214</v>
      </c>
      <c r="O148" s="777" t="s">
        <v>215</v>
      </c>
      <c r="P148" s="165" t="s">
        <v>46</v>
      </c>
      <c r="Q148" s="391">
        <v>0</v>
      </c>
      <c r="R148" s="391">
        <v>0</v>
      </c>
      <c r="S148" s="391">
        <v>0</v>
      </c>
      <c r="T148" s="391">
        <v>0</v>
      </c>
      <c r="U148" s="391">
        <v>0</v>
      </c>
      <c r="V148" s="391">
        <v>0</v>
      </c>
      <c r="W148" s="391">
        <v>0</v>
      </c>
      <c r="X148" s="391"/>
      <c r="Y148" s="391"/>
      <c r="Z148" s="391">
        <v>0</v>
      </c>
      <c r="AA148" s="391">
        <v>0</v>
      </c>
      <c r="AB148" s="391"/>
      <c r="AC148" s="391"/>
      <c r="AD148" s="391">
        <v>0</v>
      </c>
      <c r="AE148" s="391">
        <v>0</v>
      </c>
      <c r="AF148" s="392">
        <f>170000000+40000000</f>
        <v>210000000</v>
      </c>
      <c r="AG148" s="392"/>
      <c r="AH148" s="391">
        <v>0</v>
      </c>
      <c r="AI148" s="393"/>
      <c r="AJ148" s="393">
        <v>0</v>
      </c>
      <c r="AK148" s="391">
        <f>Q148+R148+S148+T148+U148+V148+W148+X148+Y148+Z148+AA148+AB148+AC148+AD148+AE148+AF148+AG148+AH148+AI148+AJ148</f>
        <v>210000000</v>
      </c>
    </row>
    <row r="149" spans="1:37" ht="66" customHeight="1" x14ac:dyDescent="0.2">
      <c r="A149" s="39"/>
      <c r="B149" s="46"/>
      <c r="C149" s="775"/>
      <c r="D149" s="778"/>
      <c r="E149" s="775"/>
      <c r="F149" s="775"/>
      <c r="G149" s="46"/>
      <c r="H149" s="54">
        <v>227</v>
      </c>
      <c r="I149" s="679" t="s">
        <v>216</v>
      </c>
      <c r="J149" s="41">
        <v>12</v>
      </c>
      <c r="K149" s="42">
        <v>12</v>
      </c>
      <c r="L149" s="785"/>
      <c r="M149" s="781"/>
      <c r="N149" s="775"/>
      <c r="O149" s="778"/>
      <c r="P149" s="165" t="s">
        <v>46</v>
      </c>
      <c r="Q149" s="391">
        <v>0</v>
      </c>
      <c r="R149" s="391">
        <v>0</v>
      </c>
      <c r="S149" s="391">
        <v>0</v>
      </c>
      <c r="T149" s="391">
        <v>0</v>
      </c>
      <c r="U149" s="391">
        <v>0</v>
      </c>
      <c r="V149" s="391">
        <v>0</v>
      </c>
      <c r="W149" s="391">
        <v>0</v>
      </c>
      <c r="X149" s="391"/>
      <c r="Y149" s="391"/>
      <c r="Z149" s="391">
        <v>0</v>
      </c>
      <c r="AA149" s="391">
        <v>0</v>
      </c>
      <c r="AB149" s="391"/>
      <c r="AC149" s="391"/>
      <c r="AD149" s="391">
        <v>0</v>
      </c>
      <c r="AE149" s="391">
        <v>0</v>
      </c>
      <c r="AF149" s="392">
        <v>190000000</v>
      </c>
      <c r="AG149" s="392"/>
      <c r="AH149" s="391">
        <v>0</v>
      </c>
      <c r="AI149" s="393"/>
      <c r="AJ149" s="393">
        <v>0</v>
      </c>
      <c r="AK149" s="391">
        <f>Q149+R149+S149+T149+U149+V149+W149+X149+Y149+Z149+AA149+AB149+AC149+AD149+AE149+AF149+AG149+AH149+AI149+AJ149</f>
        <v>190000000</v>
      </c>
    </row>
    <row r="150" spans="1:37" ht="66" customHeight="1" x14ac:dyDescent="0.2">
      <c r="A150" s="39"/>
      <c r="B150" s="46"/>
      <c r="C150" s="775"/>
      <c r="D150" s="778"/>
      <c r="E150" s="775"/>
      <c r="F150" s="775"/>
      <c r="G150" s="46"/>
      <c r="H150" s="54">
        <v>228</v>
      </c>
      <c r="I150" s="679" t="s">
        <v>217</v>
      </c>
      <c r="J150" s="41">
        <v>2</v>
      </c>
      <c r="K150" s="42">
        <v>2</v>
      </c>
      <c r="L150" s="785"/>
      <c r="M150" s="781"/>
      <c r="N150" s="775"/>
      <c r="O150" s="778"/>
      <c r="P150" s="165" t="s">
        <v>46</v>
      </c>
      <c r="Q150" s="391">
        <v>0</v>
      </c>
      <c r="R150" s="391">
        <v>0</v>
      </c>
      <c r="S150" s="391">
        <v>0</v>
      </c>
      <c r="T150" s="391">
        <v>0</v>
      </c>
      <c r="U150" s="391">
        <v>0</v>
      </c>
      <c r="V150" s="391">
        <v>0</v>
      </c>
      <c r="W150" s="391">
        <v>0</v>
      </c>
      <c r="X150" s="391"/>
      <c r="Y150" s="391"/>
      <c r="Z150" s="391">
        <v>0</v>
      </c>
      <c r="AA150" s="391">
        <v>0</v>
      </c>
      <c r="AB150" s="391"/>
      <c r="AC150" s="391"/>
      <c r="AD150" s="391">
        <v>0</v>
      </c>
      <c r="AE150" s="391">
        <v>0</v>
      </c>
      <c r="AF150" s="392">
        <f>30000000+5000000</f>
        <v>35000000</v>
      </c>
      <c r="AG150" s="392"/>
      <c r="AH150" s="391">
        <v>0</v>
      </c>
      <c r="AI150" s="393"/>
      <c r="AJ150" s="393">
        <v>0</v>
      </c>
      <c r="AK150" s="391">
        <f>Q150+R150+S150+T150+U150+V150+W150+X150+Y150+Z150+AA150+AB150+AC150+AD150+AE150+AF150+AG150+AH150+AI150+AJ150</f>
        <v>35000000</v>
      </c>
    </row>
    <row r="151" spans="1:37" ht="66" customHeight="1" x14ac:dyDescent="0.2">
      <c r="A151" s="39"/>
      <c r="B151" s="46"/>
      <c r="C151" s="775"/>
      <c r="D151" s="778"/>
      <c r="E151" s="775"/>
      <c r="F151" s="775"/>
      <c r="G151" s="46"/>
      <c r="H151" s="54">
        <v>229</v>
      </c>
      <c r="I151" s="679" t="s">
        <v>218</v>
      </c>
      <c r="J151" s="170">
        <v>13</v>
      </c>
      <c r="K151" s="42">
        <v>13</v>
      </c>
      <c r="L151" s="785"/>
      <c r="M151" s="781"/>
      <c r="N151" s="775"/>
      <c r="O151" s="778"/>
      <c r="P151" s="165" t="s">
        <v>46</v>
      </c>
      <c r="Q151" s="391">
        <v>0</v>
      </c>
      <c r="R151" s="391">
        <v>0</v>
      </c>
      <c r="S151" s="391">
        <v>0</v>
      </c>
      <c r="T151" s="391">
        <v>0</v>
      </c>
      <c r="U151" s="391">
        <v>0</v>
      </c>
      <c r="V151" s="391">
        <v>0</v>
      </c>
      <c r="W151" s="391">
        <v>0</v>
      </c>
      <c r="X151" s="391"/>
      <c r="Y151" s="391"/>
      <c r="Z151" s="391">
        <v>0</v>
      </c>
      <c r="AA151" s="391">
        <v>0</v>
      </c>
      <c r="AB151" s="391"/>
      <c r="AC151" s="391"/>
      <c r="AD151" s="391">
        <v>0</v>
      </c>
      <c r="AE151" s="391">
        <v>0</v>
      </c>
      <c r="AF151" s="392">
        <f>35000000+2500000</f>
        <v>37500000</v>
      </c>
      <c r="AG151" s="392"/>
      <c r="AH151" s="391">
        <v>0</v>
      </c>
      <c r="AI151" s="393"/>
      <c r="AJ151" s="393">
        <v>0</v>
      </c>
      <c r="AK151" s="391">
        <f>Q151+R151+S151+T151+U151+V151+W151+X151+Y151+Z151+AA151+AB151+AC151+AD151+AE151+AF151+AG151+AH151+AI151+AJ151</f>
        <v>37500000</v>
      </c>
    </row>
    <row r="152" spans="1:37" ht="66" customHeight="1" x14ac:dyDescent="0.2">
      <c r="A152" s="39"/>
      <c r="B152" s="46"/>
      <c r="C152" s="775"/>
      <c r="D152" s="778"/>
      <c r="E152" s="775"/>
      <c r="F152" s="775"/>
      <c r="G152" s="46"/>
      <c r="H152" s="54">
        <v>230</v>
      </c>
      <c r="I152" s="679" t="s">
        <v>219</v>
      </c>
      <c r="J152" s="41">
        <v>0</v>
      </c>
      <c r="K152" s="42">
        <v>1</v>
      </c>
      <c r="L152" s="786"/>
      <c r="M152" s="782"/>
      <c r="N152" s="776"/>
      <c r="O152" s="779"/>
      <c r="P152" s="165" t="s">
        <v>46</v>
      </c>
      <c r="Q152" s="391">
        <v>0</v>
      </c>
      <c r="R152" s="391">
        <v>0</v>
      </c>
      <c r="S152" s="391">
        <v>0</v>
      </c>
      <c r="T152" s="391">
        <v>0</v>
      </c>
      <c r="U152" s="391">
        <v>0</v>
      </c>
      <c r="V152" s="391">
        <v>0</v>
      </c>
      <c r="W152" s="391">
        <v>0</v>
      </c>
      <c r="X152" s="391"/>
      <c r="Y152" s="391"/>
      <c r="Z152" s="391">
        <v>0</v>
      </c>
      <c r="AA152" s="391">
        <v>0</v>
      </c>
      <c r="AB152" s="391"/>
      <c r="AC152" s="391"/>
      <c r="AD152" s="391">
        <v>0</v>
      </c>
      <c r="AE152" s="391">
        <v>0</v>
      </c>
      <c r="AF152" s="392">
        <f>24000000+2500000</f>
        <v>26500000</v>
      </c>
      <c r="AG152" s="392"/>
      <c r="AH152" s="391">
        <v>0</v>
      </c>
      <c r="AI152" s="393"/>
      <c r="AJ152" s="393">
        <v>0</v>
      </c>
      <c r="AK152" s="391">
        <f>Q152+R152+S152+T152+U152+V152+W152+X152+Y152+Z152+AA152+AB152+AC152+AD152+AE152+AF152+AG152+AH152+AI152+AJ152</f>
        <v>26500000</v>
      </c>
    </row>
    <row r="153" spans="1:37" ht="30" customHeight="1" x14ac:dyDescent="0.2">
      <c r="A153" s="39"/>
      <c r="B153" s="46"/>
      <c r="C153" s="662"/>
      <c r="D153" s="657"/>
      <c r="E153" s="662"/>
      <c r="F153" s="662"/>
      <c r="G153" s="55"/>
      <c r="H153" s="56"/>
      <c r="I153" s="55"/>
      <c r="J153" s="57"/>
      <c r="K153" s="171"/>
      <c r="L153" s="172"/>
      <c r="M153" s="173"/>
      <c r="N153" s="56"/>
      <c r="O153" s="55"/>
      <c r="P153" s="56"/>
      <c r="Q153" s="400">
        <f t="shared" ref="Q153:AK153" si="34">SUM(Q148:Q152)</f>
        <v>0</v>
      </c>
      <c r="R153" s="400">
        <f t="shared" si="34"/>
        <v>0</v>
      </c>
      <c r="S153" s="400">
        <f t="shared" si="34"/>
        <v>0</v>
      </c>
      <c r="T153" s="400">
        <f t="shared" si="34"/>
        <v>0</v>
      </c>
      <c r="U153" s="400">
        <f t="shared" si="34"/>
        <v>0</v>
      </c>
      <c r="V153" s="400">
        <f t="shared" si="34"/>
        <v>0</v>
      </c>
      <c r="W153" s="400">
        <f t="shared" si="34"/>
        <v>0</v>
      </c>
      <c r="X153" s="400">
        <f t="shared" si="34"/>
        <v>0</v>
      </c>
      <c r="Y153" s="400">
        <f t="shared" si="34"/>
        <v>0</v>
      </c>
      <c r="Z153" s="400">
        <f t="shared" si="34"/>
        <v>0</v>
      </c>
      <c r="AA153" s="400">
        <f t="shared" si="34"/>
        <v>0</v>
      </c>
      <c r="AB153" s="400">
        <f t="shared" si="34"/>
        <v>0</v>
      </c>
      <c r="AC153" s="400">
        <f t="shared" si="34"/>
        <v>0</v>
      </c>
      <c r="AD153" s="400">
        <f t="shared" si="34"/>
        <v>0</v>
      </c>
      <c r="AE153" s="400">
        <f t="shared" si="34"/>
        <v>0</v>
      </c>
      <c r="AF153" s="400">
        <f t="shared" si="34"/>
        <v>499000000</v>
      </c>
      <c r="AG153" s="400">
        <f t="shared" si="34"/>
        <v>0</v>
      </c>
      <c r="AH153" s="400">
        <f t="shared" si="34"/>
        <v>0</v>
      </c>
      <c r="AI153" s="400">
        <f t="shared" si="34"/>
        <v>0</v>
      </c>
      <c r="AJ153" s="400">
        <f t="shared" si="34"/>
        <v>0</v>
      </c>
      <c r="AK153" s="400">
        <f t="shared" si="34"/>
        <v>499000000</v>
      </c>
    </row>
    <row r="154" spans="1:37" ht="30" customHeight="1" x14ac:dyDescent="0.2">
      <c r="A154" s="39"/>
      <c r="B154" s="46"/>
      <c r="C154" s="146"/>
      <c r="D154" s="69"/>
      <c r="E154" s="146"/>
      <c r="F154" s="146"/>
      <c r="G154" s="69"/>
      <c r="H154" s="146"/>
      <c r="I154" s="69"/>
      <c r="J154" s="70"/>
      <c r="K154" s="174"/>
      <c r="L154" s="175"/>
      <c r="M154" s="176"/>
      <c r="N154" s="390"/>
      <c r="O154" s="99"/>
      <c r="P154" s="146"/>
      <c r="Q154" s="395"/>
      <c r="R154" s="396"/>
      <c r="S154" s="395"/>
      <c r="T154" s="395"/>
      <c r="U154" s="395"/>
      <c r="V154" s="395"/>
      <c r="W154" s="395"/>
      <c r="X154" s="395"/>
      <c r="Y154" s="395"/>
      <c r="Z154" s="395"/>
      <c r="AA154" s="395"/>
      <c r="AB154" s="396"/>
      <c r="AC154" s="396"/>
      <c r="AD154" s="395"/>
      <c r="AE154" s="395"/>
      <c r="AF154" s="431"/>
      <c r="AG154" s="430"/>
      <c r="AH154" s="395"/>
      <c r="AI154" s="395"/>
      <c r="AJ154" s="396"/>
      <c r="AK154" s="395"/>
    </row>
    <row r="155" spans="1:37" ht="30" customHeight="1" x14ac:dyDescent="0.2">
      <c r="A155" s="39"/>
      <c r="B155" s="46"/>
      <c r="C155" s="661"/>
      <c r="D155" s="655"/>
      <c r="E155" s="661"/>
      <c r="F155" s="661"/>
      <c r="G155" s="136">
        <v>79</v>
      </c>
      <c r="H155" s="168" t="s">
        <v>220</v>
      </c>
      <c r="I155" s="77"/>
      <c r="J155" s="77"/>
      <c r="K155" s="89"/>
      <c r="L155" s="89"/>
      <c r="M155" s="77"/>
      <c r="N155" s="169"/>
      <c r="O155" s="77"/>
      <c r="P155" s="77"/>
      <c r="Q155" s="432"/>
      <c r="R155" s="432"/>
      <c r="S155" s="432"/>
      <c r="T155" s="432"/>
      <c r="U155" s="432"/>
      <c r="V155" s="432"/>
      <c r="W155" s="432"/>
      <c r="X155" s="432"/>
      <c r="Y155" s="432"/>
      <c r="Z155" s="432"/>
      <c r="AA155" s="432"/>
      <c r="AB155" s="432"/>
      <c r="AC155" s="432"/>
      <c r="AD155" s="432"/>
      <c r="AE155" s="432"/>
      <c r="AF155" s="433"/>
      <c r="AG155" s="432"/>
      <c r="AH155" s="432"/>
      <c r="AI155" s="432"/>
      <c r="AJ155" s="432"/>
      <c r="AK155" s="265"/>
    </row>
    <row r="156" spans="1:37" ht="62.25" customHeight="1" x14ac:dyDescent="0.2">
      <c r="A156" s="39"/>
      <c r="B156" s="46"/>
      <c r="C156" s="775">
        <v>13</v>
      </c>
      <c r="D156" s="778" t="s">
        <v>209</v>
      </c>
      <c r="E156" s="775" t="s">
        <v>210</v>
      </c>
      <c r="F156" s="775" t="s">
        <v>211</v>
      </c>
      <c r="G156" s="40"/>
      <c r="H156" s="54">
        <v>231</v>
      </c>
      <c r="I156" s="679" t="s">
        <v>221</v>
      </c>
      <c r="J156" s="41">
        <v>1</v>
      </c>
      <c r="K156" s="42">
        <v>1</v>
      </c>
      <c r="L156" s="784">
        <v>2017003630012</v>
      </c>
      <c r="M156" s="780" t="s">
        <v>213</v>
      </c>
      <c r="N156" s="774" t="s">
        <v>222</v>
      </c>
      <c r="O156" s="777" t="s">
        <v>959</v>
      </c>
      <c r="P156" s="54" t="s">
        <v>46</v>
      </c>
      <c r="Q156" s="391">
        <v>0</v>
      </c>
      <c r="R156" s="391">
        <v>0</v>
      </c>
      <c r="S156" s="391">
        <v>0</v>
      </c>
      <c r="T156" s="391">
        <v>0</v>
      </c>
      <c r="U156" s="391">
        <v>0</v>
      </c>
      <c r="V156" s="391">
        <v>0</v>
      </c>
      <c r="W156" s="391">
        <v>0</v>
      </c>
      <c r="X156" s="391"/>
      <c r="Y156" s="391"/>
      <c r="Z156" s="391">
        <v>0</v>
      </c>
      <c r="AA156" s="391">
        <v>0</v>
      </c>
      <c r="AB156" s="391"/>
      <c r="AC156" s="391"/>
      <c r="AD156" s="391">
        <v>0</v>
      </c>
      <c r="AE156" s="391">
        <v>0</v>
      </c>
      <c r="AF156" s="392">
        <f>2250000+5000000</f>
        <v>7250000</v>
      </c>
      <c r="AG156" s="392"/>
      <c r="AH156" s="391">
        <v>0</v>
      </c>
      <c r="AI156" s="393"/>
      <c r="AJ156" s="393">
        <v>0</v>
      </c>
      <c r="AK156" s="391">
        <f>Q156+R156+S156+T156+U156+V156+W156+X156+Y156+Z156+AA156+AB156+AC156+AD156+AE156+AF156+AG156+AH156+AI156+AJ156</f>
        <v>7250000</v>
      </c>
    </row>
    <row r="157" spans="1:37" ht="67.5" customHeight="1" x14ac:dyDescent="0.2">
      <c r="A157" s="39"/>
      <c r="B157" s="46"/>
      <c r="C157" s="775"/>
      <c r="D157" s="778"/>
      <c r="E157" s="775"/>
      <c r="F157" s="775"/>
      <c r="G157" s="46"/>
      <c r="H157" s="54">
        <v>232</v>
      </c>
      <c r="I157" s="679" t="s">
        <v>224</v>
      </c>
      <c r="J157" s="41">
        <v>12</v>
      </c>
      <c r="K157" s="42">
        <v>12</v>
      </c>
      <c r="L157" s="785"/>
      <c r="M157" s="781"/>
      <c r="N157" s="775"/>
      <c r="O157" s="778"/>
      <c r="P157" s="54" t="s">
        <v>46</v>
      </c>
      <c r="Q157" s="391">
        <v>0</v>
      </c>
      <c r="R157" s="391">
        <v>0</v>
      </c>
      <c r="S157" s="391">
        <v>0</v>
      </c>
      <c r="T157" s="391">
        <v>0</v>
      </c>
      <c r="U157" s="391">
        <v>0</v>
      </c>
      <c r="V157" s="391">
        <v>0</v>
      </c>
      <c r="W157" s="391">
        <v>0</v>
      </c>
      <c r="X157" s="391"/>
      <c r="Y157" s="391"/>
      <c r="Z157" s="391">
        <v>0</v>
      </c>
      <c r="AA157" s="391">
        <v>0</v>
      </c>
      <c r="AB157" s="391"/>
      <c r="AC157" s="391"/>
      <c r="AD157" s="391">
        <v>0</v>
      </c>
      <c r="AE157" s="391">
        <v>0</v>
      </c>
      <c r="AF157" s="392">
        <f>13800000+10000000</f>
        <v>23800000</v>
      </c>
      <c r="AG157" s="392"/>
      <c r="AH157" s="391">
        <v>0</v>
      </c>
      <c r="AI157" s="393"/>
      <c r="AJ157" s="393">
        <v>0</v>
      </c>
      <c r="AK157" s="391">
        <f>Q157+R157+S157+T157+U157+V157+W157+X157+Y157+Z157+AA157+AB157+AC157+AD157+AE157+AF157+AG157+AH157+AI157+AJ157</f>
        <v>23800000</v>
      </c>
    </row>
    <row r="158" spans="1:37" ht="60" customHeight="1" x14ac:dyDescent="0.2">
      <c r="A158" s="39"/>
      <c r="B158" s="46"/>
      <c r="C158" s="775"/>
      <c r="D158" s="778"/>
      <c r="E158" s="775"/>
      <c r="F158" s="775"/>
      <c r="G158" s="46"/>
      <c r="H158" s="54">
        <v>233</v>
      </c>
      <c r="I158" s="679" t="s">
        <v>225</v>
      </c>
      <c r="J158" s="41">
        <v>1</v>
      </c>
      <c r="K158" s="42">
        <v>1</v>
      </c>
      <c r="L158" s="786"/>
      <c r="M158" s="782"/>
      <c r="N158" s="776"/>
      <c r="O158" s="779"/>
      <c r="P158" s="54" t="s">
        <v>46</v>
      </c>
      <c r="Q158" s="391">
        <v>0</v>
      </c>
      <c r="R158" s="391">
        <v>0</v>
      </c>
      <c r="S158" s="391">
        <v>0</v>
      </c>
      <c r="T158" s="391">
        <v>0</v>
      </c>
      <c r="U158" s="391">
        <v>0</v>
      </c>
      <c r="V158" s="391">
        <v>0</v>
      </c>
      <c r="W158" s="391">
        <v>0</v>
      </c>
      <c r="X158" s="391"/>
      <c r="Y158" s="391"/>
      <c r="Z158" s="391">
        <v>0</v>
      </c>
      <c r="AA158" s="391">
        <v>0</v>
      </c>
      <c r="AB158" s="391"/>
      <c r="AC158" s="391"/>
      <c r="AD158" s="391">
        <v>0</v>
      </c>
      <c r="AE158" s="391">
        <v>0</v>
      </c>
      <c r="AF158" s="392">
        <f>10950000+10000000</f>
        <v>20950000</v>
      </c>
      <c r="AG158" s="392"/>
      <c r="AH158" s="391">
        <v>0</v>
      </c>
      <c r="AI158" s="393"/>
      <c r="AJ158" s="393">
        <v>0</v>
      </c>
      <c r="AK158" s="391">
        <f>Q158+R158+S158+T158+U158+V158+W158+X158+Y158+Z158+AA158+AB158+AC158+AD158+AE158+AF158+AG158+AH158+AI158+AJ158</f>
        <v>20950000</v>
      </c>
    </row>
    <row r="159" spans="1:37" ht="30" customHeight="1" x14ac:dyDescent="0.2">
      <c r="A159" s="39"/>
      <c r="B159" s="46"/>
      <c r="C159" s="662"/>
      <c r="D159" s="657"/>
      <c r="E159" s="662"/>
      <c r="F159" s="662"/>
      <c r="G159" s="55"/>
      <c r="H159" s="56"/>
      <c r="I159" s="55"/>
      <c r="J159" s="57"/>
      <c r="K159" s="81"/>
      <c r="L159" s="81"/>
      <c r="M159" s="57"/>
      <c r="N159" s="56"/>
      <c r="O159" s="55"/>
      <c r="P159" s="56"/>
      <c r="Q159" s="400">
        <f t="shared" ref="Q159:AJ159" si="35">SUM(Q156:Q158)</f>
        <v>0</v>
      </c>
      <c r="R159" s="400">
        <f t="shared" si="35"/>
        <v>0</v>
      </c>
      <c r="S159" s="400">
        <f t="shared" si="35"/>
        <v>0</v>
      </c>
      <c r="T159" s="400">
        <f t="shared" si="35"/>
        <v>0</v>
      </c>
      <c r="U159" s="400">
        <f t="shared" si="35"/>
        <v>0</v>
      </c>
      <c r="V159" s="400">
        <f t="shared" si="35"/>
        <v>0</v>
      </c>
      <c r="W159" s="400">
        <f t="shared" si="35"/>
        <v>0</v>
      </c>
      <c r="X159" s="400">
        <f t="shared" si="35"/>
        <v>0</v>
      </c>
      <c r="Y159" s="400">
        <f t="shared" si="35"/>
        <v>0</v>
      </c>
      <c r="Z159" s="400">
        <f t="shared" si="35"/>
        <v>0</v>
      </c>
      <c r="AA159" s="400">
        <f t="shared" si="35"/>
        <v>0</v>
      </c>
      <c r="AB159" s="400">
        <f t="shared" si="35"/>
        <v>0</v>
      </c>
      <c r="AC159" s="400">
        <f t="shared" si="35"/>
        <v>0</v>
      </c>
      <c r="AD159" s="400">
        <f t="shared" si="35"/>
        <v>0</v>
      </c>
      <c r="AE159" s="400">
        <f t="shared" si="35"/>
        <v>0</v>
      </c>
      <c r="AF159" s="400">
        <f t="shared" si="35"/>
        <v>52000000</v>
      </c>
      <c r="AG159" s="400">
        <f t="shared" si="35"/>
        <v>0</v>
      </c>
      <c r="AH159" s="400">
        <f t="shared" si="35"/>
        <v>0</v>
      </c>
      <c r="AI159" s="400">
        <f t="shared" si="35"/>
        <v>0</v>
      </c>
      <c r="AJ159" s="400">
        <f t="shared" si="35"/>
        <v>0</v>
      </c>
      <c r="AK159" s="400">
        <f>SUM(AK156:AK158)</f>
        <v>52000000</v>
      </c>
    </row>
    <row r="160" spans="1:37" ht="30" customHeight="1" x14ac:dyDescent="0.2">
      <c r="A160" s="39"/>
      <c r="B160" s="46"/>
      <c r="C160" s="146"/>
      <c r="D160" s="69"/>
      <c r="E160" s="146"/>
      <c r="F160" s="146"/>
      <c r="G160" s="69"/>
      <c r="H160" s="146"/>
      <c r="I160" s="69"/>
      <c r="J160" s="70"/>
      <c r="K160" s="80"/>
      <c r="L160" s="167"/>
      <c r="M160" s="115"/>
      <c r="N160" s="390"/>
      <c r="O160" s="99"/>
      <c r="P160" s="146"/>
      <c r="Q160" s="395"/>
      <c r="R160" s="396"/>
      <c r="S160" s="395"/>
      <c r="T160" s="395"/>
      <c r="U160" s="395"/>
      <c r="V160" s="395"/>
      <c r="W160" s="395"/>
      <c r="X160" s="395"/>
      <c r="Y160" s="395"/>
      <c r="Z160" s="395"/>
      <c r="AA160" s="395"/>
      <c r="AB160" s="396"/>
      <c r="AC160" s="396"/>
      <c r="AD160" s="395"/>
      <c r="AE160" s="395"/>
      <c r="AF160" s="431"/>
      <c r="AG160" s="434"/>
      <c r="AH160" s="395"/>
      <c r="AI160" s="395"/>
      <c r="AJ160" s="396"/>
      <c r="AK160" s="399"/>
    </row>
    <row r="161" spans="1:37" ht="30" customHeight="1" x14ac:dyDescent="0.2">
      <c r="A161" s="39"/>
      <c r="B161" s="46"/>
      <c r="C161" s="661"/>
      <c r="D161" s="655"/>
      <c r="E161" s="661"/>
      <c r="F161" s="661"/>
      <c r="G161" s="136">
        <v>80</v>
      </c>
      <c r="H161" s="168" t="s">
        <v>226</v>
      </c>
      <c r="I161" s="77"/>
      <c r="J161" s="77"/>
      <c r="K161" s="89"/>
      <c r="L161" s="89"/>
      <c r="M161" s="77"/>
      <c r="N161" s="169"/>
      <c r="O161" s="77"/>
      <c r="P161" s="77"/>
      <c r="Q161" s="263"/>
      <c r="R161" s="263"/>
      <c r="S161" s="263"/>
      <c r="T161" s="263"/>
      <c r="U161" s="263"/>
      <c r="V161" s="263"/>
      <c r="W161" s="263"/>
      <c r="X161" s="263"/>
      <c r="Y161" s="263"/>
      <c r="Z161" s="263"/>
      <c r="AA161" s="263"/>
      <c r="AB161" s="263"/>
      <c r="AC161" s="263"/>
      <c r="AD161" s="263"/>
      <c r="AE161" s="263"/>
      <c r="AF161" s="404"/>
      <c r="AG161" s="263"/>
      <c r="AH161" s="263"/>
      <c r="AI161" s="263"/>
      <c r="AJ161" s="263"/>
      <c r="AK161" s="265"/>
    </row>
    <row r="162" spans="1:37" ht="78.75" customHeight="1" x14ac:dyDescent="0.2">
      <c r="A162" s="39"/>
      <c r="B162" s="46"/>
      <c r="C162" s="775">
        <v>13</v>
      </c>
      <c r="D162" s="778" t="s">
        <v>209</v>
      </c>
      <c r="E162" s="775">
        <v>71.040000000000006</v>
      </c>
      <c r="F162" s="775">
        <v>88.17</v>
      </c>
      <c r="G162" s="40"/>
      <c r="H162" s="54">
        <v>234</v>
      </c>
      <c r="I162" s="679" t="s">
        <v>227</v>
      </c>
      <c r="J162" s="41" t="s">
        <v>37</v>
      </c>
      <c r="K162" s="51">
        <v>2</v>
      </c>
      <c r="L162" s="784">
        <v>2017003630013</v>
      </c>
      <c r="M162" s="780" t="s">
        <v>213</v>
      </c>
      <c r="N162" s="774" t="s">
        <v>228</v>
      </c>
      <c r="O162" s="777" t="s">
        <v>229</v>
      </c>
      <c r="P162" s="54" t="s">
        <v>61</v>
      </c>
      <c r="Q162" s="391">
        <v>0</v>
      </c>
      <c r="R162" s="391">
        <v>0</v>
      </c>
      <c r="S162" s="391">
        <v>0</v>
      </c>
      <c r="T162" s="391">
        <v>0</v>
      </c>
      <c r="U162" s="391">
        <v>0</v>
      </c>
      <c r="V162" s="391">
        <v>0</v>
      </c>
      <c r="W162" s="391">
        <v>0</v>
      </c>
      <c r="X162" s="391"/>
      <c r="Y162" s="391"/>
      <c r="Z162" s="391">
        <v>0</v>
      </c>
      <c r="AA162" s="391">
        <v>0</v>
      </c>
      <c r="AB162" s="391"/>
      <c r="AC162" s="391"/>
      <c r="AD162" s="391">
        <v>0</v>
      </c>
      <c r="AE162" s="391">
        <v>0</v>
      </c>
      <c r="AF162" s="634">
        <f>10000000+14000000-11050000</f>
        <v>12950000</v>
      </c>
      <c r="AG162" s="392"/>
      <c r="AH162" s="391">
        <v>0</v>
      </c>
      <c r="AI162" s="393"/>
      <c r="AJ162" s="393">
        <v>0</v>
      </c>
      <c r="AK162" s="391">
        <f>Q162+R162+S162+T162+U162+V162+W162+X162+Y162+Z162+AA162+AB162+AC162+AD162+AE162+AF162+AG162+AH162+AI162+AJ162</f>
        <v>12950000</v>
      </c>
    </row>
    <row r="163" spans="1:37" ht="69.75" customHeight="1" x14ac:dyDescent="0.2">
      <c r="A163" s="39"/>
      <c r="B163" s="46"/>
      <c r="C163" s="775"/>
      <c r="D163" s="778"/>
      <c r="E163" s="775"/>
      <c r="F163" s="775"/>
      <c r="G163" s="46"/>
      <c r="H163" s="54">
        <v>235</v>
      </c>
      <c r="I163" s="679" t="s">
        <v>230</v>
      </c>
      <c r="J163" s="41" t="s">
        <v>37</v>
      </c>
      <c r="K163" s="49">
        <v>2</v>
      </c>
      <c r="L163" s="786"/>
      <c r="M163" s="782"/>
      <c r="N163" s="776"/>
      <c r="O163" s="779"/>
      <c r="P163" s="54" t="s">
        <v>61</v>
      </c>
      <c r="Q163" s="391">
        <v>0</v>
      </c>
      <c r="R163" s="391">
        <v>0</v>
      </c>
      <c r="S163" s="391">
        <v>0</v>
      </c>
      <c r="T163" s="391">
        <v>0</v>
      </c>
      <c r="U163" s="391">
        <v>0</v>
      </c>
      <c r="V163" s="391">
        <v>0</v>
      </c>
      <c r="W163" s="391">
        <v>0</v>
      </c>
      <c r="X163" s="391"/>
      <c r="Y163" s="391"/>
      <c r="Z163" s="391">
        <v>0</v>
      </c>
      <c r="AA163" s="391">
        <v>0</v>
      </c>
      <c r="AB163" s="391"/>
      <c r="AC163" s="391"/>
      <c r="AD163" s="391">
        <v>0</v>
      </c>
      <c r="AE163" s="391">
        <v>0</v>
      </c>
      <c r="AF163" s="634">
        <f>18000000+21000000+11050000</f>
        <v>50050000</v>
      </c>
      <c r="AG163" s="392"/>
      <c r="AH163" s="391">
        <v>0</v>
      </c>
      <c r="AI163" s="393"/>
      <c r="AJ163" s="393">
        <v>0</v>
      </c>
      <c r="AK163" s="391">
        <f>Q163+R163+S163+T163+U163+V163+W163+X163+Y163+Z163+AA163+AB163+AC163+AD163+AE163+AF163+AG163+AH163+AI163+AJ163</f>
        <v>50050000</v>
      </c>
    </row>
    <row r="164" spans="1:37" ht="30" customHeight="1" x14ac:dyDescent="0.2">
      <c r="A164" s="39"/>
      <c r="B164" s="90"/>
      <c r="C164" s="662"/>
      <c r="D164" s="657"/>
      <c r="E164" s="662"/>
      <c r="F164" s="662"/>
      <c r="G164" s="55"/>
      <c r="H164" s="56"/>
      <c r="I164" s="55"/>
      <c r="J164" s="57"/>
      <c r="K164" s="81"/>
      <c r="L164" s="81"/>
      <c r="M164" s="57"/>
      <c r="N164" s="56"/>
      <c r="O164" s="55"/>
      <c r="P164" s="56"/>
      <c r="Q164" s="400">
        <f t="shared" ref="Q164:AJ164" si="36">SUM(Q162:Q163)</f>
        <v>0</v>
      </c>
      <c r="R164" s="400">
        <f t="shared" si="36"/>
        <v>0</v>
      </c>
      <c r="S164" s="400">
        <f t="shared" si="36"/>
        <v>0</v>
      </c>
      <c r="T164" s="400">
        <f t="shared" si="36"/>
        <v>0</v>
      </c>
      <c r="U164" s="400">
        <f t="shared" si="36"/>
        <v>0</v>
      </c>
      <c r="V164" s="400">
        <f t="shared" si="36"/>
        <v>0</v>
      </c>
      <c r="W164" s="400">
        <f t="shared" si="36"/>
        <v>0</v>
      </c>
      <c r="X164" s="400">
        <f t="shared" si="36"/>
        <v>0</v>
      </c>
      <c r="Y164" s="400">
        <f t="shared" si="36"/>
        <v>0</v>
      </c>
      <c r="Z164" s="400">
        <f t="shared" si="36"/>
        <v>0</v>
      </c>
      <c r="AA164" s="400">
        <f t="shared" si="36"/>
        <v>0</v>
      </c>
      <c r="AB164" s="400">
        <f t="shared" si="36"/>
        <v>0</v>
      </c>
      <c r="AC164" s="400">
        <f t="shared" si="36"/>
        <v>0</v>
      </c>
      <c r="AD164" s="400">
        <f t="shared" si="36"/>
        <v>0</v>
      </c>
      <c r="AE164" s="400">
        <f t="shared" si="36"/>
        <v>0</v>
      </c>
      <c r="AF164" s="400">
        <f t="shared" si="36"/>
        <v>63000000</v>
      </c>
      <c r="AG164" s="400">
        <f t="shared" si="36"/>
        <v>0</v>
      </c>
      <c r="AH164" s="400">
        <f t="shared" si="36"/>
        <v>0</v>
      </c>
      <c r="AI164" s="400">
        <f t="shared" si="36"/>
        <v>0</v>
      </c>
      <c r="AJ164" s="400">
        <f t="shared" si="36"/>
        <v>0</v>
      </c>
      <c r="AK164" s="400">
        <f t="shared" ref="AK164" si="37">SUM(AK162:AK163)</f>
        <v>63000000</v>
      </c>
    </row>
    <row r="165" spans="1:37" ht="30" customHeight="1" x14ac:dyDescent="0.2">
      <c r="A165" s="39"/>
      <c r="B165" s="59"/>
      <c r="C165" s="95"/>
      <c r="D165" s="59"/>
      <c r="E165" s="60"/>
      <c r="F165" s="60"/>
      <c r="G165" s="59"/>
      <c r="H165" s="60"/>
      <c r="I165" s="59"/>
      <c r="J165" s="61"/>
      <c r="K165" s="98"/>
      <c r="L165" s="98"/>
      <c r="M165" s="61"/>
      <c r="N165" s="60"/>
      <c r="O165" s="59"/>
      <c r="P165" s="60"/>
      <c r="Q165" s="406">
        <f t="shared" ref="Q165:AK165" si="38">Q164+Q159+Q153</f>
        <v>0</v>
      </c>
      <c r="R165" s="406">
        <f t="shared" si="38"/>
        <v>0</v>
      </c>
      <c r="S165" s="406">
        <f t="shared" si="38"/>
        <v>0</v>
      </c>
      <c r="T165" s="406">
        <f t="shared" si="38"/>
        <v>0</v>
      </c>
      <c r="U165" s="406">
        <f t="shared" si="38"/>
        <v>0</v>
      </c>
      <c r="V165" s="406">
        <f t="shared" si="38"/>
        <v>0</v>
      </c>
      <c r="W165" s="406">
        <f t="shared" si="38"/>
        <v>0</v>
      </c>
      <c r="X165" s="406">
        <f t="shared" si="38"/>
        <v>0</v>
      </c>
      <c r="Y165" s="406">
        <f t="shared" si="38"/>
        <v>0</v>
      </c>
      <c r="Z165" s="406">
        <f t="shared" si="38"/>
        <v>0</v>
      </c>
      <c r="AA165" s="406">
        <f t="shared" si="38"/>
        <v>0</v>
      </c>
      <c r="AB165" s="406">
        <f t="shared" si="38"/>
        <v>0</v>
      </c>
      <c r="AC165" s="406">
        <f t="shared" si="38"/>
        <v>0</v>
      </c>
      <c r="AD165" s="406">
        <f t="shared" si="38"/>
        <v>0</v>
      </c>
      <c r="AE165" s="406">
        <f t="shared" si="38"/>
        <v>0</v>
      </c>
      <c r="AF165" s="406">
        <f t="shared" si="38"/>
        <v>614000000</v>
      </c>
      <c r="AG165" s="406">
        <f t="shared" si="38"/>
        <v>0</v>
      </c>
      <c r="AH165" s="406">
        <f t="shared" si="38"/>
        <v>0</v>
      </c>
      <c r="AI165" s="406">
        <f t="shared" si="38"/>
        <v>0</v>
      </c>
      <c r="AJ165" s="406">
        <f t="shared" si="38"/>
        <v>0</v>
      </c>
      <c r="AK165" s="406">
        <f t="shared" si="38"/>
        <v>614000000</v>
      </c>
    </row>
    <row r="166" spans="1:37" ht="30" customHeight="1" x14ac:dyDescent="0.2">
      <c r="A166" s="39"/>
      <c r="B166" s="679"/>
      <c r="C166" s="146"/>
      <c r="D166" s="69"/>
      <c r="E166" s="146"/>
      <c r="F166" s="146"/>
      <c r="G166" s="69"/>
      <c r="H166" s="146"/>
      <c r="I166" s="69"/>
      <c r="J166" s="70"/>
      <c r="K166" s="80"/>
      <c r="L166" s="167"/>
      <c r="M166" s="115"/>
      <c r="N166" s="390"/>
      <c r="O166" s="99"/>
      <c r="P166" s="146"/>
      <c r="Q166" s="395"/>
      <c r="R166" s="396"/>
      <c r="S166" s="395"/>
      <c r="T166" s="395"/>
      <c r="U166" s="395"/>
      <c r="V166" s="395"/>
      <c r="W166" s="395"/>
      <c r="X166" s="395"/>
      <c r="Y166" s="395"/>
      <c r="Z166" s="395"/>
      <c r="AA166" s="395"/>
      <c r="AB166" s="396"/>
      <c r="AC166" s="396"/>
      <c r="AD166" s="395"/>
      <c r="AE166" s="395"/>
      <c r="AF166" s="431"/>
      <c r="AG166" s="430"/>
      <c r="AH166" s="395"/>
      <c r="AI166" s="395"/>
      <c r="AJ166" s="396"/>
      <c r="AK166" s="395"/>
    </row>
    <row r="167" spans="1:37" ht="30" customHeight="1" x14ac:dyDescent="0.2">
      <c r="A167" s="39"/>
      <c r="B167" s="148">
        <v>25</v>
      </c>
      <c r="C167" s="177" t="s">
        <v>231</v>
      </c>
      <c r="D167" s="178"/>
      <c r="E167" s="178"/>
      <c r="F167" s="178"/>
      <c r="G167" s="178"/>
      <c r="H167" s="177"/>
      <c r="I167" s="178"/>
      <c r="J167" s="178"/>
      <c r="K167" s="179"/>
      <c r="L167" s="179"/>
      <c r="M167" s="178"/>
      <c r="N167" s="177"/>
      <c r="O167" s="178"/>
      <c r="P167" s="178"/>
      <c r="Q167" s="435"/>
      <c r="R167" s="435"/>
      <c r="S167" s="435"/>
      <c r="T167" s="435"/>
      <c r="U167" s="435"/>
      <c r="V167" s="435"/>
      <c r="W167" s="435"/>
      <c r="X167" s="435"/>
      <c r="Y167" s="435"/>
      <c r="Z167" s="435"/>
      <c r="AA167" s="435"/>
      <c r="AB167" s="435"/>
      <c r="AC167" s="435"/>
      <c r="AD167" s="435"/>
      <c r="AE167" s="435"/>
      <c r="AF167" s="436"/>
      <c r="AG167" s="435"/>
      <c r="AH167" s="435"/>
      <c r="AI167" s="435"/>
      <c r="AJ167" s="435"/>
      <c r="AK167" s="437"/>
    </row>
    <row r="168" spans="1:37" ht="30" customHeight="1" x14ac:dyDescent="0.2">
      <c r="A168" s="39"/>
      <c r="B168" s="73"/>
      <c r="C168" s="26"/>
      <c r="D168" s="520"/>
      <c r="E168" s="520"/>
      <c r="F168" s="520"/>
      <c r="G168" s="75">
        <v>81</v>
      </c>
      <c r="H168" s="76" t="s">
        <v>232</v>
      </c>
      <c r="I168" s="76"/>
      <c r="J168" s="76"/>
      <c r="K168" s="180"/>
      <c r="L168" s="180"/>
      <c r="M168" s="76"/>
      <c r="N168" s="169"/>
      <c r="O168" s="76"/>
      <c r="P168" s="77"/>
      <c r="Q168" s="263"/>
      <c r="R168" s="263"/>
      <c r="S168" s="263"/>
      <c r="T168" s="263"/>
      <c r="U168" s="263"/>
      <c r="V168" s="263"/>
      <c r="W168" s="263"/>
      <c r="X168" s="263"/>
      <c r="Y168" s="263"/>
      <c r="Z168" s="263"/>
      <c r="AA168" s="263"/>
      <c r="AB168" s="263"/>
      <c r="AC168" s="263"/>
      <c r="AD168" s="263"/>
      <c r="AE168" s="263"/>
      <c r="AF168" s="404"/>
      <c r="AG168" s="263"/>
      <c r="AH168" s="263"/>
      <c r="AI168" s="263"/>
      <c r="AJ168" s="263"/>
      <c r="AK168" s="265"/>
    </row>
    <row r="169" spans="1:37" ht="51" customHeight="1" x14ac:dyDescent="0.2">
      <c r="A169" s="39"/>
      <c r="B169" s="39"/>
      <c r="C169" s="775">
        <v>13</v>
      </c>
      <c r="D169" s="778" t="s">
        <v>209</v>
      </c>
      <c r="E169" s="775" t="s">
        <v>210</v>
      </c>
      <c r="F169" s="775" t="s">
        <v>211</v>
      </c>
      <c r="G169" s="40"/>
      <c r="H169" s="54">
        <v>236</v>
      </c>
      <c r="I169" s="679" t="s">
        <v>233</v>
      </c>
      <c r="J169" s="41">
        <v>1</v>
      </c>
      <c r="K169" s="762">
        <v>8</v>
      </c>
      <c r="L169" s="784">
        <v>2017003630019</v>
      </c>
      <c r="M169" s="780" t="s">
        <v>234</v>
      </c>
      <c r="N169" s="774" t="s">
        <v>235</v>
      </c>
      <c r="O169" s="777" t="s">
        <v>960</v>
      </c>
      <c r="P169" s="54" t="s">
        <v>61</v>
      </c>
      <c r="Q169" s="391">
        <v>0</v>
      </c>
      <c r="R169" s="391">
        <v>0</v>
      </c>
      <c r="S169" s="391">
        <v>0</v>
      </c>
      <c r="T169" s="391">
        <v>0</v>
      </c>
      <c r="U169" s="391">
        <v>0</v>
      </c>
      <c r="V169" s="391">
        <v>0</v>
      </c>
      <c r="W169" s="391">
        <v>0</v>
      </c>
      <c r="X169" s="391"/>
      <c r="Y169" s="391"/>
      <c r="Z169" s="391">
        <v>0</v>
      </c>
      <c r="AA169" s="391">
        <v>0</v>
      </c>
      <c r="AB169" s="391"/>
      <c r="AC169" s="391"/>
      <c r="AD169" s="391">
        <v>0</v>
      </c>
      <c r="AE169" s="391">
        <v>0</v>
      </c>
      <c r="AF169" s="394">
        <f>63000000+42000000</f>
        <v>105000000</v>
      </c>
      <c r="AG169" s="394"/>
      <c r="AH169" s="391">
        <v>0</v>
      </c>
      <c r="AI169" s="393"/>
      <c r="AJ169" s="393">
        <v>0</v>
      </c>
      <c r="AK169" s="391">
        <f>Q169+R169+S169+T169+U169+V169+W169+X169+Y169+Z169+AA169+AB169+AC169+AD169+AE169+AF169+AG169+AH169+AI169+AJ169</f>
        <v>105000000</v>
      </c>
    </row>
    <row r="170" spans="1:37" ht="71.25" customHeight="1" x14ac:dyDescent="0.2">
      <c r="A170" s="39"/>
      <c r="B170" s="39"/>
      <c r="C170" s="775"/>
      <c r="D170" s="778"/>
      <c r="E170" s="775"/>
      <c r="F170" s="775"/>
      <c r="G170" s="46"/>
      <c r="H170" s="54">
        <v>237</v>
      </c>
      <c r="I170" s="679" t="s">
        <v>237</v>
      </c>
      <c r="J170" s="41" t="s">
        <v>37</v>
      </c>
      <c r="K170" s="762">
        <v>20</v>
      </c>
      <c r="L170" s="785"/>
      <c r="M170" s="781"/>
      <c r="N170" s="775"/>
      <c r="O170" s="778"/>
      <c r="P170" s="54" t="s">
        <v>61</v>
      </c>
      <c r="Q170" s="391">
        <v>0</v>
      </c>
      <c r="R170" s="391">
        <v>0</v>
      </c>
      <c r="S170" s="391">
        <v>0</v>
      </c>
      <c r="T170" s="391">
        <v>0</v>
      </c>
      <c r="U170" s="391">
        <v>0</v>
      </c>
      <c r="V170" s="391">
        <v>0</v>
      </c>
      <c r="W170" s="391">
        <v>0</v>
      </c>
      <c r="X170" s="391"/>
      <c r="Y170" s="391"/>
      <c r="Z170" s="391">
        <v>0</v>
      </c>
      <c r="AA170" s="391">
        <v>0</v>
      </c>
      <c r="AB170" s="391"/>
      <c r="AC170" s="391"/>
      <c r="AD170" s="391">
        <v>0</v>
      </c>
      <c r="AE170" s="391">
        <v>0</v>
      </c>
      <c r="AF170" s="394">
        <f>22000000+5000000</f>
        <v>27000000</v>
      </c>
      <c r="AG170" s="394"/>
      <c r="AH170" s="391">
        <v>0</v>
      </c>
      <c r="AI170" s="393"/>
      <c r="AJ170" s="393">
        <v>0</v>
      </c>
      <c r="AK170" s="391">
        <f>Q170+R170+S170+T170+U170+V170+W170+X170+Y170+Z170+AA170+AB170+AC170+AD170+AE170+AF170+AG170+AH170+AI170+AJ170</f>
        <v>27000000</v>
      </c>
    </row>
    <row r="171" spans="1:37" ht="60" x14ac:dyDescent="0.2">
      <c r="A171" s="39"/>
      <c r="B171" s="39"/>
      <c r="C171" s="775"/>
      <c r="D171" s="778"/>
      <c r="E171" s="775"/>
      <c r="F171" s="775"/>
      <c r="G171" s="46"/>
      <c r="H171" s="54">
        <v>238</v>
      </c>
      <c r="I171" s="679" t="s">
        <v>238</v>
      </c>
      <c r="J171" s="41" t="s">
        <v>37</v>
      </c>
      <c r="K171" s="762">
        <v>12</v>
      </c>
      <c r="L171" s="785"/>
      <c r="M171" s="781"/>
      <c r="N171" s="775"/>
      <c r="O171" s="778"/>
      <c r="P171" s="54" t="s">
        <v>46</v>
      </c>
      <c r="Q171" s="391">
        <v>0</v>
      </c>
      <c r="R171" s="391">
        <v>0</v>
      </c>
      <c r="S171" s="391">
        <v>0</v>
      </c>
      <c r="T171" s="391">
        <v>0</v>
      </c>
      <c r="U171" s="391">
        <v>0</v>
      </c>
      <c r="V171" s="391">
        <v>0</v>
      </c>
      <c r="W171" s="391">
        <v>0</v>
      </c>
      <c r="X171" s="391"/>
      <c r="Y171" s="391"/>
      <c r="Z171" s="391">
        <v>0</v>
      </c>
      <c r="AA171" s="391">
        <v>0</v>
      </c>
      <c r="AB171" s="391"/>
      <c r="AC171" s="391"/>
      <c r="AD171" s="391">
        <v>0</v>
      </c>
      <c r="AE171" s="391">
        <v>0</v>
      </c>
      <c r="AF171" s="394">
        <f>73000000+30081242</f>
        <v>103081242</v>
      </c>
      <c r="AG171" s="394"/>
      <c r="AH171" s="391">
        <v>0</v>
      </c>
      <c r="AI171" s="393"/>
      <c r="AJ171" s="393">
        <v>0</v>
      </c>
      <c r="AK171" s="391">
        <f>Q171+R171+S171+T171+U171+V171+W171+X171+Y171+Z171+AA171+AB171+AC171+AD171+AE171+AF171+AG171+AH171+AI171+AJ171</f>
        <v>103081242</v>
      </c>
    </row>
    <row r="172" spans="1:37" ht="63.75" customHeight="1" x14ac:dyDescent="0.2">
      <c r="A172" s="39"/>
      <c r="B172" s="39"/>
      <c r="C172" s="775"/>
      <c r="D172" s="778"/>
      <c r="E172" s="775"/>
      <c r="F172" s="775"/>
      <c r="G172" s="46"/>
      <c r="H172" s="54">
        <v>239</v>
      </c>
      <c r="I172" s="679" t="s">
        <v>239</v>
      </c>
      <c r="J172" s="41" t="s">
        <v>37</v>
      </c>
      <c r="K172" s="762">
        <v>6</v>
      </c>
      <c r="L172" s="785"/>
      <c r="M172" s="781"/>
      <c r="N172" s="775"/>
      <c r="O172" s="778"/>
      <c r="P172" s="54" t="s">
        <v>61</v>
      </c>
      <c r="Q172" s="391">
        <v>0</v>
      </c>
      <c r="R172" s="391">
        <v>0</v>
      </c>
      <c r="S172" s="391">
        <v>0</v>
      </c>
      <c r="T172" s="391">
        <v>0</v>
      </c>
      <c r="U172" s="391">
        <v>0</v>
      </c>
      <c r="V172" s="391">
        <v>0</v>
      </c>
      <c r="W172" s="391">
        <v>0</v>
      </c>
      <c r="X172" s="391"/>
      <c r="Y172" s="391"/>
      <c r="Z172" s="391">
        <v>0</v>
      </c>
      <c r="AA172" s="391">
        <v>0</v>
      </c>
      <c r="AB172" s="391"/>
      <c r="AC172" s="391"/>
      <c r="AD172" s="391">
        <v>0</v>
      </c>
      <c r="AE172" s="391">
        <v>0</v>
      </c>
      <c r="AF172" s="394">
        <f>45000000+20000000</f>
        <v>65000000</v>
      </c>
      <c r="AG172" s="394"/>
      <c r="AH172" s="391">
        <v>0</v>
      </c>
      <c r="AI172" s="393"/>
      <c r="AJ172" s="393">
        <v>0</v>
      </c>
      <c r="AK172" s="391">
        <f>Q172+R172+S172+T172+U172+V172+W172+X172+Y172+Z172+AA172+AB172+AC172+AD172+AE172+AF172+AG172+AH172+AI172+AJ172</f>
        <v>65000000</v>
      </c>
    </row>
    <row r="173" spans="1:37" ht="65.25" customHeight="1" x14ac:dyDescent="0.2">
      <c r="A173" s="39"/>
      <c r="B173" s="39"/>
      <c r="C173" s="775"/>
      <c r="D173" s="778"/>
      <c r="E173" s="775"/>
      <c r="F173" s="775"/>
      <c r="G173" s="46"/>
      <c r="H173" s="54">
        <v>240</v>
      </c>
      <c r="I173" s="679" t="s">
        <v>240</v>
      </c>
      <c r="J173" s="41">
        <v>1</v>
      </c>
      <c r="K173" s="366">
        <v>1</v>
      </c>
      <c r="L173" s="786"/>
      <c r="M173" s="782"/>
      <c r="N173" s="776"/>
      <c r="O173" s="779"/>
      <c r="P173" s="54" t="s">
        <v>46</v>
      </c>
      <c r="Q173" s="391">
        <v>0</v>
      </c>
      <c r="R173" s="391">
        <v>0</v>
      </c>
      <c r="S173" s="391">
        <v>0</v>
      </c>
      <c r="T173" s="391">
        <v>0</v>
      </c>
      <c r="U173" s="391">
        <v>0</v>
      </c>
      <c r="V173" s="391">
        <v>0</v>
      </c>
      <c r="W173" s="391">
        <v>0</v>
      </c>
      <c r="X173" s="391"/>
      <c r="Y173" s="391"/>
      <c r="Z173" s="391">
        <v>0</v>
      </c>
      <c r="AA173" s="391">
        <v>0</v>
      </c>
      <c r="AB173" s="391"/>
      <c r="AC173" s="391"/>
      <c r="AD173" s="391">
        <v>0</v>
      </c>
      <c r="AE173" s="391">
        <v>0</v>
      </c>
      <c r="AF173" s="394">
        <f>250000000+70000000</f>
        <v>320000000</v>
      </c>
      <c r="AG173" s="394"/>
      <c r="AH173" s="391">
        <v>0</v>
      </c>
      <c r="AI173" s="393"/>
      <c r="AJ173" s="393">
        <v>0</v>
      </c>
      <c r="AK173" s="391">
        <f>Q173+R173+S173+T173+U173+V173+W173+X173+Y173+Z173+AA173+AB173+AC173+AD173+AE173+AF173+AG173+AH173+AI173+AJ173</f>
        <v>320000000</v>
      </c>
    </row>
    <row r="174" spans="1:37" ht="30" customHeight="1" x14ac:dyDescent="0.2">
      <c r="A174" s="39"/>
      <c r="B174" s="39"/>
      <c r="C174" s="662"/>
      <c r="D174" s="657"/>
      <c r="E174" s="662"/>
      <c r="F174" s="662"/>
      <c r="G174" s="55"/>
      <c r="H174" s="56"/>
      <c r="I174" s="55"/>
      <c r="J174" s="57"/>
      <c r="K174" s="81"/>
      <c r="L174" s="81"/>
      <c r="M174" s="57"/>
      <c r="N174" s="56"/>
      <c r="O174" s="55"/>
      <c r="P174" s="56"/>
      <c r="Q174" s="400">
        <f t="shared" ref="Q174:AJ174" si="39">SUM(Q169:Q173)</f>
        <v>0</v>
      </c>
      <c r="R174" s="400">
        <f t="shared" si="39"/>
        <v>0</v>
      </c>
      <c r="S174" s="400">
        <f t="shared" si="39"/>
        <v>0</v>
      </c>
      <c r="T174" s="400">
        <f t="shared" si="39"/>
        <v>0</v>
      </c>
      <c r="U174" s="400">
        <f t="shared" si="39"/>
        <v>0</v>
      </c>
      <c r="V174" s="400">
        <f t="shared" si="39"/>
        <v>0</v>
      </c>
      <c r="W174" s="400">
        <f t="shared" si="39"/>
        <v>0</v>
      </c>
      <c r="X174" s="400">
        <f t="shared" si="39"/>
        <v>0</v>
      </c>
      <c r="Y174" s="400">
        <f t="shared" si="39"/>
        <v>0</v>
      </c>
      <c r="Z174" s="400">
        <f t="shared" si="39"/>
        <v>0</v>
      </c>
      <c r="AA174" s="400">
        <f t="shared" si="39"/>
        <v>0</v>
      </c>
      <c r="AB174" s="400">
        <f t="shared" si="39"/>
        <v>0</v>
      </c>
      <c r="AC174" s="400">
        <f t="shared" si="39"/>
        <v>0</v>
      </c>
      <c r="AD174" s="400">
        <f t="shared" si="39"/>
        <v>0</v>
      </c>
      <c r="AE174" s="400">
        <f t="shared" si="39"/>
        <v>0</v>
      </c>
      <c r="AF174" s="400">
        <f t="shared" si="39"/>
        <v>620081242</v>
      </c>
      <c r="AG174" s="400">
        <f t="shared" si="39"/>
        <v>0</v>
      </c>
      <c r="AH174" s="400">
        <f t="shared" si="39"/>
        <v>0</v>
      </c>
      <c r="AI174" s="400">
        <f t="shared" si="39"/>
        <v>0</v>
      </c>
      <c r="AJ174" s="400">
        <f t="shared" si="39"/>
        <v>0</v>
      </c>
      <c r="AK174" s="400">
        <f>SUM(AK169:AK173)</f>
        <v>620081242</v>
      </c>
    </row>
    <row r="175" spans="1:37" ht="30" customHeight="1" x14ac:dyDescent="0.2">
      <c r="A175" s="39"/>
      <c r="B175" s="39"/>
      <c r="C175" s="146"/>
      <c r="D175" s="69"/>
      <c r="E175" s="146"/>
      <c r="F175" s="146"/>
      <c r="G175" s="69"/>
      <c r="H175" s="146"/>
      <c r="I175" s="69"/>
      <c r="J175" s="70"/>
      <c r="K175" s="80"/>
      <c r="L175" s="167"/>
      <c r="M175" s="115"/>
      <c r="N175" s="390"/>
      <c r="O175" s="99"/>
      <c r="P175" s="146"/>
      <c r="Q175" s="395"/>
      <c r="R175" s="396"/>
      <c r="S175" s="395"/>
      <c r="T175" s="395"/>
      <c r="U175" s="395"/>
      <c r="V175" s="395"/>
      <c r="W175" s="395"/>
      <c r="X175" s="395"/>
      <c r="Y175" s="395"/>
      <c r="Z175" s="395"/>
      <c r="AA175" s="395"/>
      <c r="AB175" s="396"/>
      <c r="AC175" s="396"/>
      <c r="AD175" s="395"/>
      <c r="AE175" s="395"/>
      <c r="AF175" s="744"/>
      <c r="AG175" s="745"/>
      <c r="AH175" s="395"/>
      <c r="AI175" s="395"/>
      <c r="AJ175" s="396"/>
      <c r="AK175" s="399"/>
    </row>
    <row r="176" spans="1:37" ht="30" customHeight="1" x14ac:dyDescent="0.2">
      <c r="A176" s="39"/>
      <c r="B176" s="39"/>
      <c r="C176" s="661"/>
      <c r="D176" s="655"/>
      <c r="E176" s="661"/>
      <c r="F176" s="661"/>
      <c r="G176" s="75">
        <v>82</v>
      </c>
      <c r="H176" s="76" t="s">
        <v>241</v>
      </c>
      <c r="I176" s="77"/>
      <c r="J176" s="77"/>
      <c r="K176" s="89"/>
      <c r="L176" s="89"/>
      <c r="M176" s="77"/>
      <c r="N176" s="169"/>
      <c r="O176" s="77"/>
      <c r="P176" s="77"/>
      <c r="Q176" s="263"/>
      <c r="R176" s="263"/>
      <c r="S176" s="263"/>
      <c r="T176" s="263"/>
      <c r="U176" s="263"/>
      <c r="V176" s="263"/>
      <c r="W176" s="263"/>
      <c r="X176" s="263"/>
      <c r="Y176" s="263"/>
      <c r="Z176" s="263"/>
      <c r="AA176" s="263"/>
      <c r="AB176" s="263"/>
      <c r="AC176" s="263"/>
      <c r="AD176" s="263"/>
      <c r="AE176" s="263"/>
      <c r="AF176" s="404"/>
      <c r="AG176" s="263"/>
      <c r="AH176" s="263"/>
      <c r="AI176" s="263"/>
      <c r="AJ176" s="263"/>
      <c r="AK176" s="265"/>
    </row>
    <row r="177" spans="1:37" ht="66" customHeight="1" x14ac:dyDescent="0.2">
      <c r="A177" s="39"/>
      <c r="B177" s="39"/>
      <c r="C177" s="775">
        <v>13</v>
      </c>
      <c r="D177" s="778" t="s">
        <v>209</v>
      </c>
      <c r="E177" s="775">
        <v>71.040000000000006</v>
      </c>
      <c r="F177" s="775">
        <v>88.17</v>
      </c>
      <c r="G177" s="774"/>
      <c r="H177" s="54">
        <v>241</v>
      </c>
      <c r="I177" s="679" t="s">
        <v>242</v>
      </c>
      <c r="J177" s="41">
        <v>1</v>
      </c>
      <c r="K177" s="42">
        <v>1</v>
      </c>
      <c r="L177" s="784">
        <v>2017003630020</v>
      </c>
      <c r="M177" s="780" t="s">
        <v>234</v>
      </c>
      <c r="N177" s="774" t="s">
        <v>243</v>
      </c>
      <c r="O177" s="777" t="s">
        <v>961</v>
      </c>
      <c r="P177" s="54" t="s">
        <v>46</v>
      </c>
      <c r="Q177" s="391">
        <v>0</v>
      </c>
      <c r="R177" s="391">
        <v>0</v>
      </c>
      <c r="S177" s="391">
        <v>0</v>
      </c>
      <c r="T177" s="391">
        <v>0</v>
      </c>
      <c r="U177" s="391">
        <v>0</v>
      </c>
      <c r="V177" s="391">
        <v>0</v>
      </c>
      <c r="W177" s="391">
        <v>0</v>
      </c>
      <c r="X177" s="391"/>
      <c r="Y177" s="391"/>
      <c r="Z177" s="391">
        <v>0</v>
      </c>
      <c r="AA177" s="391">
        <v>0</v>
      </c>
      <c r="AB177" s="391"/>
      <c r="AC177" s="391"/>
      <c r="AD177" s="391">
        <v>0</v>
      </c>
      <c r="AE177" s="391">
        <v>0</v>
      </c>
      <c r="AF177" s="634">
        <f>30000000+27479700-20000000</f>
        <v>37479700</v>
      </c>
      <c r="AG177" s="392"/>
      <c r="AH177" s="391">
        <v>0</v>
      </c>
      <c r="AI177" s="393"/>
      <c r="AJ177" s="393">
        <v>0</v>
      </c>
      <c r="AK177" s="391">
        <f>Q177+R177+S177+T177+U177+V177+W177+X177+Y177+Z177+AA177+AB177+AC177+AD177+AE177+AF177+AG177+AH177+AI177+AJ177</f>
        <v>37479700</v>
      </c>
    </row>
    <row r="178" spans="1:37" ht="84" customHeight="1" x14ac:dyDescent="0.2">
      <c r="A178" s="39"/>
      <c r="B178" s="39"/>
      <c r="C178" s="775"/>
      <c r="D178" s="778"/>
      <c r="E178" s="775"/>
      <c r="F178" s="775"/>
      <c r="G178" s="776"/>
      <c r="H178" s="54">
        <v>242</v>
      </c>
      <c r="I178" s="679" t="s">
        <v>245</v>
      </c>
      <c r="J178" s="41">
        <v>1</v>
      </c>
      <c r="K178" s="42">
        <v>1</v>
      </c>
      <c r="L178" s="786"/>
      <c r="M178" s="782"/>
      <c r="N178" s="776"/>
      <c r="O178" s="779"/>
      <c r="P178" s="54" t="s">
        <v>46</v>
      </c>
      <c r="Q178" s="391">
        <v>0</v>
      </c>
      <c r="R178" s="391">
        <v>0</v>
      </c>
      <c r="S178" s="391">
        <v>0</v>
      </c>
      <c r="T178" s="391">
        <v>0</v>
      </c>
      <c r="U178" s="391">
        <v>0</v>
      </c>
      <c r="V178" s="391">
        <v>0</v>
      </c>
      <c r="W178" s="391">
        <v>0</v>
      </c>
      <c r="X178" s="391"/>
      <c r="Y178" s="391"/>
      <c r="Z178" s="391">
        <v>0</v>
      </c>
      <c r="AA178" s="391">
        <v>0</v>
      </c>
      <c r="AB178" s="391"/>
      <c r="AC178" s="391"/>
      <c r="AD178" s="391">
        <v>0</v>
      </c>
      <c r="AE178" s="391">
        <v>0</v>
      </c>
      <c r="AF178" s="634">
        <f>55000000+20000000</f>
        <v>75000000</v>
      </c>
      <c r="AG178" s="392"/>
      <c r="AH178" s="391">
        <v>0</v>
      </c>
      <c r="AI178" s="393"/>
      <c r="AJ178" s="393">
        <v>0</v>
      </c>
      <c r="AK178" s="391">
        <f>Q178+R178+S178+T178+U178+V178+W178+X178+Y178+Z178+AA178+AB178+AC178+AD178+AE178+AF178+AG178+AH178+AI178+AJ178</f>
        <v>75000000</v>
      </c>
    </row>
    <row r="179" spans="1:37" ht="30" customHeight="1" x14ac:dyDescent="0.2">
      <c r="A179" s="39"/>
      <c r="B179" s="52"/>
      <c r="C179" s="662"/>
      <c r="D179" s="657"/>
      <c r="E179" s="662"/>
      <c r="F179" s="662"/>
      <c r="G179" s="91"/>
      <c r="H179" s="92"/>
      <c r="I179" s="55"/>
      <c r="J179" s="57"/>
      <c r="K179" s="81"/>
      <c r="L179" s="81"/>
      <c r="M179" s="57"/>
      <c r="N179" s="56"/>
      <c r="O179" s="55"/>
      <c r="P179" s="56"/>
      <c r="Q179" s="400">
        <f t="shared" ref="Q179:AK179" si="40">SUM(Q177:Q178)</f>
        <v>0</v>
      </c>
      <c r="R179" s="400">
        <f t="shared" si="40"/>
        <v>0</v>
      </c>
      <c r="S179" s="400">
        <f t="shared" si="40"/>
        <v>0</v>
      </c>
      <c r="T179" s="400">
        <f t="shared" si="40"/>
        <v>0</v>
      </c>
      <c r="U179" s="400">
        <f t="shared" si="40"/>
        <v>0</v>
      </c>
      <c r="V179" s="400">
        <f t="shared" si="40"/>
        <v>0</v>
      </c>
      <c r="W179" s="400">
        <f t="shared" si="40"/>
        <v>0</v>
      </c>
      <c r="X179" s="400">
        <f t="shared" si="40"/>
        <v>0</v>
      </c>
      <c r="Y179" s="400">
        <f t="shared" si="40"/>
        <v>0</v>
      </c>
      <c r="Z179" s="400">
        <f t="shared" si="40"/>
        <v>0</v>
      </c>
      <c r="AA179" s="400">
        <f t="shared" si="40"/>
        <v>0</v>
      </c>
      <c r="AB179" s="400">
        <f t="shared" si="40"/>
        <v>0</v>
      </c>
      <c r="AC179" s="400">
        <f t="shared" si="40"/>
        <v>0</v>
      </c>
      <c r="AD179" s="400">
        <f t="shared" si="40"/>
        <v>0</v>
      </c>
      <c r="AE179" s="400">
        <f t="shared" si="40"/>
        <v>0</v>
      </c>
      <c r="AF179" s="400">
        <f t="shared" si="40"/>
        <v>112479700</v>
      </c>
      <c r="AG179" s="400">
        <f t="shared" si="40"/>
        <v>0</v>
      </c>
      <c r="AH179" s="400">
        <f t="shared" si="40"/>
        <v>0</v>
      </c>
      <c r="AI179" s="400">
        <f t="shared" si="40"/>
        <v>0</v>
      </c>
      <c r="AJ179" s="400">
        <f t="shared" si="40"/>
        <v>0</v>
      </c>
      <c r="AK179" s="400">
        <f t="shared" si="40"/>
        <v>112479700</v>
      </c>
    </row>
    <row r="180" spans="1:37" ht="30" customHeight="1" x14ac:dyDescent="0.2">
      <c r="A180" s="52"/>
      <c r="B180" s="59"/>
      <c r="C180" s="95"/>
      <c r="D180" s="59"/>
      <c r="E180" s="60"/>
      <c r="F180" s="60"/>
      <c r="G180" s="96"/>
      <c r="H180" s="97"/>
      <c r="I180" s="59"/>
      <c r="J180" s="61"/>
      <c r="K180" s="98"/>
      <c r="L180" s="98"/>
      <c r="M180" s="61"/>
      <c r="N180" s="60"/>
      <c r="O180" s="59"/>
      <c r="P180" s="60"/>
      <c r="Q180" s="406">
        <f t="shared" ref="Q180:AK180" si="41">Q179+Q174</f>
        <v>0</v>
      </c>
      <c r="R180" s="406">
        <f t="shared" si="41"/>
        <v>0</v>
      </c>
      <c r="S180" s="406">
        <f t="shared" si="41"/>
        <v>0</v>
      </c>
      <c r="T180" s="406">
        <f t="shared" si="41"/>
        <v>0</v>
      </c>
      <c r="U180" s="406">
        <f t="shared" si="41"/>
        <v>0</v>
      </c>
      <c r="V180" s="406">
        <f t="shared" si="41"/>
        <v>0</v>
      </c>
      <c r="W180" s="406">
        <f t="shared" si="41"/>
        <v>0</v>
      </c>
      <c r="X180" s="406">
        <f t="shared" si="41"/>
        <v>0</v>
      </c>
      <c r="Y180" s="406">
        <f t="shared" si="41"/>
        <v>0</v>
      </c>
      <c r="Z180" s="406">
        <f t="shared" si="41"/>
        <v>0</v>
      </c>
      <c r="AA180" s="406">
        <f t="shared" si="41"/>
        <v>0</v>
      </c>
      <c r="AB180" s="406">
        <f t="shared" si="41"/>
        <v>0</v>
      </c>
      <c r="AC180" s="406">
        <f t="shared" si="41"/>
        <v>0</v>
      </c>
      <c r="AD180" s="406">
        <f t="shared" si="41"/>
        <v>0</v>
      </c>
      <c r="AE180" s="406">
        <f t="shared" si="41"/>
        <v>0</v>
      </c>
      <c r="AF180" s="406">
        <f t="shared" si="41"/>
        <v>732560942</v>
      </c>
      <c r="AG180" s="406">
        <f t="shared" si="41"/>
        <v>0</v>
      </c>
      <c r="AH180" s="406">
        <f t="shared" si="41"/>
        <v>0</v>
      </c>
      <c r="AI180" s="406">
        <f t="shared" si="41"/>
        <v>0</v>
      </c>
      <c r="AJ180" s="406">
        <f t="shared" si="41"/>
        <v>0</v>
      </c>
      <c r="AK180" s="406">
        <f t="shared" si="41"/>
        <v>732560942</v>
      </c>
    </row>
    <row r="181" spans="1:37" ht="30" customHeight="1" x14ac:dyDescent="0.2">
      <c r="A181" s="62"/>
      <c r="B181" s="62"/>
      <c r="C181" s="63"/>
      <c r="D181" s="62"/>
      <c r="E181" s="63"/>
      <c r="F181" s="63"/>
      <c r="G181" s="181"/>
      <c r="H181" s="182"/>
      <c r="I181" s="62"/>
      <c r="J181" s="64"/>
      <c r="K181" s="125"/>
      <c r="L181" s="125"/>
      <c r="M181" s="64"/>
      <c r="N181" s="63"/>
      <c r="O181" s="62"/>
      <c r="P181" s="63"/>
      <c r="Q181" s="412">
        <f t="shared" ref="Q181:AK181" si="42">Q180+Q165+Q144</f>
        <v>0</v>
      </c>
      <c r="R181" s="412">
        <f t="shared" si="42"/>
        <v>0</v>
      </c>
      <c r="S181" s="412">
        <f t="shared" si="42"/>
        <v>0</v>
      </c>
      <c r="T181" s="412">
        <f t="shared" si="42"/>
        <v>7014956012.3800001</v>
      </c>
      <c r="U181" s="412">
        <f t="shared" si="42"/>
        <v>0</v>
      </c>
      <c r="V181" s="412">
        <f t="shared" si="42"/>
        <v>0</v>
      </c>
      <c r="W181" s="412">
        <f t="shared" si="42"/>
        <v>0</v>
      </c>
      <c r="X181" s="412">
        <f t="shared" si="42"/>
        <v>0</v>
      </c>
      <c r="Y181" s="412">
        <f t="shared" si="42"/>
        <v>0</v>
      </c>
      <c r="Z181" s="412">
        <f t="shared" si="42"/>
        <v>0</v>
      </c>
      <c r="AA181" s="412">
        <f t="shared" si="42"/>
        <v>0</v>
      </c>
      <c r="AB181" s="412">
        <f t="shared" si="42"/>
        <v>0</v>
      </c>
      <c r="AC181" s="412">
        <f t="shared" si="42"/>
        <v>0</v>
      </c>
      <c r="AD181" s="412">
        <f t="shared" si="42"/>
        <v>0</v>
      </c>
      <c r="AE181" s="412">
        <f t="shared" si="42"/>
        <v>0</v>
      </c>
      <c r="AF181" s="412">
        <f t="shared" si="42"/>
        <v>1636560942</v>
      </c>
      <c r="AG181" s="412">
        <f t="shared" si="42"/>
        <v>0</v>
      </c>
      <c r="AH181" s="412">
        <f t="shared" si="42"/>
        <v>0</v>
      </c>
      <c r="AI181" s="412">
        <f t="shared" si="42"/>
        <v>0</v>
      </c>
      <c r="AJ181" s="412">
        <f t="shared" si="42"/>
        <v>0</v>
      </c>
      <c r="AK181" s="412">
        <f t="shared" si="42"/>
        <v>8651516954.3800011</v>
      </c>
    </row>
    <row r="182" spans="1:37" ht="30" customHeight="1" x14ac:dyDescent="0.2">
      <c r="A182" s="68"/>
      <c r="B182" s="69"/>
      <c r="C182" s="146"/>
      <c r="D182" s="69"/>
      <c r="E182" s="146"/>
      <c r="F182" s="146"/>
      <c r="G182" s="99"/>
      <c r="H182" s="390"/>
      <c r="I182" s="69"/>
      <c r="J182" s="70"/>
      <c r="K182" s="80"/>
      <c r="L182" s="167"/>
      <c r="M182" s="115"/>
      <c r="N182" s="390"/>
      <c r="O182" s="99"/>
      <c r="P182" s="146"/>
      <c r="Q182" s="395"/>
      <c r="R182" s="396"/>
      <c r="S182" s="395"/>
      <c r="T182" s="395"/>
      <c r="U182" s="395"/>
      <c r="V182" s="395"/>
      <c r="W182" s="395"/>
      <c r="X182" s="395"/>
      <c r="Y182" s="395"/>
      <c r="Z182" s="395"/>
      <c r="AA182" s="395"/>
      <c r="AB182" s="396"/>
      <c r="AC182" s="396"/>
      <c r="AD182" s="395"/>
      <c r="AE182" s="395"/>
      <c r="AF182" s="397"/>
      <c r="AG182" s="395"/>
      <c r="AH182" s="395"/>
      <c r="AI182" s="395"/>
      <c r="AJ182" s="396"/>
      <c r="AK182" s="395"/>
    </row>
    <row r="183" spans="1:37" ht="30" customHeight="1" x14ac:dyDescent="0.2">
      <c r="A183" s="746">
        <v>5</v>
      </c>
      <c r="B183" s="31" t="s">
        <v>31</v>
      </c>
      <c r="C183" s="32"/>
      <c r="D183" s="31"/>
      <c r="E183" s="31"/>
      <c r="F183" s="31"/>
      <c r="G183" s="31"/>
      <c r="H183" s="32"/>
      <c r="I183" s="31"/>
      <c r="J183" s="31"/>
      <c r="K183" s="128"/>
      <c r="L183" s="128"/>
      <c r="M183" s="31"/>
      <c r="N183" s="32"/>
      <c r="O183" s="31"/>
      <c r="P183" s="31"/>
      <c r="Q183" s="421"/>
      <c r="R183" s="421"/>
      <c r="S183" s="421"/>
      <c r="T183" s="421"/>
      <c r="U183" s="421"/>
      <c r="V183" s="421"/>
      <c r="W183" s="421"/>
      <c r="X183" s="421"/>
      <c r="Y183" s="421"/>
      <c r="Z183" s="421"/>
      <c r="AA183" s="421"/>
      <c r="AB183" s="421"/>
      <c r="AC183" s="421"/>
      <c r="AD183" s="421"/>
      <c r="AE183" s="421"/>
      <c r="AF183" s="422"/>
      <c r="AG183" s="421"/>
      <c r="AH183" s="421"/>
      <c r="AI183" s="421"/>
      <c r="AJ183" s="421"/>
      <c r="AK183" s="423"/>
    </row>
    <row r="184" spans="1:37" ht="30" customHeight="1" x14ac:dyDescent="0.2">
      <c r="A184" s="40"/>
      <c r="B184" s="148">
        <v>26</v>
      </c>
      <c r="C184" s="35" t="s">
        <v>64</v>
      </c>
      <c r="D184" s="36"/>
      <c r="E184" s="36"/>
      <c r="F184" s="36"/>
      <c r="G184" s="36"/>
      <c r="H184" s="37"/>
      <c r="I184" s="36"/>
      <c r="J184" s="36"/>
      <c r="K184" s="88"/>
      <c r="L184" s="88"/>
      <c r="M184" s="36"/>
      <c r="N184" s="37"/>
      <c r="O184" s="36"/>
      <c r="P184" s="36"/>
      <c r="Q184" s="402"/>
      <c r="R184" s="402"/>
      <c r="S184" s="402"/>
      <c r="T184" s="402"/>
      <c r="U184" s="402"/>
      <c r="V184" s="402"/>
      <c r="W184" s="402"/>
      <c r="X184" s="402"/>
      <c r="Y184" s="402"/>
      <c r="Z184" s="402"/>
      <c r="AA184" s="402"/>
      <c r="AB184" s="402"/>
      <c r="AC184" s="402"/>
      <c r="AD184" s="402"/>
      <c r="AE184" s="402"/>
      <c r="AF184" s="403"/>
      <c r="AG184" s="402"/>
      <c r="AH184" s="402"/>
      <c r="AI184" s="402"/>
      <c r="AJ184" s="402"/>
      <c r="AK184" s="407"/>
    </row>
    <row r="185" spans="1:37" ht="30" customHeight="1" x14ac:dyDescent="0.2">
      <c r="A185" s="46"/>
      <c r="B185" s="40"/>
      <c r="C185" s="661"/>
      <c r="D185" s="655"/>
      <c r="E185" s="661"/>
      <c r="F185" s="661"/>
      <c r="G185" s="75">
        <v>84</v>
      </c>
      <c r="H185" s="77" t="s">
        <v>71</v>
      </c>
      <c r="I185" s="77"/>
      <c r="J185" s="77"/>
      <c r="K185" s="89"/>
      <c r="L185" s="89"/>
      <c r="M185" s="77"/>
      <c r="N185" s="169"/>
      <c r="O185" s="77"/>
      <c r="P185" s="77"/>
      <c r="Q185" s="263"/>
      <c r="R185" s="263"/>
      <c r="S185" s="263"/>
      <c r="T185" s="263"/>
      <c r="U185" s="263"/>
      <c r="V185" s="263"/>
      <c r="W185" s="263"/>
      <c r="X185" s="263"/>
      <c r="Y185" s="263"/>
      <c r="Z185" s="263"/>
      <c r="AA185" s="263"/>
      <c r="AB185" s="263"/>
      <c r="AC185" s="263"/>
      <c r="AD185" s="263"/>
      <c r="AE185" s="263"/>
      <c r="AF185" s="404"/>
      <c r="AG185" s="263"/>
      <c r="AH185" s="263"/>
      <c r="AI185" s="263"/>
      <c r="AJ185" s="263"/>
      <c r="AK185" s="265"/>
    </row>
    <row r="186" spans="1:37" ht="69.75" customHeight="1" x14ac:dyDescent="0.2">
      <c r="A186" s="270">
        <f>+A185</f>
        <v>0</v>
      </c>
      <c r="B186" s="46"/>
      <c r="C186" s="650">
        <v>37</v>
      </c>
      <c r="D186" s="656" t="s">
        <v>246</v>
      </c>
      <c r="E186" s="650">
        <v>54.61</v>
      </c>
      <c r="F186" s="650">
        <v>60</v>
      </c>
      <c r="G186" s="655"/>
      <c r="H186" s="661">
        <v>247</v>
      </c>
      <c r="I186" s="655" t="s">
        <v>247</v>
      </c>
      <c r="J186" s="652" t="s">
        <v>37</v>
      </c>
      <c r="K186" s="47">
        <v>1</v>
      </c>
      <c r="L186" s="651">
        <v>2017003630016</v>
      </c>
      <c r="M186" s="671" t="s">
        <v>78</v>
      </c>
      <c r="N186" s="661" t="s">
        <v>248</v>
      </c>
      <c r="O186" s="655" t="s">
        <v>962</v>
      </c>
      <c r="P186" s="166" t="s">
        <v>46</v>
      </c>
      <c r="Q186" s="428">
        <v>0</v>
      </c>
      <c r="R186" s="428">
        <v>0</v>
      </c>
      <c r="S186" s="428">
        <v>0</v>
      </c>
      <c r="T186" s="428">
        <v>0</v>
      </c>
      <c r="U186" s="428">
        <v>0</v>
      </c>
      <c r="V186" s="428">
        <v>0</v>
      </c>
      <c r="W186" s="428">
        <v>0</v>
      </c>
      <c r="X186" s="428"/>
      <c r="Y186" s="428"/>
      <c r="Z186" s="428">
        <v>0</v>
      </c>
      <c r="AA186" s="428">
        <v>0</v>
      </c>
      <c r="AB186" s="428"/>
      <c r="AC186" s="428"/>
      <c r="AD186" s="428">
        <v>0</v>
      </c>
      <c r="AE186" s="428">
        <v>0</v>
      </c>
      <c r="AF186" s="445">
        <f>29000000+21000000</f>
        <v>50000000</v>
      </c>
      <c r="AG186" s="445"/>
      <c r="AH186" s="428">
        <v>0</v>
      </c>
      <c r="AI186" s="455"/>
      <c r="AJ186" s="455">
        <v>0</v>
      </c>
      <c r="AK186" s="391">
        <f>Q186+R186+S186+T186+U186+V186+W186+X186+Y186+Z186+AA186+AB186+AC186+AD186+AE186+AF186+AG186+AH186+AI186+AJ186</f>
        <v>50000000</v>
      </c>
    </row>
    <row r="187" spans="1:37" ht="30" customHeight="1" x14ac:dyDescent="0.2">
      <c r="A187" s="574"/>
      <c r="B187" s="701"/>
      <c r="C187" s="697"/>
      <c r="D187" s="698"/>
      <c r="E187" s="697"/>
      <c r="F187" s="697"/>
      <c r="G187" s="702"/>
      <c r="H187" s="332"/>
      <c r="I187" s="332"/>
      <c r="J187" s="332"/>
      <c r="K187" s="559"/>
      <c r="L187" s="559"/>
      <c r="M187" s="332"/>
      <c r="N187" s="560"/>
      <c r="O187" s="332"/>
      <c r="P187" s="332"/>
      <c r="Q187" s="492">
        <f t="shared" ref="Q187:AK187" si="43">SUM(Q186)</f>
        <v>0</v>
      </c>
      <c r="R187" s="492">
        <f t="shared" si="43"/>
        <v>0</v>
      </c>
      <c r="S187" s="492">
        <f t="shared" si="43"/>
        <v>0</v>
      </c>
      <c r="T187" s="492">
        <f t="shared" si="43"/>
        <v>0</v>
      </c>
      <c r="U187" s="492">
        <f t="shared" si="43"/>
        <v>0</v>
      </c>
      <c r="V187" s="492">
        <f t="shared" si="43"/>
        <v>0</v>
      </c>
      <c r="W187" s="492">
        <f t="shared" si="43"/>
        <v>0</v>
      </c>
      <c r="X187" s="492">
        <f t="shared" si="43"/>
        <v>0</v>
      </c>
      <c r="Y187" s="492">
        <f t="shared" si="43"/>
        <v>0</v>
      </c>
      <c r="Z187" s="492">
        <f t="shared" si="43"/>
        <v>0</v>
      </c>
      <c r="AA187" s="492">
        <f t="shared" si="43"/>
        <v>0</v>
      </c>
      <c r="AB187" s="492">
        <f t="shared" si="43"/>
        <v>0</v>
      </c>
      <c r="AC187" s="492">
        <f t="shared" si="43"/>
        <v>0</v>
      </c>
      <c r="AD187" s="492">
        <f t="shared" si="43"/>
        <v>0</v>
      </c>
      <c r="AE187" s="492">
        <f t="shared" si="43"/>
        <v>0</v>
      </c>
      <c r="AF187" s="561">
        <f t="shared" si="43"/>
        <v>50000000</v>
      </c>
      <c r="AG187" s="492">
        <f t="shared" si="43"/>
        <v>0</v>
      </c>
      <c r="AH187" s="492">
        <f t="shared" si="43"/>
        <v>0</v>
      </c>
      <c r="AI187" s="492">
        <f t="shared" si="43"/>
        <v>0</v>
      </c>
      <c r="AJ187" s="492">
        <f t="shared" si="43"/>
        <v>0</v>
      </c>
      <c r="AK187" s="495">
        <f t="shared" si="43"/>
        <v>50000000</v>
      </c>
    </row>
    <row r="188" spans="1:37" ht="30" customHeight="1" x14ac:dyDescent="0.2">
      <c r="A188" s="574"/>
      <c r="B188" s="704"/>
      <c r="C188" s="705"/>
      <c r="D188" s="704"/>
      <c r="E188" s="705"/>
      <c r="F188" s="705"/>
      <c r="G188" s="704"/>
      <c r="H188" s="60"/>
      <c r="I188" s="59"/>
      <c r="J188" s="61"/>
      <c r="K188" s="98"/>
      <c r="L188" s="98"/>
      <c r="M188" s="61"/>
      <c r="N188" s="60"/>
      <c r="O188" s="59"/>
      <c r="P188" s="60"/>
      <c r="Q188" s="406">
        <f t="shared" ref="Q188:AK188" si="44">Q187</f>
        <v>0</v>
      </c>
      <c r="R188" s="406">
        <f t="shared" si="44"/>
        <v>0</v>
      </c>
      <c r="S188" s="406">
        <f t="shared" si="44"/>
        <v>0</v>
      </c>
      <c r="T188" s="406">
        <f t="shared" si="44"/>
        <v>0</v>
      </c>
      <c r="U188" s="406">
        <f t="shared" si="44"/>
        <v>0</v>
      </c>
      <c r="V188" s="406">
        <f t="shared" si="44"/>
        <v>0</v>
      </c>
      <c r="W188" s="406">
        <f t="shared" si="44"/>
        <v>0</v>
      </c>
      <c r="X188" s="406">
        <f t="shared" si="44"/>
        <v>0</v>
      </c>
      <c r="Y188" s="406">
        <f t="shared" si="44"/>
        <v>0</v>
      </c>
      <c r="Z188" s="406">
        <f t="shared" si="44"/>
        <v>0</v>
      </c>
      <c r="AA188" s="406">
        <f t="shared" si="44"/>
        <v>0</v>
      </c>
      <c r="AB188" s="406">
        <f t="shared" si="44"/>
        <v>0</v>
      </c>
      <c r="AC188" s="406">
        <f t="shared" si="44"/>
        <v>0</v>
      </c>
      <c r="AD188" s="406">
        <f t="shared" si="44"/>
        <v>0</v>
      </c>
      <c r="AE188" s="406">
        <f t="shared" si="44"/>
        <v>0</v>
      </c>
      <c r="AF188" s="406">
        <f t="shared" si="44"/>
        <v>50000000</v>
      </c>
      <c r="AG188" s="406">
        <f t="shared" si="44"/>
        <v>0</v>
      </c>
      <c r="AH188" s="406">
        <f t="shared" si="44"/>
        <v>0</v>
      </c>
      <c r="AI188" s="406">
        <f t="shared" si="44"/>
        <v>0</v>
      </c>
      <c r="AJ188" s="406">
        <f t="shared" si="44"/>
        <v>0</v>
      </c>
      <c r="AK188" s="406">
        <f t="shared" si="44"/>
        <v>50000000</v>
      </c>
    </row>
    <row r="189" spans="1:37" ht="30" customHeight="1" x14ac:dyDescent="0.2">
      <c r="A189" s="574"/>
      <c r="B189" s="698"/>
      <c r="C189" s="697"/>
      <c r="D189" s="698"/>
      <c r="E189" s="697"/>
      <c r="F189" s="697"/>
      <c r="G189" s="698"/>
      <c r="H189" s="697"/>
      <c r="I189" s="698"/>
      <c r="J189" s="699"/>
      <c r="K189" s="747"/>
      <c r="L189" s="747"/>
      <c r="M189" s="699"/>
      <c r="N189" s="697"/>
      <c r="O189" s="698"/>
      <c r="P189" s="697"/>
      <c r="Q189" s="742"/>
      <c r="R189" s="743"/>
      <c r="S189" s="742"/>
      <c r="T189" s="742"/>
      <c r="U189" s="742"/>
      <c r="V189" s="742"/>
      <c r="W189" s="742"/>
      <c r="X189" s="742"/>
      <c r="Y189" s="742"/>
      <c r="Z189" s="742"/>
      <c r="AA189" s="742"/>
      <c r="AB189" s="743"/>
      <c r="AC189" s="743"/>
      <c r="AD189" s="742"/>
      <c r="AE189" s="742"/>
      <c r="AF189" s="744"/>
      <c r="AG189" s="745"/>
      <c r="AH189" s="742"/>
      <c r="AI189" s="742"/>
      <c r="AJ189" s="743"/>
      <c r="AK189" s="742"/>
    </row>
    <row r="190" spans="1:37" ht="30" customHeight="1" x14ac:dyDescent="0.2">
      <c r="A190" s="46"/>
      <c r="B190" s="557">
        <v>27</v>
      </c>
      <c r="C190" s="558" t="s">
        <v>75</v>
      </c>
      <c r="D190" s="558"/>
      <c r="E190" s="558"/>
      <c r="F190" s="558"/>
      <c r="G190" s="558"/>
      <c r="H190" s="195"/>
      <c r="I190" s="334"/>
      <c r="J190" s="334"/>
      <c r="K190" s="562"/>
      <c r="L190" s="562"/>
      <c r="M190" s="334"/>
      <c r="N190" s="195"/>
      <c r="O190" s="334"/>
      <c r="P190" s="334"/>
      <c r="Q190" s="493"/>
      <c r="R190" s="493"/>
      <c r="S190" s="493"/>
      <c r="T190" s="493"/>
      <c r="U190" s="493"/>
      <c r="V190" s="493"/>
      <c r="W190" s="493"/>
      <c r="X190" s="493"/>
      <c r="Y190" s="493"/>
      <c r="Z190" s="493"/>
      <c r="AA190" s="493"/>
      <c r="AB190" s="493"/>
      <c r="AC190" s="493"/>
      <c r="AD190" s="493"/>
      <c r="AE190" s="493"/>
      <c r="AF190" s="563"/>
      <c r="AG190" s="493"/>
      <c r="AH190" s="493"/>
      <c r="AI190" s="493"/>
      <c r="AJ190" s="493"/>
      <c r="AK190" s="493"/>
    </row>
    <row r="191" spans="1:37" ht="30" customHeight="1" x14ac:dyDescent="0.2">
      <c r="A191" s="46"/>
      <c r="B191" s="40"/>
      <c r="C191" s="661"/>
      <c r="D191" s="40"/>
      <c r="E191" s="40"/>
      <c r="F191" s="40"/>
      <c r="G191" s="723">
        <v>85</v>
      </c>
      <c r="H191" s="332" t="s">
        <v>76</v>
      </c>
      <c r="I191" s="332"/>
      <c r="J191" s="332"/>
      <c r="K191" s="332"/>
      <c r="L191" s="332"/>
      <c r="M191" s="332"/>
      <c r="N191" s="332"/>
      <c r="O191" s="332"/>
      <c r="P191" s="332"/>
      <c r="Q191" s="492"/>
      <c r="R191" s="492"/>
      <c r="S191" s="492"/>
      <c r="T191" s="492"/>
      <c r="U191" s="492"/>
      <c r="V191" s="492"/>
      <c r="W191" s="492"/>
      <c r="X191" s="492"/>
      <c r="Y191" s="492"/>
      <c r="Z191" s="492"/>
      <c r="AA191" s="492"/>
      <c r="AB191" s="492"/>
      <c r="AC191" s="492"/>
      <c r="AD191" s="492"/>
      <c r="AE191" s="492"/>
      <c r="AF191" s="492"/>
      <c r="AG191" s="492"/>
      <c r="AH191" s="492"/>
      <c r="AI191" s="492"/>
      <c r="AJ191" s="492"/>
      <c r="AK191" s="492"/>
    </row>
    <row r="192" spans="1:37" ht="67.5" customHeight="1" x14ac:dyDescent="0.2">
      <c r="A192" s="46"/>
      <c r="B192" s="46"/>
      <c r="C192" s="775">
        <v>37</v>
      </c>
      <c r="D192" s="778" t="s">
        <v>250</v>
      </c>
      <c r="E192" s="775">
        <v>54.61</v>
      </c>
      <c r="F192" s="775">
        <v>60</v>
      </c>
      <c r="G192" s="46"/>
      <c r="H192" s="661">
        <v>250</v>
      </c>
      <c r="I192" s="679" t="s">
        <v>251</v>
      </c>
      <c r="J192" s="41">
        <v>1</v>
      </c>
      <c r="K192" s="51">
        <v>3</v>
      </c>
      <c r="L192" s="784">
        <v>2017003630014</v>
      </c>
      <c r="M192" s="780" t="s">
        <v>78</v>
      </c>
      <c r="N192" s="775" t="s">
        <v>252</v>
      </c>
      <c r="O192" s="778" t="s">
        <v>253</v>
      </c>
      <c r="P192" s="165" t="s">
        <v>46</v>
      </c>
      <c r="Q192" s="391">
        <v>0</v>
      </c>
      <c r="R192" s="391">
        <v>0</v>
      </c>
      <c r="S192" s="391">
        <v>0</v>
      </c>
      <c r="T192" s="391">
        <v>0</v>
      </c>
      <c r="U192" s="391">
        <v>0</v>
      </c>
      <c r="V192" s="391">
        <v>0</v>
      </c>
      <c r="W192" s="391">
        <v>0</v>
      </c>
      <c r="X192" s="391">
        <v>0</v>
      </c>
      <c r="Y192" s="391">
        <v>0</v>
      </c>
      <c r="Z192" s="391">
        <v>0</v>
      </c>
      <c r="AA192" s="391">
        <v>0</v>
      </c>
      <c r="AB192" s="391">
        <v>0</v>
      </c>
      <c r="AC192" s="391">
        <v>0</v>
      </c>
      <c r="AD192" s="391">
        <v>0</v>
      </c>
      <c r="AE192" s="391">
        <v>0</v>
      </c>
      <c r="AF192" s="405">
        <f>188000000+170000000</f>
        <v>358000000</v>
      </c>
      <c r="AG192" s="391">
        <v>0</v>
      </c>
      <c r="AH192" s="391">
        <v>0</v>
      </c>
      <c r="AI192" s="391"/>
      <c r="AJ192" s="391">
        <v>0</v>
      </c>
      <c r="AK192" s="391">
        <f>Q192+R192+S192+T192+U192+V192+W192+X192+Y192+Z192+AA192+AB192+AC192+AD192+AE192+AF192+AG192+AH192+AI192+AJ192</f>
        <v>358000000</v>
      </c>
    </row>
    <row r="193" spans="1:37" ht="67.5" customHeight="1" x14ac:dyDescent="0.2">
      <c r="A193" s="46"/>
      <c r="B193" s="46"/>
      <c r="C193" s="775"/>
      <c r="D193" s="778"/>
      <c r="E193" s="775"/>
      <c r="F193" s="775"/>
      <c r="G193" s="46"/>
      <c r="H193" s="661">
        <v>251</v>
      </c>
      <c r="I193" s="679" t="s">
        <v>254</v>
      </c>
      <c r="J193" s="41">
        <v>0</v>
      </c>
      <c r="K193" s="51">
        <v>1</v>
      </c>
      <c r="L193" s="785"/>
      <c r="M193" s="781"/>
      <c r="N193" s="775"/>
      <c r="O193" s="778"/>
      <c r="P193" s="165" t="s">
        <v>46</v>
      </c>
      <c r="Q193" s="391">
        <v>0</v>
      </c>
      <c r="R193" s="391">
        <v>0</v>
      </c>
      <c r="S193" s="391">
        <v>0</v>
      </c>
      <c r="T193" s="391">
        <v>0</v>
      </c>
      <c r="U193" s="391">
        <v>0</v>
      </c>
      <c r="V193" s="391">
        <v>0</v>
      </c>
      <c r="W193" s="391">
        <v>0</v>
      </c>
      <c r="X193" s="391"/>
      <c r="Y193" s="391"/>
      <c r="Z193" s="391">
        <v>0</v>
      </c>
      <c r="AA193" s="391">
        <v>0</v>
      </c>
      <c r="AB193" s="391"/>
      <c r="AC193" s="391"/>
      <c r="AD193" s="391">
        <v>0</v>
      </c>
      <c r="AE193" s="391">
        <v>0</v>
      </c>
      <c r="AF193" s="405">
        <v>50000000</v>
      </c>
      <c r="AG193" s="411"/>
      <c r="AH193" s="391">
        <v>0</v>
      </c>
      <c r="AI193" s="393"/>
      <c r="AJ193" s="393">
        <v>0</v>
      </c>
      <c r="AK193" s="391">
        <f>Q193+R193+S193+T193+U193+V193+W193+X193+Y193+Z193+AA193+AB193+AC193+AD193+AE193+AF193+AG193+AH193+AI193+AJ193</f>
        <v>50000000</v>
      </c>
    </row>
    <row r="194" spans="1:37" ht="45" x14ac:dyDescent="0.2">
      <c r="A194" s="46"/>
      <c r="B194" s="46"/>
      <c r="C194" s="775"/>
      <c r="D194" s="778"/>
      <c r="E194" s="775"/>
      <c r="F194" s="775"/>
      <c r="G194" s="183"/>
      <c r="H194" s="661">
        <v>252</v>
      </c>
      <c r="I194" s="44" t="s">
        <v>255</v>
      </c>
      <c r="J194" s="41">
        <v>1</v>
      </c>
      <c r="K194" s="721">
        <v>2</v>
      </c>
      <c r="L194" s="785"/>
      <c r="M194" s="781"/>
      <c r="N194" s="775"/>
      <c r="O194" s="778"/>
      <c r="P194" s="165" t="s">
        <v>61</v>
      </c>
      <c r="Q194" s="391">
        <v>0</v>
      </c>
      <c r="R194" s="391">
        <v>0</v>
      </c>
      <c r="S194" s="391">
        <v>0</v>
      </c>
      <c r="T194" s="391">
        <v>0</v>
      </c>
      <c r="U194" s="391">
        <v>0</v>
      </c>
      <c r="V194" s="391">
        <v>0</v>
      </c>
      <c r="W194" s="391">
        <v>0</v>
      </c>
      <c r="X194" s="391">
        <v>0</v>
      </c>
      <c r="Y194" s="391">
        <v>0</v>
      </c>
      <c r="Z194" s="391">
        <v>0</v>
      </c>
      <c r="AA194" s="391">
        <v>0</v>
      </c>
      <c r="AB194" s="391">
        <v>0</v>
      </c>
      <c r="AC194" s="391">
        <v>0</v>
      </c>
      <c r="AD194" s="391">
        <v>0</v>
      </c>
      <c r="AE194" s="391">
        <v>0</v>
      </c>
      <c r="AF194" s="391">
        <v>25000000</v>
      </c>
      <c r="AG194" s="391">
        <v>0</v>
      </c>
      <c r="AH194" s="391">
        <v>0</v>
      </c>
      <c r="AI194" s="391"/>
      <c r="AJ194" s="391">
        <v>0</v>
      </c>
      <c r="AK194" s="391">
        <f>Q194+R194+S194+T194+U194+V194+W194+X194+Y194+Z194+AA194+AB194+AC194+AD194+AE194+AF194+AG194+AH194+AI194+AJ194</f>
        <v>25000000</v>
      </c>
    </row>
    <row r="195" spans="1:37" ht="58.5" customHeight="1" x14ac:dyDescent="0.2">
      <c r="A195" s="46" t="s">
        <v>256</v>
      </c>
      <c r="B195" s="46"/>
      <c r="C195" s="775"/>
      <c r="D195" s="778"/>
      <c r="E195" s="775"/>
      <c r="F195" s="775"/>
      <c r="G195" s="46"/>
      <c r="H195" s="661">
        <v>253</v>
      </c>
      <c r="I195" s="679" t="s">
        <v>257</v>
      </c>
      <c r="J195" s="41">
        <v>4</v>
      </c>
      <c r="K195" s="107">
        <v>0.25</v>
      </c>
      <c r="L195" s="785"/>
      <c r="M195" s="781"/>
      <c r="N195" s="775"/>
      <c r="O195" s="778"/>
      <c r="P195" s="165" t="s">
        <v>61</v>
      </c>
      <c r="Q195" s="391">
        <v>0</v>
      </c>
      <c r="R195" s="391">
        <v>0</v>
      </c>
      <c r="S195" s="391">
        <v>0</v>
      </c>
      <c r="T195" s="391">
        <v>0</v>
      </c>
      <c r="U195" s="391">
        <v>0</v>
      </c>
      <c r="V195" s="391">
        <v>0</v>
      </c>
      <c r="W195" s="391">
        <v>0</v>
      </c>
      <c r="X195" s="391">
        <v>0</v>
      </c>
      <c r="Y195" s="391">
        <v>0</v>
      </c>
      <c r="Z195" s="391">
        <v>0</v>
      </c>
      <c r="AA195" s="391">
        <v>0</v>
      </c>
      <c r="AB195" s="391">
        <v>0</v>
      </c>
      <c r="AC195" s="391">
        <v>0</v>
      </c>
      <c r="AD195" s="391">
        <v>0</v>
      </c>
      <c r="AE195" s="391">
        <v>0</v>
      </c>
      <c r="AF195" s="391">
        <v>0</v>
      </c>
      <c r="AG195" s="391">
        <v>0</v>
      </c>
      <c r="AH195" s="391">
        <v>0</v>
      </c>
      <c r="AI195" s="391"/>
      <c r="AJ195" s="391">
        <v>0</v>
      </c>
      <c r="AK195" s="391">
        <f>Q195+R195+S195+T195+U195+V195+W195+X195+Y195+Z195+AA195+AB195+AC195+AD195+AE195+AF195+AG195+AH195+AI195+AJ195</f>
        <v>0</v>
      </c>
    </row>
    <row r="196" spans="1:37" ht="60" x14ac:dyDescent="0.2">
      <c r="A196" s="46" t="s">
        <v>256</v>
      </c>
      <c r="B196" s="46"/>
      <c r="C196" s="775"/>
      <c r="D196" s="778"/>
      <c r="E196" s="775"/>
      <c r="F196" s="775"/>
      <c r="G196" s="90"/>
      <c r="H196" s="661">
        <v>254</v>
      </c>
      <c r="I196" s="44" t="s">
        <v>258</v>
      </c>
      <c r="J196" s="41">
        <v>0</v>
      </c>
      <c r="K196" s="42">
        <v>1</v>
      </c>
      <c r="L196" s="786"/>
      <c r="M196" s="782"/>
      <c r="N196" s="776"/>
      <c r="O196" s="779"/>
      <c r="P196" s="165" t="s">
        <v>46</v>
      </c>
      <c r="Q196" s="391">
        <v>0</v>
      </c>
      <c r="R196" s="391">
        <v>0</v>
      </c>
      <c r="S196" s="391">
        <v>0</v>
      </c>
      <c r="T196" s="391">
        <v>0</v>
      </c>
      <c r="U196" s="391">
        <v>0</v>
      </c>
      <c r="V196" s="391">
        <v>0</v>
      </c>
      <c r="W196" s="391">
        <v>0</v>
      </c>
      <c r="X196" s="391"/>
      <c r="Y196" s="391"/>
      <c r="Z196" s="391">
        <v>0</v>
      </c>
      <c r="AA196" s="391">
        <v>0</v>
      </c>
      <c r="AB196" s="391"/>
      <c r="AC196" s="391"/>
      <c r="AD196" s="391">
        <v>0</v>
      </c>
      <c r="AE196" s="391">
        <v>0</v>
      </c>
      <c r="AF196" s="405">
        <v>30000000</v>
      </c>
      <c r="AG196" s="405"/>
      <c r="AH196" s="391">
        <v>0</v>
      </c>
      <c r="AI196" s="391"/>
      <c r="AJ196" s="391">
        <v>0</v>
      </c>
      <c r="AK196" s="391">
        <f>Q196+R196+S196+T196+U196+V196+W196+X196+Y196+Z196+AA196+AB196+AC196+AD196+AE196+AF196+AG196+AH196+AI196+AJ196</f>
        <v>30000000</v>
      </c>
    </row>
    <row r="197" spans="1:37" ht="30" customHeight="1" x14ac:dyDescent="0.2">
      <c r="A197" s="46"/>
      <c r="B197" s="46"/>
      <c r="C197" s="662"/>
      <c r="D197" s="657"/>
      <c r="E197" s="662"/>
      <c r="F197" s="662"/>
      <c r="G197" s="91"/>
      <c r="H197" s="92"/>
      <c r="I197" s="184"/>
      <c r="J197" s="57"/>
      <c r="K197" s="57"/>
      <c r="L197" s="57"/>
      <c r="M197" s="57"/>
      <c r="N197" s="56"/>
      <c r="O197" s="55"/>
      <c r="P197" s="56"/>
      <c r="Q197" s="400">
        <f t="shared" ref="Q197:AJ197" si="45">SUM(Q192:Q196)</f>
        <v>0</v>
      </c>
      <c r="R197" s="400">
        <f t="shared" si="45"/>
        <v>0</v>
      </c>
      <c r="S197" s="400">
        <f t="shared" si="45"/>
        <v>0</v>
      </c>
      <c r="T197" s="400">
        <f t="shared" si="45"/>
        <v>0</v>
      </c>
      <c r="U197" s="400">
        <f t="shared" si="45"/>
        <v>0</v>
      </c>
      <c r="V197" s="400">
        <f t="shared" si="45"/>
        <v>0</v>
      </c>
      <c r="W197" s="400">
        <f t="shared" si="45"/>
        <v>0</v>
      </c>
      <c r="X197" s="400">
        <f t="shared" si="45"/>
        <v>0</v>
      </c>
      <c r="Y197" s="400">
        <f t="shared" si="45"/>
        <v>0</v>
      </c>
      <c r="Z197" s="400">
        <f t="shared" si="45"/>
        <v>0</v>
      </c>
      <c r="AA197" s="400">
        <f t="shared" si="45"/>
        <v>0</v>
      </c>
      <c r="AB197" s="400">
        <f t="shared" si="45"/>
        <v>0</v>
      </c>
      <c r="AC197" s="400">
        <f t="shared" si="45"/>
        <v>0</v>
      </c>
      <c r="AD197" s="400">
        <f t="shared" si="45"/>
        <v>0</v>
      </c>
      <c r="AE197" s="400">
        <f t="shared" si="45"/>
        <v>0</v>
      </c>
      <c r="AF197" s="400">
        <f t="shared" si="45"/>
        <v>463000000</v>
      </c>
      <c r="AG197" s="400">
        <f t="shared" si="45"/>
        <v>0</v>
      </c>
      <c r="AH197" s="400">
        <f t="shared" si="45"/>
        <v>0</v>
      </c>
      <c r="AI197" s="400">
        <f t="shared" si="45"/>
        <v>0</v>
      </c>
      <c r="AJ197" s="400">
        <f t="shared" si="45"/>
        <v>0</v>
      </c>
      <c r="AK197" s="400">
        <f>SUM(AK192:AK196)</f>
        <v>463000000</v>
      </c>
    </row>
    <row r="198" spans="1:37" ht="30" customHeight="1" x14ac:dyDescent="0.2">
      <c r="A198" s="46"/>
      <c r="B198" s="46"/>
      <c r="C198" s="146"/>
      <c r="D198" s="69"/>
      <c r="E198" s="146"/>
      <c r="F198" s="146"/>
      <c r="G198" s="99"/>
      <c r="H198" s="390"/>
      <c r="I198" s="87"/>
      <c r="J198" s="70"/>
      <c r="K198" s="70"/>
      <c r="L198" s="70"/>
      <c r="M198" s="70"/>
      <c r="N198" s="146"/>
      <c r="O198" s="69"/>
      <c r="P198" s="146"/>
      <c r="Q198" s="395"/>
      <c r="R198" s="396"/>
      <c r="S198" s="395"/>
      <c r="T198" s="395"/>
      <c r="U198" s="395"/>
      <c r="V198" s="395"/>
      <c r="W198" s="395"/>
      <c r="X198" s="395"/>
      <c r="Y198" s="395"/>
      <c r="Z198" s="395"/>
      <c r="AA198" s="395"/>
      <c r="AB198" s="395"/>
      <c r="AC198" s="395"/>
      <c r="AD198" s="395"/>
      <c r="AE198" s="395"/>
      <c r="AF198" s="397"/>
      <c r="AG198" s="398"/>
      <c r="AH198" s="395"/>
      <c r="AI198" s="395"/>
      <c r="AJ198" s="396"/>
      <c r="AK198" s="395"/>
    </row>
    <row r="199" spans="1:37" ht="30" customHeight="1" x14ac:dyDescent="0.2">
      <c r="A199" s="46"/>
      <c r="B199" s="46"/>
      <c r="C199" s="661"/>
      <c r="D199" s="655"/>
      <c r="E199" s="661"/>
      <c r="F199" s="661"/>
      <c r="G199" s="75">
        <v>86</v>
      </c>
      <c r="H199" s="77" t="s">
        <v>259</v>
      </c>
      <c r="I199" s="77"/>
      <c r="J199" s="77"/>
      <c r="K199" s="77"/>
      <c r="L199" s="77"/>
      <c r="M199" s="77"/>
      <c r="N199" s="169"/>
      <c r="O199" s="77"/>
      <c r="P199" s="77"/>
      <c r="Q199" s="263"/>
      <c r="R199" s="263"/>
      <c r="S199" s="263"/>
      <c r="T199" s="263"/>
      <c r="U199" s="263"/>
      <c r="V199" s="263"/>
      <c r="W199" s="263"/>
      <c r="X199" s="263"/>
      <c r="Y199" s="263"/>
      <c r="Z199" s="263"/>
      <c r="AA199" s="263"/>
      <c r="AB199" s="263"/>
      <c r="AC199" s="263"/>
      <c r="AD199" s="263"/>
      <c r="AE199" s="263"/>
      <c r="AF199" s="404"/>
      <c r="AG199" s="263"/>
      <c r="AH199" s="263"/>
      <c r="AI199" s="263"/>
      <c r="AJ199" s="263"/>
      <c r="AK199" s="265"/>
    </row>
    <row r="200" spans="1:37" ht="69" customHeight="1" x14ac:dyDescent="0.2">
      <c r="A200" s="46"/>
      <c r="B200" s="46"/>
      <c r="C200" s="650">
        <v>37</v>
      </c>
      <c r="D200" s="656" t="s">
        <v>246</v>
      </c>
      <c r="E200" s="650">
        <v>54.61</v>
      </c>
      <c r="F200" s="650">
        <v>60</v>
      </c>
      <c r="G200" s="40"/>
      <c r="H200" s="54">
        <v>255</v>
      </c>
      <c r="I200" s="679" t="s">
        <v>260</v>
      </c>
      <c r="J200" s="41">
        <v>12</v>
      </c>
      <c r="K200" s="42">
        <v>12</v>
      </c>
      <c r="L200" s="43">
        <v>2017003630015</v>
      </c>
      <c r="M200" s="44" t="s">
        <v>78</v>
      </c>
      <c r="N200" s="54" t="s">
        <v>261</v>
      </c>
      <c r="O200" s="679" t="s">
        <v>963</v>
      </c>
      <c r="P200" s="165" t="s">
        <v>46</v>
      </c>
      <c r="Q200" s="391">
        <v>0</v>
      </c>
      <c r="R200" s="391">
        <v>0</v>
      </c>
      <c r="S200" s="391">
        <v>0</v>
      </c>
      <c r="T200" s="391">
        <v>0</v>
      </c>
      <c r="U200" s="391">
        <v>0</v>
      </c>
      <c r="V200" s="391">
        <v>0</v>
      </c>
      <c r="W200" s="391">
        <v>0</v>
      </c>
      <c r="X200" s="391"/>
      <c r="Y200" s="391"/>
      <c r="Z200" s="391">
        <v>0</v>
      </c>
      <c r="AA200" s="391">
        <v>0</v>
      </c>
      <c r="AB200" s="391"/>
      <c r="AC200" s="391"/>
      <c r="AD200" s="391">
        <v>0</v>
      </c>
      <c r="AE200" s="391">
        <v>0</v>
      </c>
      <c r="AF200" s="394">
        <f>100000000+70000000</f>
        <v>170000000</v>
      </c>
      <c r="AG200" s="394"/>
      <c r="AH200" s="391">
        <v>0</v>
      </c>
      <c r="AI200" s="393"/>
      <c r="AJ200" s="393">
        <v>0</v>
      </c>
      <c r="AK200" s="391">
        <f>Q200+R200+S200+T200+U200+V200+W200+X200+Y200+Z200+AA200+AB200+AC200+AD200+AE200+AF200+AG200+AH200+AI200+AJ200</f>
        <v>170000000</v>
      </c>
    </row>
    <row r="201" spans="1:37" s="2" customFormat="1" ht="30" customHeight="1" x14ac:dyDescent="0.25">
      <c r="A201" s="46"/>
      <c r="B201" s="46"/>
      <c r="C201" s="650"/>
      <c r="D201" s="656"/>
      <c r="E201" s="650"/>
      <c r="F201" s="650"/>
      <c r="G201" s="91"/>
      <c r="H201" s="92"/>
      <c r="I201" s="91"/>
      <c r="J201" s="341"/>
      <c r="K201" s="341"/>
      <c r="L201" s="341"/>
      <c r="M201" s="341"/>
      <c r="N201" s="92"/>
      <c r="O201" s="91"/>
      <c r="P201" s="92"/>
      <c r="Q201" s="438">
        <f t="shared" ref="Q201:AK201" si="46">SUM(Q200:Q200)</f>
        <v>0</v>
      </c>
      <c r="R201" s="438">
        <f t="shared" si="46"/>
        <v>0</v>
      </c>
      <c r="S201" s="438">
        <f t="shared" si="46"/>
        <v>0</v>
      </c>
      <c r="T201" s="438">
        <f t="shared" si="46"/>
        <v>0</v>
      </c>
      <c r="U201" s="438">
        <f t="shared" si="46"/>
        <v>0</v>
      </c>
      <c r="V201" s="438">
        <f t="shared" si="46"/>
        <v>0</v>
      </c>
      <c r="W201" s="438">
        <f t="shared" si="46"/>
        <v>0</v>
      </c>
      <c r="X201" s="438">
        <f t="shared" si="46"/>
        <v>0</v>
      </c>
      <c r="Y201" s="438">
        <f t="shared" si="46"/>
        <v>0</v>
      </c>
      <c r="Z201" s="438">
        <f t="shared" si="46"/>
        <v>0</v>
      </c>
      <c r="AA201" s="438">
        <f t="shared" si="46"/>
        <v>0</v>
      </c>
      <c r="AB201" s="438">
        <f t="shared" si="46"/>
        <v>0</v>
      </c>
      <c r="AC201" s="438">
        <f t="shared" si="46"/>
        <v>0</v>
      </c>
      <c r="AD201" s="438">
        <f t="shared" si="46"/>
        <v>0</v>
      </c>
      <c r="AE201" s="438">
        <f t="shared" si="46"/>
        <v>0</v>
      </c>
      <c r="AF201" s="438">
        <f t="shared" si="46"/>
        <v>170000000</v>
      </c>
      <c r="AG201" s="438">
        <f t="shared" si="46"/>
        <v>0</v>
      </c>
      <c r="AH201" s="438">
        <f t="shared" si="46"/>
        <v>0</v>
      </c>
      <c r="AI201" s="438">
        <f t="shared" si="46"/>
        <v>0</v>
      </c>
      <c r="AJ201" s="438">
        <f t="shared" si="46"/>
        <v>0</v>
      </c>
      <c r="AK201" s="438">
        <f t="shared" si="46"/>
        <v>170000000</v>
      </c>
    </row>
    <row r="202" spans="1:37" s="6" customFormat="1" ht="30" customHeight="1" x14ac:dyDescent="0.25">
      <c r="A202" s="574"/>
      <c r="B202" s="704"/>
      <c r="C202" s="705"/>
      <c r="D202" s="704"/>
      <c r="E202" s="705"/>
      <c r="F202" s="705"/>
      <c r="G202" s="704"/>
      <c r="H202" s="60"/>
      <c r="I202" s="59"/>
      <c r="J202" s="61"/>
      <c r="K202" s="61"/>
      <c r="L202" s="61"/>
      <c r="M202" s="61"/>
      <c r="N202" s="60"/>
      <c r="O202" s="59"/>
      <c r="P202" s="60"/>
      <c r="Q202" s="406">
        <f t="shared" ref="Q202:AK202" si="47">Q201+Q197</f>
        <v>0</v>
      </c>
      <c r="R202" s="406">
        <f t="shared" si="47"/>
        <v>0</v>
      </c>
      <c r="S202" s="406">
        <f t="shared" si="47"/>
        <v>0</v>
      </c>
      <c r="T202" s="406">
        <f t="shared" si="47"/>
        <v>0</v>
      </c>
      <c r="U202" s="406">
        <f t="shared" si="47"/>
        <v>0</v>
      </c>
      <c r="V202" s="406">
        <f t="shared" si="47"/>
        <v>0</v>
      </c>
      <c r="W202" s="406">
        <f t="shared" si="47"/>
        <v>0</v>
      </c>
      <c r="X202" s="406">
        <f t="shared" si="47"/>
        <v>0</v>
      </c>
      <c r="Y202" s="406">
        <f t="shared" si="47"/>
        <v>0</v>
      </c>
      <c r="Z202" s="406">
        <f t="shared" si="47"/>
        <v>0</v>
      </c>
      <c r="AA202" s="406">
        <f t="shared" si="47"/>
        <v>0</v>
      </c>
      <c r="AB202" s="406">
        <f t="shared" si="47"/>
        <v>0</v>
      </c>
      <c r="AC202" s="406">
        <f t="shared" si="47"/>
        <v>0</v>
      </c>
      <c r="AD202" s="406">
        <f t="shared" si="47"/>
        <v>0</v>
      </c>
      <c r="AE202" s="406">
        <f t="shared" si="47"/>
        <v>0</v>
      </c>
      <c r="AF202" s="406">
        <f t="shared" si="47"/>
        <v>633000000</v>
      </c>
      <c r="AG202" s="406">
        <f t="shared" si="47"/>
        <v>0</v>
      </c>
      <c r="AH202" s="406">
        <f t="shared" si="47"/>
        <v>0</v>
      </c>
      <c r="AI202" s="406">
        <f t="shared" si="47"/>
        <v>0</v>
      </c>
      <c r="AJ202" s="406">
        <f t="shared" si="47"/>
        <v>0</v>
      </c>
      <c r="AK202" s="406">
        <f t="shared" si="47"/>
        <v>633000000</v>
      </c>
    </row>
    <row r="203" spans="1:37" ht="30" customHeight="1" x14ac:dyDescent="0.2">
      <c r="A203" s="567"/>
      <c r="B203" s="567"/>
      <c r="C203" s="568"/>
      <c r="D203" s="567"/>
      <c r="E203" s="568"/>
      <c r="F203" s="568"/>
      <c r="G203" s="567"/>
      <c r="H203" s="568"/>
      <c r="I203" s="567"/>
      <c r="J203" s="569"/>
      <c r="K203" s="569"/>
      <c r="L203" s="569"/>
      <c r="M203" s="569"/>
      <c r="N203" s="568"/>
      <c r="O203" s="567"/>
      <c r="P203" s="568"/>
      <c r="Q203" s="570">
        <f t="shared" ref="Q203:AJ203" si="48">Q202+Q188</f>
        <v>0</v>
      </c>
      <c r="R203" s="570">
        <f t="shared" si="48"/>
        <v>0</v>
      </c>
      <c r="S203" s="570">
        <f t="shared" si="48"/>
        <v>0</v>
      </c>
      <c r="T203" s="570">
        <f t="shared" si="48"/>
        <v>0</v>
      </c>
      <c r="U203" s="570">
        <f t="shared" si="48"/>
        <v>0</v>
      </c>
      <c r="V203" s="570">
        <f t="shared" si="48"/>
        <v>0</v>
      </c>
      <c r="W203" s="570">
        <f t="shared" si="48"/>
        <v>0</v>
      </c>
      <c r="X203" s="570">
        <f t="shared" si="48"/>
        <v>0</v>
      </c>
      <c r="Y203" s="570">
        <f t="shared" si="48"/>
        <v>0</v>
      </c>
      <c r="Z203" s="570">
        <f t="shared" si="48"/>
        <v>0</v>
      </c>
      <c r="AA203" s="570">
        <f t="shared" si="48"/>
        <v>0</v>
      </c>
      <c r="AB203" s="570">
        <f t="shared" si="48"/>
        <v>0</v>
      </c>
      <c r="AC203" s="570">
        <f t="shared" si="48"/>
        <v>0</v>
      </c>
      <c r="AD203" s="570">
        <f t="shared" si="48"/>
        <v>0</v>
      </c>
      <c r="AE203" s="570">
        <f t="shared" si="48"/>
        <v>0</v>
      </c>
      <c r="AF203" s="570">
        <f t="shared" si="48"/>
        <v>683000000</v>
      </c>
      <c r="AG203" s="570">
        <f t="shared" si="48"/>
        <v>0</v>
      </c>
      <c r="AH203" s="570">
        <f t="shared" si="48"/>
        <v>0</v>
      </c>
      <c r="AI203" s="570">
        <f t="shared" si="48"/>
        <v>0</v>
      </c>
      <c r="AJ203" s="570">
        <f t="shared" si="48"/>
        <v>0</v>
      </c>
      <c r="AK203" s="570">
        <f>AK202+AK188</f>
        <v>683000000</v>
      </c>
    </row>
    <row r="204" spans="1:37" ht="30" customHeight="1" x14ac:dyDescent="0.2">
      <c r="A204" s="65"/>
      <c r="B204" s="65"/>
      <c r="C204" s="66"/>
      <c r="D204" s="65"/>
      <c r="E204" s="66"/>
      <c r="F204" s="66"/>
      <c r="G204" s="65"/>
      <c r="H204" s="66"/>
      <c r="I204" s="65"/>
      <c r="J204" s="67"/>
      <c r="K204" s="67"/>
      <c r="L204" s="67"/>
      <c r="M204" s="67"/>
      <c r="N204" s="66"/>
      <c r="O204" s="65"/>
      <c r="P204" s="66"/>
      <c r="Q204" s="413">
        <f t="shared" ref="Q204:AJ204" si="49">Q203+Q181</f>
        <v>0</v>
      </c>
      <c r="R204" s="413">
        <f t="shared" si="49"/>
        <v>0</v>
      </c>
      <c r="S204" s="413">
        <f t="shared" si="49"/>
        <v>0</v>
      </c>
      <c r="T204" s="413">
        <f t="shared" si="49"/>
        <v>7014956012.3800001</v>
      </c>
      <c r="U204" s="413">
        <f t="shared" si="49"/>
        <v>0</v>
      </c>
      <c r="V204" s="413">
        <f t="shared" si="49"/>
        <v>0</v>
      </c>
      <c r="W204" s="413">
        <f t="shared" si="49"/>
        <v>0</v>
      </c>
      <c r="X204" s="413">
        <f t="shared" si="49"/>
        <v>0</v>
      </c>
      <c r="Y204" s="413">
        <f t="shared" si="49"/>
        <v>0</v>
      </c>
      <c r="Z204" s="413">
        <f t="shared" si="49"/>
        <v>0</v>
      </c>
      <c r="AA204" s="413">
        <f t="shared" si="49"/>
        <v>0</v>
      </c>
      <c r="AB204" s="413">
        <f t="shared" si="49"/>
        <v>0</v>
      </c>
      <c r="AC204" s="413">
        <f t="shared" si="49"/>
        <v>0</v>
      </c>
      <c r="AD204" s="413">
        <f t="shared" si="49"/>
        <v>0</v>
      </c>
      <c r="AE204" s="413">
        <f t="shared" si="49"/>
        <v>0</v>
      </c>
      <c r="AF204" s="413">
        <f t="shared" si="49"/>
        <v>2319560942</v>
      </c>
      <c r="AG204" s="413">
        <f t="shared" si="49"/>
        <v>0</v>
      </c>
      <c r="AH204" s="413">
        <f t="shared" si="49"/>
        <v>0</v>
      </c>
      <c r="AI204" s="413">
        <f t="shared" si="49"/>
        <v>0</v>
      </c>
      <c r="AJ204" s="413">
        <f t="shared" si="49"/>
        <v>0</v>
      </c>
      <c r="AK204" s="413">
        <f>AK203+AK181</f>
        <v>9334516954.3800011</v>
      </c>
    </row>
    <row r="205" spans="1:37" ht="30" customHeight="1" x14ac:dyDescent="0.2">
      <c r="A205" s="114"/>
      <c r="B205" s="99"/>
      <c r="C205" s="390"/>
      <c r="D205" s="99"/>
      <c r="E205" s="390"/>
      <c r="F205" s="390"/>
      <c r="G205" s="99"/>
      <c r="H205" s="390"/>
      <c r="I205" s="99"/>
      <c r="J205" s="115"/>
      <c r="K205" s="115"/>
      <c r="L205" s="115"/>
      <c r="M205" s="115"/>
      <c r="N205" s="390"/>
      <c r="O205" s="99"/>
      <c r="P205" s="390"/>
      <c r="Q205" s="584"/>
      <c r="R205" s="585"/>
      <c r="S205" s="584"/>
      <c r="T205" s="584"/>
      <c r="U205" s="584"/>
      <c r="V205" s="584"/>
      <c r="W205" s="584"/>
      <c r="X205" s="584"/>
      <c r="Y205" s="584"/>
      <c r="Z205" s="584"/>
      <c r="AA205" s="584"/>
      <c r="AB205" s="585"/>
      <c r="AC205" s="585"/>
      <c r="AD205" s="584"/>
      <c r="AE205" s="584"/>
      <c r="AF205" s="392"/>
      <c r="AG205" s="587"/>
      <c r="AH205" s="584"/>
      <c r="AI205" s="584"/>
      <c r="AJ205" s="585"/>
      <c r="AK205" s="584"/>
    </row>
    <row r="206" spans="1:37" ht="30" customHeight="1" x14ac:dyDescent="0.2">
      <c r="A206" s="116" t="s">
        <v>263</v>
      </c>
      <c r="B206" s="117"/>
      <c r="C206" s="118"/>
      <c r="D206" s="117"/>
      <c r="E206" s="117"/>
      <c r="F206" s="117"/>
      <c r="G206" s="117"/>
      <c r="H206" s="118"/>
      <c r="I206" s="117"/>
      <c r="J206" s="117"/>
      <c r="K206" s="117"/>
      <c r="L206" s="117"/>
      <c r="M206" s="117"/>
      <c r="N206" s="118"/>
      <c r="O206" s="117"/>
      <c r="P206" s="118"/>
      <c r="Q206" s="580"/>
      <c r="R206" s="580"/>
      <c r="S206" s="580"/>
      <c r="T206" s="580"/>
      <c r="U206" s="580"/>
      <c r="V206" s="580"/>
      <c r="W206" s="580"/>
      <c r="X206" s="580"/>
      <c r="Y206" s="580"/>
      <c r="Z206" s="580"/>
      <c r="AA206" s="580"/>
      <c r="AB206" s="580"/>
      <c r="AC206" s="580"/>
      <c r="AD206" s="580"/>
      <c r="AE206" s="580"/>
      <c r="AF206" s="588"/>
      <c r="AG206" s="582"/>
      <c r="AH206" s="580"/>
      <c r="AI206" s="580"/>
      <c r="AJ206" s="580"/>
      <c r="AK206" s="583" t="s">
        <v>63</v>
      </c>
    </row>
    <row r="207" spans="1:37" ht="30" customHeight="1" x14ac:dyDescent="0.2">
      <c r="A207" s="738">
        <v>3</v>
      </c>
      <c r="B207" s="31" t="s">
        <v>264</v>
      </c>
      <c r="C207" s="32"/>
      <c r="D207" s="31"/>
      <c r="E207" s="31"/>
      <c r="F207" s="31"/>
      <c r="G207" s="31"/>
      <c r="H207" s="32"/>
      <c r="I207" s="31"/>
      <c r="J207" s="31"/>
      <c r="K207" s="31"/>
      <c r="L207" s="31"/>
      <c r="M207" s="31"/>
      <c r="N207" s="32"/>
      <c r="O207" s="31"/>
      <c r="P207" s="31"/>
      <c r="Q207" s="421"/>
      <c r="R207" s="421"/>
      <c r="S207" s="421"/>
      <c r="T207" s="421"/>
      <c r="U207" s="421"/>
      <c r="V207" s="421"/>
      <c r="W207" s="421"/>
      <c r="X207" s="421"/>
      <c r="Y207" s="421"/>
      <c r="Z207" s="421"/>
      <c r="AA207" s="421"/>
      <c r="AB207" s="421"/>
      <c r="AC207" s="421"/>
      <c r="AD207" s="421"/>
      <c r="AE207" s="421"/>
      <c r="AF207" s="422"/>
      <c r="AG207" s="421"/>
      <c r="AH207" s="421"/>
      <c r="AI207" s="421"/>
      <c r="AJ207" s="421"/>
      <c r="AK207" s="423"/>
    </row>
    <row r="208" spans="1:37" ht="30" customHeight="1" x14ac:dyDescent="0.2">
      <c r="A208" s="73"/>
      <c r="B208" s="121">
        <v>9</v>
      </c>
      <c r="C208" s="35" t="s">
        <v>265</v>
      </c>
      <c r="D208" s="36"/>
      <c r="E208" s="36"/>
      <c r="F208" s="36"/>
      <c r="G208" s="36"/>
      <c r="H208" s="37"/>
      <c r="I208" s="36"/>
      <c r="J208" s="36"/>
      <c r="K208" s="36"/>
      <c r="L208" s="36"/>
      <c r="M208" s="36"/>
      <c r="N208" s="37"/>
      <c r="O208" s="36"/>
      <c r="P208" s="36"/>
      <c r="Q208" s="402"/>
      <c r="R208" s="402"/>
      <c r="S208" s="402"/>
      <c r="T208" s="402"/>
      <c r="U208" s="402"/>
      <c r="V208" s="402"/>
      <c r="W208" s="402"/>
      <c r="X208" s="402"/>
      <c r="Y208" s="402"/>
      <c r="Z208" s="402"/>
      <c r="AA208" s="402"/>
      <c r="AB208" s="402"/>
      <c r="AC208" s="402"/>
      <c r="AD208" s="402"/>
      <c r="AE208" s="402"/>
      <c r="AF208" s="403"/>
      <c r="AG208" s="402"/>
      <c r="AH208" s="402"/>
      <c r="AI208" s="402"/>
      <c r="AJ208" s="402"/>
      <c r="AK208" s="407"/>
    </row>
    <row r="209" spans="1:37" ht="30" customHeight="1" x14ac:dyDescent="0.2">
      <c r="A209" s="39"/>
      <c r="B209" s="73"/>
      <c r="C209" s="26"/>
      <c r="D209" s="73"/>
      <c r="E209" s="73"/>
      <c r="F209" s="73"/>
      <c r="G209" s="75">
        <v>29</v>
      </c>
      <c r="H209" s="77" t="s">
        <v>266</v>
      </c>
      <c r="I209" s="77"/>
      <c r="J209" s="77"/>
      <c r="K209" s="77"/>
      <c r="L209" s="77"/>
      <c r="M209" s="77"/>
      <c r="N209" s="169"/>
      <c r="O209" s="77"/>
      <c r="P209" s="77"/>
      <c r="Q209" s="263" t="s">
        <v>63</v>
      </c>
      <c r="R209" s="439"/>
      <c r="S209" s="263"/>
      <c r="T209" s="263"/>
      <c r="U209" s="263"/>
      <c r="V209" s="263"/>
      <c r="W209" s="263"/>
      <c r="X209" s="263"/>
      <c r="Y209" s="263"/>
      <c r="Z209" s="263"/>
      <c r="AA209" s="263"/>
      <c r="AB209" s="263"/>
      <c r="AC209" s="263"/>
      <c r="AD209" s="263"/>
      <c r="AE209" s="263"/>
      <c r="AF209" s="404"/>
      <c r="AG209" s="263"/>
      <c r="AH209" s="263"/>
      <c r="AI209" s="263"/>
      <c r="AJ209" s="263"/>
      <c r="AK209" s="265"/>
    </row>
    <row r="210" spans="1:37" ht="123" customHeight="1" x14ac:dyDescent="0.2">
      <c r="A210" s="39"/>
      <c r="B210" s="39"/>
      <c r="C210" s="662" t="s">
        <v>267</v>
      </c>
      <c r="D210" s="673" t="s">
        <v>268</v>
      </c>
      <c r="E210" s="389" t="s">
        <v>269</v>
      </c>
      <c r="F210" s="662" t="s">
        <v>270</v>
      </c>
      <c r="G210" s="46"/>
      <c r="H210" s="662">
        <v>114</v>
      </c>
      <c r="I210" s="657" t="s">
        <v>271</v>
      </c>
      <c r="J210" s="654" t="s">
        <v>37</v>
      </c>
      <c r="K210" s="186">
        <v>30</v>
      </c>
      <c r="L210" s="43">
        <v>2017003630006</v>
      </c>
      <c r="M210" s="662" t="s">
        <v>272</v>
      </c>
      <c r="N210" s="54" t="s">
        <v>273</v>
      </c>
      <c r="O210" s="656" t="s">
        <v>964</v>
      </c>
      <c r="P210" s="662" t="s">
        <v>46</v>
      </c>
      <c r="Q210" s="405">
        <f>169700000+890857735</f>
        <v>1060557735</v>
      </c>
      <c r="R210" s="415"/>
      <c r="S210" s="415"/>
      <c r="T210" s="415"/>
      <c r="U210" s="415"/>
      <c r="V210" s="415"/>
      <c r="W210" s="415"/>
      <c r="X210" s="415"/>
      <c r="Y210" s="415"/>
      <c r="Z210" s="415"/>
      <c r="AA210" s="415"/>
      <c r="AB210" s="415"/>
      <c r="AC210" s="415"/>
      <c r="AD210" s="415"/>
      <c r="AE210" s="415"/>
      <c r="AF210" s="441">
        <v>0</v>
      </c>
      <c r="AG210" s="440"/>
      <c r="AH210" s="415"/>
      <c r="AI210" s="442"/>
      <c r="AJ210" s="442"/>
      <c r="AK210" s="391">
        <f>Q210+R210+S210+T210+U210+V210+W210+X210+Y210+Z210+AA210+AB210+AC210+AD210+AE210+AF210+AG210+AH210+AI210+AJ210</f>
        <v>1060557735</v>
      </c>
    </row>
    <row r="211" spans="1:37" ht="45" x14ac:dyDescent="0.2">
      <c r="A211" s="39"/>
      <c r="B211" s="39"/>
      <c r="C211" s="774" t="s">
        <v>267</v>
      </c>
      <c r="D211" s="780" t="s">
        <v>275</v>
      </c>
      <c r="E211" s="797" t="s">
        <v>276</v>
      </c>
      <c r="F211" s="774" t="s">
        <v>277</v>
      </c>
      <c r="G211" s="46"/>
      <c r="H211" s="662">
        <v>114</v>
      </c>
      <c r="I211" s="657" t="s">
        <v>271</v>
      </c>
      <c r="J211" s="654" t="s">
        <v>37</v>
      </c>
      <c r="K211" s="675">
        <v>30</v>
      </c>
      <c r="L211" s="784">
        <v>2017003630007</v>
      </c>
      <c r="M211" s="774" t="s">
        <v>272</v>
      </c>
      <c r="N211" s="775" t="s">
        <v>278</v>
      </c>
      <c r="O211" s="777" t="s">
        <v>279</v>
      </c>
      <c r="P211" s="662" t="s">
        <v>46</v>
      </c>
      <c r="Q211" s="443">
        <v>0</v>
      </c>
      <c r="R211" s="416">
        <v>0</v>
      </c>
      <c r="S211" s="416">
        <v>0</v>
      </c>
      <c r="T211" s="416">
        <v>0</v>
      </c>
      <c r="U211" s="416">
        <v>0</v>
      </c>
      <c r="V211" s="416">
        <v>0</v>
      </c>
      <c r="W211" s="416">
        <v>0</v>
      </c>
      <c r="X211" s="416"/>
      <c r="Y211" s="416"/>
      <c r="Z211" s="416">
        <v>0</v>
      </c>
      <c r="AA211" s="416">
        <v>0</v>
      </c>
      <c r="AB211" s="416"/>
      <c r="AC211" s="416"/>
      <c r="AD211" s="416">
        <v>0</v>
      </c>
      <c r="AE211" s="416">
        <v>0</v>
      </c>
      <c r="AF211" s="441">
        <f>920000000+530000000</f>
        <v>1450000000</v>
      </c>
      <c r="AG211" s="440"/>
      <c r="AH211" s="416">
        <v>0</v>
      </c>
      <c r="AI211" s="444"/>
      <c r="AJ211" s="444">
        <v>0</v>
      </c>
      <c r="AK211" s="391">
        <f>Q211+R211+S211+T211+U211+V211+W211+X211+Y211+Z211+AA211+AB211+AC211+AD211+AE211+AF211+AG211+AH211+AI211+AJ211</f>
        <v>1450000000</v>
      </c>
    </row>
    <row r="212" spans="1:37" ht="48.75" customHeight="1" x14ac:dyDescent="0.2">
      <c r="A212" s="39"/>
      <c r="B212" s="39"/>
      <c r="C212" s="775"/>
      <c r="D212" s="781"/>
      <c r="E212" s="798"/>
      <c r="F212" s="775"/>
      <c r="G212" s="46"/>
      <c r="H212" s="662">
        <v>115</v>
      </c>
      <c r="I212" s="679" t="s">
        <v>280</v>
      </c>
      <c r="J212" s="41">
        <v>0</v>
      </c>
      <c r="K212" s="367">
        <v>35</v>
      </c>
      <c r="L212" s="785"/>
      <c r="M212" s="775"/>
      <c r="N212" s="775"/>
      <c r="O212" s="778"/>
      <c r="P212" s="54" t="s">
        <v>61</v>
      </c>
      <c r="Q212" s="392">
        <f>848500000+590796102</f>
        <v>1439296102</v>
      </c>
      <c r="R212" s="391">
        <v>0</v>
      </c>
      <c r="S212" s="391">
        <v>0</v>
      </c>
      <c r="T212" s="391">
        <v>0</v>
      </c>
      <c r="U212" s="391">
        <v>0</v>
      </c>
      <c r="V212" s="391">
        <v>0</v>
      </c>
      <c r="W212" s="391">
        <v>0</v>
      </c>
      <c r="X212" s="391"/>
      <c r="Y212" s="391"/>
      <c r="Z212" s="391">
        <v>0</v>
      </c>
      <c r="AA212" s="391">
        <v>0</v>
      </c>
      <c r="AB212" s="391"/>
      <c r="AC212" s="391"/>
      <c r="AD212" s="391">
        <v>0</v>
      </c>
      <c r="AE212" s="391">
        <v>0</v>
      </c>
      <c r="AF212" s="392">
        <f>400000000-400000000</f>
        <v>0</v>
      </c>
      <c r="AG212" s="405"/>
      <c r="AH212" s="391">
        <v>0</v>
      </c>
      <c r="AI212" s="393"/>
      <c r="AJ212" s="393">
        <v>0</v>
      </c>
      <c r="AK212" s="391">
        <f>Q212+R212+S212+T212+U212+V212+W212+X212+Y212+Z212+AA212+AB212+AC212+AD212+AE212+AF212+AG212+AH212+AI212+AJ212</f>
        <v>1439296102</v>
      </c>
    </row>
    <row r="213" spans="1:37" ht="63.75" customHeight="1" x14ac:dyDescent="0.2">
      <c r="A213" s="39"/>
      <c r="B213" s="39"/>
      <c r="C213" s="775"/>
      <c r="D213" s="781"/>
      <c r="E213" s="798"/>
      <c r="F213" s="775"/>
      <c r="G213" s="90"/>
      <c r="H213" s="662">
        <v>116</v>
      </c>
      <c r="I213" s="679" t="s">
        <v>281</v>
      </c>
      <c r="J213" s="41" t="s">
        <v>37</v>
      </c>
      <c r="K213" s="368">
        <v>10</v>
      </c>
      <c r="L213" s="786"/>
      <c r="M213" s="776"/>
      <c r="N213" s="776"/>
      <c r="O213" s="779"/>
      <c r="P213" s="54" t="s">
        <v>61</v>
      </c>
      <c r="Q213" s="405">
        <f>169700000+124179245</f>
        <v>293879245</v>
      </c>
      <c r="R213" s="391">
        <v>0</v>
      </c>
      <c r="S213" s="391">
        <v>0</v>
      </c>
      <c r="T213" s="391">
        <v>0</v>
      </c>
      <c r="U213" s="391">
        <v>0</v>
      </c>
      <c r="V213" s="391">
        <v>0</v>
      </c>
      <c r="W213" s="391">
        <v>0</v>
      </c>
      <c r="X213" s="391"/>
      <c r="Y213" s="391"/>
      <c r="Z213" s="391">
        <v>0</v>
      </c>
      <c r="AA213" s="391">
        <v>0</v>
      </c>
      <c r="AB213" s="391"/>
      <c r="AC213" s="391"/>
      <c r="AD213" s="391">
        <v>0</v>
      </c>
      <c r="AE213" s="391">
        <v>0</v>
      </c>
      <c r="AF213" s="392">
        <f>50000000-50000000</f>
        <v>0</v>
      </c>
      <c r="AG213" s="405"/>
      <c r="AH213" s="391">
        <v>0</v>
      </c>
      <c r="AI213" s="393"/>
      <c r="AJ213" s="393">
        <v>0</v>
      </c>
      <c r="AK213" s="391">
        <f>Q213+R213+S213+T213+U213+V213+W213+X213+Y213+Z213+AA213+AB213+AC213+AD213+AE213+AF213+AG213+AH213+AI213+AJ213</f>
        <v>293879245</v>
      </c>
    </row>
    <row r="214" spans="1:37" ht="30" customHeight="1" x14ac:dyDescent="0.2">
      <c r="A214" s="39"/>
      <c r="B214" s="39"/>
      <c r="C214" s="662"/>
      <c r="D214" s="657"/>
      <c r="E214" s="662"/>
      <c r="F214" s="662"/>
      <c r="G214" s="55"/>
      <c r="H214" s="56"/>
      <c r="I214" s="55"/>
      <c r="J214" s="57"/>
      <c r="K214" s="187"/>
      <c r="L214" s="187"/>
      <c r="M214" s="56"/>
      <c r="N214" s="56"/>
      <c r="O214" s="55"/>
      <c r="P214" s="56"/>
      <c r="Q214" s="400">
        <f t="shared" ref="Q214:AK214" si="50">SUM(Q210:Q213)</f>
        <v>2793733082</v>
      </c>
      <c r="R214" s="400">
        <f t="shared" si="50"/>
        <v>0</v>
      </c>
      <c r="S214" s="400">
        <f t="shared" si="50"/>
        <v>0</v>
      </c>
      <c r="T214" s="400">
        <f t="shared" si="50"/>
        <v>0</v>
      </c>
      <c r="U214" s="400">
        <f t="shared" si="50"/>
        <v>0</v>
      </c>
      <c r="V214" s="400">
        <f t="shared" si="50"/>
        <v>0</v>
      </c>
      <c r="W214" s="400">
        <f t="shared" si="50"/>
        <v>0</v>
      </c>
      <c r="X214" s="400">
        <f t="shared" si="50"/>
        <v>0</v>
      </c>
      <c r="Y214" s="400">
        <f t="shared" si="50"/>
        <v>0</v>
      </c>
      <c r="Z214" s="400">
        <f t="shared" si="50"/>
        <v>0</v>
      </c>
      <c r="AA214" s="400">
        <f t="shared" si="50"/>
        <v>0</v>
      </c>
      <c r="AB214" s="400">
        <f t="shared" si="50"/>
        <v>0</v>
      </c>
      <c r="AC214" s="400">
        <f t="shared" si="50"/>
        <v>0</v>
      </c>
      <c r="AD214" s="400">
        <f t="shared" si="50"/>
        <v>0</v>
      </c>
      <c r="AE214" s="400">
        <f t="shared" si="50"/>
        <v>0</v>
      </c>
      <c r="AF214" s="400">
        <f t="shared" si="50"/>
        <v>1450000000</v>
      </c>
      <c r="AG214" s="400">
        <f t="shared" si="50"/>
        <v>0</v>
      </c>
      <c r="AH214" s="400">
        <f t="shared" si="50"/>
        <v>0</v>
      </c>
      <c r="AI214" s="400"/>
      <c r="AJ214" s="400"/>
      <c r="AK214" s="400">
        <f t="shared" si="50"/>
        <v>4243733082</v>
      </c>
    </row>
    <row r="215" spans="1:37" ht="30" customHeight="1" x14ac:dyDescent="0.2">
      <c r="A215" s="39"/>
      <c r="B215" s="39"/>
      <c r="C215" s="188"/>
      <c r="D215" s="189"/>
      <c r="E215" s="190"/>
      <c r="F215" s="190"/>
      <c r="G215" s="69"/>
      <c r="H215" s="146"/>
      <c r="I215" s="69"/>
      <c r="J215" s="70"/>
      <c r="K215" s="191"/>
      <c r="L215" s="191"/>
      <c r="M215" s="146"/>
      <c r="N215" s="146"/>
      <c r="O215" s="69"/>
      <c r="P215" s="146"/>
      <c r="Q215" s="395"/>
      <c r="R215" s="396"/>
      <c r="S215" s="395"/>
      <c r="T215" s="395"/>
      <c r="U215" s="395"/>
      <c r="V215" s="395"/>
      <c r="W215" s="395"/>
      <c r="X215" s="395"/>
      <c r="Y215" s="395"/>
      <c r="Z215" s="395"/>
      <c r="AA215" s="395"/>
      <c r="AB215" s="395"/>
      <c r="AC215" s="395"/>
      <c r="AD215" s="395"/>
      <c r="AE215" s="395"/>
      <c r="AF215" s="397"/>
      <c r="AG215" s="395"/>
      <c r="AH215" s="395"/>
      <c r="AI215" s="395"/>
      <c r="AJ215" s="396"/>
      <c r="AK215" s="395"/>
    </row>
    <row r="216" spans="1:37" ht="30" customHeight="1" x14ac:dyDescent="0.2">
      <c r="A216" s="39"/>
      <c r="B216" s="39"/>
      <c r="C216" s="661"/>
      <c r="D216" s="655"/>
      <c r="E216" s="661"/>
      <c r="F216" s="661"/>
      <c r="G216" s="75">
        <v>30</v>
      </c>
      <c r="H216" s="77" t="s">
        <v>282</v>
      </c>
      <c r="I216" s="77"/>
      <c r="J216" s="77"/>
      <c r="K216" s="149"/>
      <c r="L216" s="149"/>
      <c r="M216" s="77"/>
      <c r="N216" s="169"/>
      <c r="O216" s="77"/>
      <c r="P216" s="77"/>
      <c r="Q216" s="263"/>
      <c r="R216" s="263"/>
      <c r="S216" s="263"/>
      <c r="T216" s="263"/>
      <c r="U216" s="263"/>
      <c r="V216" s="263"/>
      <c r="W216" s="263"/>
      <c r="X216" s="263"/>
      <c r="Y216" s="263"/>
      <c r="Z216" s="263"/>
      <c r="AA216" s="263"/>
      <c r="AB216" s="263"/>
      <c r="AC216" s="263"/>
      <c r="AD216" s="263"/>
      <c r="AE216" s="263"/>
      <c r="AF216" s="404"/>
      <c r="AG216" s="263"/>
      <c r="AH216" s="263"/>
      <c r="AI216" s="263"/>
      <c r="AJ216" s="263"/>
      <c r="AK216" s="265"/>
    </row>
    <row r="217" spans="1:37" ht="92.25" customHeight="1" x14ac:dyDescent="0.2">
      <c r="A217" s="39"/>
      <c r="B217" s="39"/>
      <c r="C217" s="650" t="s">
        <v>283</v>
      </c>
      <c r="D217" s="672" t="s">
        <v>284</v>
      </c>
      <c r="E217" s="680" t="s">
        <v>285</v>
      </c>
      <c r="F217" s="650" t="s">
        <v>286</v>
      </c>
      <c r="G217" s="679"/>
      <c r="H217" s="54">
        <v>117</v>
      </c>
      <c r="I217" s="679" t="s">
        <v>287</v>
      </c>
      <c r="J217" s="41" t="s">
        <v>37</v>
      </c>
      <c r="K217" s="186">
        <v>2</v>
      </c>
      <c r="L217" s="43">
        <v>2017003630004</v>
      </c>
      <c r="M217" s="41" t="s">
        <v>272</v>
      </c>
      <c r="N217" s="54" t="s">
        <v>288</v>
      </c>
      <c r="O217" s="679" t="s">
        <v>965</v>
      </c>
      <c r="P217" s="54" t="s">
        <v>61</v>
      </c>
      <c r="Q217" s="391"/>
      <c r="R217" s="391">
        <v>0</v>
      </c>
      <c r="S217" s="391">
        <v>0</v>
      </c>
      <c r="T217" s="391">
        <v>0</v>
      </c>
      <c r="U217" s="391">
        <v>0</v>
      </c>
      <c r="V217" s="391">
        <v>0</v>
      </c>
      <c r="W217" s="391">
        <v>0</v>
      </c>
      <c r="X217" s="391"/>
      <c r="Y217" s="391"/>
      <c r="Z217" s="391">
        <v>0</v>
      </c>
      <c r="AA217" s="391">
        <v>0</v>
      </c>
      <c r="AB217" s="391"/>
      <c r="AC217" s="391"/>
      <c r="AD217" s="391">
        <v>0</v>
      </c>
      <c r="AE217" s="391">
        <v>0</v>
      </c>
      <c r="AF217" s="392">
        <v>80000000</v>
      </c>
      <c r="AG217" s="405"/>
      <c r="AH217" s="391">
        <v>0</v>
      </c>
      <c r="AI217" s="393"/>
      <c r="AJ217" s="393">
        <v>0</v>
      </c>
      <c r="AK217" s="391">
        <f>Q217+R217+S217+T217+U217+V217+W217+X217+Y217+Z217+AA217+AB217+AC217+AD217+AE217+AF217+AG217+AH217+AI217+AJ217</f>
        <v>80000000</v>
      </c>
    </row>
    <row r="218" spans="1:37" ht="30" customHeight="1" x14ac:dyDescent="0.2">
      <c r="A218" s="39"/>
      <c r="B218" s="39"/>
      <c r="C218" s="662"/>
      <c r="D218" s="657"/>
      <c r="E218" s="662"/>
      <c r="F218" s="662"/>
      <c r="G218" s="55"/>
      <c r="H218" s="56"/>
      <c r="I218" s="55"/>
      <c r="J218" s="57"/>
      <c r="K218" s="192"/>
      <c r="L218" s="192"/>
      <c r="M218" s="57"/>
      <c r="N218" s="56"/>
      <c r="O218" s="55"/>
      <c r="P218" s="56"/>
      <c r="Q218" s="400">
        <f t="shared" ref="Q218:AK218" si="51">Q217</f>
        <v>0</v>
      </c>
      <c r="R218" s="400">
        <f t="shared" si="51"/>
        <v>0</v>
      </c>
      <c r="S218" s="400">
        <f t="shared" si="51"/>
        <v>0</v>
      </c>
      <c r="T218" s="400">
        <f t="shared" si="51"/>
        <v>0</v>
      </c>
      <c r="U218" s="400">
        <f t="shared" si="51"/>
        <v>0</v>
      </c>
      <c r="V218" s="400">
        <f t="shared" si="51"/>
        <v>0</v>
      </c>
      <c r="W218" s="400">
        <f t="shared" si="51"/>
        <v>0</v>
      </c>
      <c r="X218" s="400">
        <f t="shared" si="51"/>
        <v>0</v>
      </c>
      <c r="Y218" s="400">
        <f t="shared" si="51"/>
        <v>0</v>
      </c>
      <c r="Z218" s="400">
        <f t="shared" si="51"/>
        <v>0</v>
      </c>
      <c r="AA218" s="400">
        <f t="shared" si="51"/>
        <v>0</v>
      </c>
      <c r="AB218" s="400">
        <f t="shared" si="51"/>
        <v>0</v>
      </c>
      <c r="AC218" s="400">
        <f t="shared" si="51"/>
        <v>0</v>
      </c>
      <c r="AD218" s="400">
        <f t="shared" si="51"/>
        <v>0</v>
      </c>
      <c r="AE218" s="400">
        <f t="shared" si="51"/>
        <v>0</v>
      </c>
      <c r="AF218" s="400">
        <f t="shared" si="51"/>
        <v>80000000</v>
      </c>
      <c r="AG218" s="400">
        <f t="shared" si="51"/>
        <v>0</v>
      </c>
      <c r="AH218" s="400">
        <f t="shared" si="51"/>
        <v>0</v>
      </c>
      <c r="AI218" s="400">
        <f t="shared" si="51"/>
        <v>0</v>
      </c>
      <c r="AJ218" s="400">
        <f t="shared" si="51"/>
        <v>0</v>
      </c>
      <c r="AK218" s="400">
        <f t="shared" si="51"/>
        <v>80000000</v>
      </c>
    </row>
    <row r="219" spans="1:37" ht="30" customHeight="1" x14ac:dyDescent="0.2">
      <c r="A219" s="39"/>
      <c r="B219" s="39"/>
      <c r="C219" s="661"/>
      <c r="D219" s="521"/>
      <c r="E219" s="522"/>
      <c r="F219" s="522"/>
      <c r="G219" s="69"/>
      <c r="H219" s="146"/>
      <c r="I219" s="69"/>
      <c r="J219" s="70"/>
      <c r="K219" s="193"/>
      <c r="L219" s="193"/>
      <c r="M219" s="70"/>
      <c r="N219" s="146"/>
      <c r="O219" s="69"/>
      <c r="P219" s="146"/>
      <c r="Q219" s="395"/>
      <c r="R219" s="396"/>
      <c r="S219" s="395"/>
      <c r="T219" s="395"/>
      <c r="U219" s="395"/>
      <c r="V219" s="395"/>
      <c r="W219" s="395"/>
      <c r="X219" s="395"/>
      <c r="Y219" s="395"/>
      <c r="Z219" s="395"/>
      <c r="AA219" s="395"/>
      <c r="AB219" s="395"/>
      <c r="AC219" s="395"/>
      <c r="AD219" s="395"/>
      <c r="AE219" s="395"/>
      <c r="AF219" s="397"/>
      <c r="AG219" s="398"/>
      <c r="AH219" s="395"/>
      <c r="AI219" s="395"/>
      <c r="AJ219" s="396"/>
      <c r="AK219" s="395"/>
    </row>
    <row r="220" spans="1:37" ht="30" customHeight="1" x14ac:dyDescent="0.2">
      <c r="A220" s="39"/>
      <c r="B220" s="39"/>
      <c r="C220" s="650"/>
      <c r="D220" s="656"/>
      <c r="E220" s="650"/>
      <c r="F220" s="650"/>
      <c r="G220" s="156">
        <v>31</v>
      </c>
      <c r="H220" s="168" t="s">
        <v>290</v>
      </c>
      <c r="I220" s="77"/>
      <c r="J220" s="77"/>
      <c r="K220" s="149"/>
      <c r="L220" s="149"/>
      <c r="M220" s="77"/>
      <c r="N220" s="169"/>
      <c r="O220" s="77"/>
      <c r="P220" s="77"/>
      <c r="Q220" s="263"/>
      <c r="R220" s="263"/>
      <c r="S220" s="263"/>
      <c r="T220" s="263"/>
      <c r="U220" s="263"/>
      <c r="V220" s="263"/>
      <c r="W220" s="263"/>
      <c r="X220" s="263"/>
      <c r="Y220" s="263"/>
      <c r="Z220" s="263"/>
      <c r="AA220" s="263"/>
      <c r="AB220" s="263"/>
      <c r="AC220" s="263"/>
      <c r="AD220" s="263"/>
      <c r="AE220" s="263"/>
      <c r="AF220" s="404"/>
      <c r="AG220" s="263"/>
      <c r="AH220" s="263"/>
      <c r="AI220" s="263"/>
      <c r="AJ220" s="263"/>
      <c r="AK220" s="263"/>
    </row>
    <row r="221" spans="1:37" ht="90" x14ac:dyDescent="0.2">
      <c r="A221" s="39"/>
      <c r="B221" s="39"/>
      <c r="C221" s="650" t="s">
        <v>291</v>
      </c>
      <c r="D221" s="672" t="s">
        <v>292</v>
      </c>
      <c r="E221" s="680" t="s">
        <v>293</v>
      </c>
      <c r="F221" s="650" t="s">
        <v>294</v>
      </c>
      <c r="G221" s="79"/>
      <c r="H221" s="54">
        <v>118</v>
      </c>
      <c r="I221" s="679" t="s">
        <v>295</v>
      </c>
      <c r="J221" s="41">
        <v>16</v>
      </c>
      <c r="K221" s="674">
        <v>6</v>
      </c>
      <c r="L221" s="43">
        <v>2017003630005</v>
      </c>
      <c r="M221" s="41" t="s">
        <v>272</v>
      </c>
      <c r="N221" s="54" t="s">
        <v>296</v>
      </c>
      <c r="O221" s="679" t="s">
        <v>966</v>
      </c>
      <c r="P221" s="54" t="s">
        <v>61</v>
      </c>
      <c r="Q221" s="405">
        <f>169700000+330733</f>
        <v>170030733</v>
      </c>
      <c r="R221" s="391">
        <v>0</v>
      </c>
      <c r="S221" s="391">
        <v>0</v>
      </c>
      <c r="T221" s="391">
        <v>0</v>
      </c>
      <c r="U221" s="391">
        <v>0</v>
      </c>
      <c r="V221" s="391">
        <v>0</v>
      </c>
      <c r="W221" s="391">
        <v>0</v>
      </c>
      <c r="X221" s="391"/>
      <c r="Y221" s="391"/>
      <c r="Z221" s="391">
        <v>0</v>
      </c>
      <c r="AA221" s="391">
        <v>0</v>
      </c>
      <c r="AB221" s="391"/>
      <c r="AC221" s="391"/>
      <c r="AD221" s="391">
        <v>0</v>
      </c>
      <c r="AE221" s="391">
        <v>0</v>
      </c>
      <c r="AF221" s="392">
        <v>0</v>
      </c>
      <c r="AG221" s="405"/>
      <c r="AH221" s="391">
        <v>0</v>
      </c>
      <c r="AI221" s="393"/>
      <c r="AJ221" s="393">
        <v>0</v>
      </c>
      <c r="AK221" s="391">
        <f>Q221+R221+S221+T221+U221+V221+W221+X221+Y221+Z221+AA221+AB221+AC221+AD221+AE221+AF221+AG221+AH221+AI221+AJ221</f>
        <v>170030733</v>
      </c>
    </row>
    <row r="222" spans="1:37" ht="30" customHeight="1" x14ac:dyDescent="0.2">
      <c r="A222" s="39"/>
      <c r="B222" s="52"/>
      <c r="C222" s="662"/>
      <c r="D222" s="657"/>
      <c r="E222" s="662"/>
      <c r="F222" s="662"/>
      <c r="G222" s="272"/>
      <c r="H222" s="56"/>
      <c r="I222" s="55"/>
      <c r="J222" s="57"/>
      <c r="K222" s="192"/>
      <c r="L222" s="192"/>
      <c r="M222" s="57"/>
      <c r="N222" s="56"/>
      <c r="O222" s="55"/>
      <c r="P222" s="56"/>
      <c r="Q222" s="400">
        <f t="shared" ref="Q222:AK222" si="52">SUM(Q221)</f>
        <v>170030733</v>
      </c>
      <c r="R222" s="400">
        <f t="shared" si="52"/>
        <v>0</v>
      </c>
      <c r="S222" s="400">
        <f t="shared" si="52"/>
        <v>0</v>
      </c>
      <c r="T222" s="400">
        <f t="shared" si="52"/>
        <v>0</v>
      </c>
      <c r="U222" s="400">
        <f t="shared" si="52"/>
        <v>0</v>
      </c>
      <c r="V222" s="400">
        <f t="shared" si="52"/>
        <v>0</v>
      </c>
      <c r="W222" s="400">
        <f t="shared" si="52"/>
        <v>0</v>
      </c>
      <c r="X222" s="400">
        <f t="shared" si="52"/>
        <v>0</v>
      </c>
      <c r="Y222" s="400">
        <f t="shared" si="52"/>
        <v>0</v>
      </c>
      <c r="Z222" s="400">
        <f t="shared" si="52"/>
        <v>0</v>
      </c>
      <c r="AA222" s="400">
        <f t="shared" si="52"/>
        <v>0</v>
      </c>
      <c r="AB222" s="400">
        <f t="shared" si="52"/>
        <v>0</v>
      </c>
      <c r="AC222" s="400">
        <f t="shared" si="52"/>
        <v>0</v>
      </c>
      <c r="AD222" s="400">
        <f t="shared" si="52"/>
        <v>0</v>
      </c>
      <c r="AE222" s="400">
        <f t="shared" si="52"/>
        <v>0</v>
      </c>
      <c r="AF222" s="400">
        <f t="shared" si="52"/>
        <v>0</v>
      </c>
      <c r="AG222" s="400">
        <f t="shared" si="52"/>
        <v>0</v>
      </c>
      <c r="AH222" s="400">
        <f t="shared" si="52"/>
        <v>0</v>
      </c>
      <c r="AI222" s="400">
        <f t="shared" si="52"/>
        <v>0</v>
      </c>
      <c r="AJ222" s="400">
        <f t="shared" si="52"/>
        <v>0</v>
      </c>
      <c r="AK222" s="400">
        <f t="shared" si="52"/>
        <v>170030733</v>
      </c>
    </row>
    <row r="223" spans="1:37" ht="30" customHeight="1" x14ac:dyDescent="0.2">
      <c r="A223" s="39"/>
      <c r="B223" s="93"/>
      <c r="C223" s="60"/>
      <c r="D223" s="194"/>
      <c r="E223" s="195"/>
      <c r="F223" s="195"/>
      <c r="G223" s="59"/>
      <c r="H223" s="60"/>
      <c r="I223" s="59"/>
      <c r="J223" s="61"/>
      <c r="K223" s="196"/>
      <c r="L223" s="196"/>
      <c r="M223" s="61"/>
      <c r="N223" s="60"/>
      <c r="O223" s="59"/>
      <c r="P223" s="60"/>
      <c r="Q223" s="406">
        <f t="shared" ref="Q223:AK223" si="53">Q222+Q218+Q214</f>
        <v>2963763815</v>
      </c>
      <c r="R223" s="406">
        <f t="shared" si="53"/>
        <v>0</v>
      </c>
      <c r="S223" s="406">
        <f t="shared" si="53"/>
        <v>0</v>
      </c>
      <c r="T223" s="406">
        <f t="shared" si="53"/>
        <v>0</v>
      </c>
      <c r="U223" s="406">
        <f t="shared" si="53"/>
        <v>0</v>
      </c>
      <c r="V223" s="406">
        <f t="shared" si="53"/>
        <v>0</v>
      </c>
      <c r="W223" s="406">
        <f t="shared" si="53"/>
        <v>0</v>
      </c>
      <c r="X223" s="406">
        <f t="shared" si="53"/>
        <v>0</v>
      </c>
      <c r="Y223" s="406">
        <f t="shared" si="53"/>
        <v>0</v>
      </c>
      <c r="Z223" s="406">
        <f t="shared" si="53"/>
        <v>0</v>
      </c>
      <c r="AA223" s="406">
        <f t="shared" si="53"/>
        <v>0</v>
      </c>
      <c r="AB223" s="406">
        <f t="shared" si="53"/>
        <v>0</v>
      </c>
      <c r="AC223" s="406">
        <f t="shared" si="53"/>
        <v>0</v>
      </c>
      <c r="AD223" s="406">
        <f t="shared" si="53"/>
        <v>0</v>
      </c>
      <c r="AE223" s="406">
        <f t="shared" si="53"/>
        <v>0</v>
      </c>
      <c r="AF223" s="406">
        <f t="shared" si="53"/>
        <v>1530000000</v>
      </c>
      <c r="AG223" s="406">
        <f t="shared" si="53"/>
        <v>0</v>
      </c>
      <c r="AH223" s="406">
        <f t="shared" si="53"/>
        <v>0</v>
      </c>
      <c r="AI223" s="406">
        <f t="shared" si="53"/>
        <v>0</v>
      </c>
      <c r="AJ223" s="406">
        <f t="shared" si="53"/>
        <v>0</v>
      </c>
      <c r="AK223" s="406">
        <f t="shared" si="53"/>
        <v>4493763815</v>
      </c>
    </row>
    <row r="224" spans="1:37" ht="30" customHeight="1" x14ac:dyDescent="0.2">
      <c r="A224" s="39"/>
      <c r="B224" s="69"/>
      <c r="C224" s="188"/>
      <c r="D224" s="189"/>
      <c r="E224" s="190"/>
      <c r="F224" s="190"/>
      <c r="G224" s="69"/>
      <c r="H224" s="146"/>
      <c r="I224" s="69"/>
      <c r="J224" s="70"/>
      <c r="K224" s="193"/>
      <c r="L224" s="193"/>
      <c r="M224" s="70"/>
      <c r="N224" s="146"/>
      <c r="O224" s="69"/>
      <c r="P224" s="146"/>
      <c r="Q224" s="395"/>
      <c r="R224" s="396"/>
      <c r="S224" s="395"/>
      <c r="T224" s="395"/>
      <c r="U224" s="395"/>
      <c r="V224" s="395"/>
      <c r="W224" s="395"/>
      <c r="X224" s="395"/>
      <c r="Y224" s="395"/>
      <c r="Z224" s="395"/>
      <c r="AA224" s="395"/>
      <c r="AB224" s="395"/>
      <c r="AC224" s="395"/>
      <c r="AD224" s="395"/>
      <c r="AE224" s="395"/>
      <c r="AF224" s="397"/>
      <c r="AG224" s="398"/>
      <c r="AH224" s="395"/>
      <c r="AI224" s="395"/>
      <c r="AJ224" s="396"/>
      <c r="AK224" s="395"/>
    </row>
    <row r="225" spans="1:37" ht="30" customHeight="1" x14ac:dyDescent="0.2">
      <c r="A225" s="39"/>
      <c r="B225" s="121">
        <v>10</v>
      </c>
      <c r="C225" s="35" t="s">
        <v>298</v>
      </c>
      <c r="D225" s="36"/>
      <c r="E225" s="36"/>
      <c r="F225" s="36"/>
      <c r="G225" s="36"/>
      <c r="H225" s="37"/>
      <c r="I225" s="36"/>
      <c r="J225" s="36"/>
      <c r="K225" s="197"/>
      <c r="L225" s="197"/>
      <c r="M225" s="36"/>
      <c r="N225" s="37"/>
      <c r="O225" s="36"/>
      <c r="P225" s="36"/>
      <c r="Q225" s="402"/>
      <c r="R225" s="402"/>
      <c r="S225" s="402"/>
      <c r="T225" s="402"/>
      <c r="U225" s="402"/>
      <c r="V225" s="402"/>
      <c r="W225" s="402"/>
      <c r="X225" s="402"/>
      <c r="Y225" s="402"/>
      <c r="Z225" s="402"/>
      <c r="AA225" s="402"/>
      <c r="AB225" s="402"/>
      <c r="AC225" s="402"/>
      <c r="AD225" s="402"/>
      <c r="AE225" s="402"/>
      <c r="AF225" s="403"/>
      <c r="AG225" s="402"/>
      <c r="AH225" s="402"/>
      <c r="AI225" s="402"/>
      <c r="AJ225" s="402"/>
      <c r="AK225" s="407"/>
    </row>
    <row r="226" spans="1:37" ht="30" customHeight="1" x14ac:dyDescent="0.2">
      <c r="A226" s="39"/>
      <c r="B226" s="155"/>
      <c r="C226" s="26"/>
      <c r="D226" s="520"/>
      <c r="E226" s="520"/>
      <c r="F226" s="520"/>
      <c r="G226" s="199">
        <v>32</v>
      </c>
      <c r="H226" s="103" t="s">
        <v>299</v>
      </c>
      <c r="I226" s="103"/>
      <c r="J226" s="103"/>
      <c r="K226" s="200"/>
      <c r="L226" s="200"/>
      <c r="M226" s="103"/>
      <c r="N226" s="381"/>
      <c r="O226" s="103"/>
      <c r="P226" s="103"/>
      <c r="Q226" s="408"/>
      <c r="R226" s="408"/>
      <c r="S226" s="408"/>
      <c r="T226" s="408"/>
      <c r="U226" s="408"/>
      <c r="V226" s="408"/>
      <c r="W226" s="408"/>
      <c r="X226" s="408"/>
      <c r="Y226" s="408"/>
      <c r="Z226" s="408"/>
      <c r="AA226" s="408"/>
      <c r="AB226" s="408"/>
      <c r="AC226" s="408"/>
      <c r="AD226" s="408"/>
      <c r="AE226" s="408"/>
      <c r="AF226" s="409"/>
      <c r="AG226" s="408"/>
      <c r="AH226" s="408"/>
      <c r="AI226" s="408"/>
      <c r="AJ226" s="408"/>
      <c r="AK226" s="410"/>
    </row>
    <row r="227" spans="1:37" ht="90" x14ac:dyDescent="0.2">
      <c r="A227" s="39"/>
      <c r="B227" s="201"/>
      <c r="C227" s="650" t="s">
        <v>300</v>
      </c>
      <c r="D227" s="672" t="s">
        <v>301</v>
      </c>
      <c r="E227" s="680" t="s">
        <v>302</v>
      </c>
      <c r="F227" s="650" t="s">
        <v>303</v>
      </c>
      <c r="G227" s="679"/>
      <c r="H227" s="54">
        <v>119</v>
      </c>
      <c r="I227" s="679" t="s">
        <v>304</v>
      </c>
      <c r="J227" s="41">
        <v>10</v>
      </c>
      <c r="K227" s="186">
        <v>9</v>
      </c>
      <c r="L227" s="43">
        <v>2017003630009</v>
      </c>
      <c r="M227" s="41" t="s">
        <v>272</v>
      </c>
      <c r="N227" s="54" t="s">
        <v>305</v>
      </c>
      <c r="O227" s="679" t="s">
        <v>306</v>
      </c>
      <c r="P227" s="54" t="s">
        <v>61</v>
      </c>
      <c r="Q227" s="391">
        <v>0</v>
      </c>
      <c r="R227" s="391">
        <v>0</v>
      </c>
      <c r="S227" s="391">
        <v>0</v>
      </c>
      <c r="T227" s="391">
        <v>0</v>
      </c>
      <c r="U227" s="391">
        <v>0</v>
      </c>
      <c r="V227" s="391">
        <v>0</v>
      </c>
      <c r="W227" s="391">
        <v>0</v>
      </c>
      <c r="X227" s="391"/>
      <c r="Y227" s="391"/>
      <c r="Z227" s="391">
        <v>0</v>
      </c>
      <c r="AA227" s="391">
        <v>0</v>
      </c>
      <c r="AB227" s="391">
        <v>0</v>
      </c>
      <c r="AC227" s="391">
        <v>0</v>
      </c>
      <c r="AD227" s="391">
        <v>0</v>
      </c>
      <c r="AE227" s="391">
        <v>0</v>
      </c>
      <c r="AF227" s="392">
        <f>139000000+11000000</f>
        <v>150000000</v>
      </c>
      <c r="AG227" s="405"/>
      <c r="AH227" s="642">
        <f>244500000+156456761-31955400</f>
        <v>369001361</v>
      </c>
      <c r="AI227" s="393"/>
      <c r="AJ227" s="420">
        <v>0</v>
      </c>
      <c r="AK227" s="391">
        <f>Q227+R227+S227+T227+U227+V227+W227+X227+Y227+Z227+AA227+AB227+AC227+AD227+AE227+AF227+AG227+AH227+AI227+AJ227</f>
        <v>519001361</v>
      </c>
    </row>
    <row r="228" spans="1:37" s="2" customFormat="1" ht="30" customHeight="1" x14ac:dyDescent="0.25">
      <c r="A228" s="39"/>
      <c r="B228" s="201"/>
      <c r="C228" s="662"/>
      <c r="D228" s="657"/>
      <c r="E228" s="662"/>
      <c r="F228" s="662"/>
      <c r="G228" s="55"/>
      <c r="H228" s="56"/>
      <c r="I228" s="55"/>
      <c r="J228" s="57"/>
      <c r="K228" s="192"/>
      <c r="L228" s="192"/>
      <c r="M228" s="57"/>
      <c r="N228" s="56"/>
      <c r="O228" s="55"/>
      <c r="P228" s="56"/>
      <c r="Q228" s="400">
        <f t="shared" ref="Q228:AJ228" si="54">SUM(Q227)</f>
        <v>0</v>
      </c>
      <c r="R228" s="400">
        <f t="shared" si="54"/>
        <v>0</v>
      </c>
      <c r="S228" s="400">
        <f t="shared" si="54"/>
        <v>0</v>
      </c>
      <c r="T228" s="400">
        <f t="shared" si="54"/>
        <v>0</v>
      </c>
      <c r="U228" s="400">
        <f t="shared" si="54"/>
        <v>0</v>
      </c>
      <c r="V228" s="400">
        <f t="shared" si="54"/>
        <v>0</v>
      </c>
      <c r="W228" s="400">
        <f t="shared" si="54"/>
        <v>0</v>
      </c>
      <c r="X228" s="400">
        <f t="shared" si="54"/>
        <v>0</v>
      </c>
      <c r="Y228" s="400">
        <f t="shared" si="54"/>
        <v>0</v>
      </c>
      <c r="Z228" s="400">
        <f t="shared" si="54"/>
        <v>0</v>
      </c>
      <c r="AA228" s="400">
        <f t="shared" si="54"/>
        <v>0</v>
      </c>
      <c r="AB228" s="400">
        <f t="shared" si="54"/>
        <v>0</v>
      </c>
      <c r="AC228" s="400">
        <f t="shared" si="54"/>
        <v>0</v>
      </c>
      <c r="AD228" s="400">
        <f t="shared" si="54"/>
        <v>0</v>
      </c>
      <c r="AE228" s="400">
        <f t="shared" si="54"/>
        <v>0</v>
      </c>
      <c r="AF228" s="400">
        <f t="shared" si="54"/>
        <v>150000000</v>
      </c>
      <c r="AG228" s="400">
        <f t="shared" si="54"/>
        <v>0</v>
      </c>
      <c r="AH228" s="400">
        <f t="shared" si="54"/>
        <v>369001361</v>
      </c>
      <c r="AI228" s="400">
        <f t="shared" si="54"/>
        <v>0</v>
      </c>
      <c r="AJ228" s="400">
        <f t="shared" si="54"/>
        <v>0</v>
      </c>
      <c r="AK228" s="400">
        <f>SUM(AK227)</f>
        <v>519001361</v>
      </c>
    </row>
    <row r="229" spans="1:37" s="2" customFormat="1" ht="30" customHeight="1" x14ac:dyDescent="0.25">
      <c r="A229" s="39"/>
      <c r="B229" s="201"/>
      <c r="C229" s="188"/>
      <c r="D229" s="189"/>
      <c r="E229" s="190"/>
      <c r="F229" s="190"/>
      <c r="G229" s="69"/>
      <c r="H229" s="146"/>
      <c r="I229" s="69"/>
      <c r="J229" s="70"/>
      <c r="K229" s="193"/>
      <c r="L229" s="202"/>
      <c r="M229" s="115"/>
      <c r="N229" s="390"/>
      <c r="O229" s="99"/>
      <c r="P229" s="146"/>
      <c r="Q229" s="395"/>
      <c r="R229" s="396"/>
      <c r="S229" s="395"/>
      <c r="T229" s="395"/>
      <c r="U229" s="395"/>
      <c r="V229" s="395"/>
      <c r="W229" s="395"/>
      <c r="X229" s="395"/>
      <c r="Y229" s="395"/>
      <c r="Z229" s="395"/>
      <c r="AA229" s="395"/>
      <c r="AB229" s="395"/>
      <c r="AC229" s="395"/>
      <c r="AD229" s="395"/>
      <c r="AE229" s="395"/>
      <c r="AF229" s="397"/>
      <c r="AG229" s="398"/>
      <c r="AH229" s="395"/>
      <c r="AI229" s="395"/>
      <c r="AJ229" s="396"/>
      <c r="AK229" s="395"/>
    </row>
    <row r="230" spans="1:37" s="2" customFormat="1" ht="30" customHeight="1" x14ac:dyDescent="0.25">
      <c r="A230" s="39"/>
      <c r="B230" s="201"/>
      <c r="C230" s="661"/>
      <c r="D230" s="655"/>
      <c r="E230" s="661"/>
      <c r="F230" s="661"/>
      <c r="G230" s="75">
        <v>33</v>
      </c>
      <c r="H230" s="77" t="s">
        <v>307</v>
      </c>
      <c r="I230" s="77"/>
      <c r="J230" s="77"/>
      <c r="K230" s="149"/>
      <c r="L230" s="149"/>
      <c r="M230" s="77"/>
      <c r="N230" s="169"/>
      <c r="O230" s="77"/>
      <c r="P230" s="77"/>
      <c r="Q230" s="263"/>
      <c r="R230" s="263"/>
      <c r="S230" s="263"/>
      <c r="T230" s="263"/>
      <c r="U230" s="263"/>
      <c r="V230" s="263"/>
      <c r="W230" s="263"/>
      <c r="X230" s="263"/>
      <c r="Y230" s="263"/>
      <c r="Z230" s="263"/>
      <c r="AA230" s="263"/>
      <c r="AB230" s="263"/>
      <c r="AC230" s="263"/>
      <c r="AD230" s="263"/>
      <c r="AE230" s="263"/>
      <c r="AF230" s="404"/>
      <c r="AG230" s="263"/>
      <c r="AH230" s="263"/>
      <c r="AI230" s="263"/>
      <c r="AJ230" s="263"/>
      <c r="AK230" s="265"/>
    </row>
    <row r="231" spans="1:37" ht="57.75" customHeight="1" x14ac:dyDescent="0.2">
      <c r="A231" s="39"/>
      <c r="B231" s="201"/>
      <c r="C231" s="775" t="s">
        <v>308</v>
      </c>
      <c r="D231" s="781" t="s">
        <v>309</v>
      </c>
      <c r="E231" s="798" t="s">
        <v>310</v>
      </c>
      <c r="F231" s="775" t="s">
        <v>311</v>
      </c>
      <c r="G231" s="40"/>
      <c r="H231" s="54">
        <v>120</v>
      </c>
      <c r="I231" s="679" t="s">
        <v>312</v>
      </c>
      <c r="J231" s="41">
        <v>0</v>
      </c>
      <c r="K231" s="186">
        <v>3</v>
      </c>
      <c r="L231" s="784">
        <v>2017003630008</v>
      </c>
      <c r="M231" s="774" t="s">
        <v>272</v>
      </c>
      <c r="N231" s="774" t="s">
        <v>313</v>
      </c>
      <c r="O231" s="777" t="s">
        <v>314</v>
      </c>
      <c r="P231" s="54" t="s">
        <v>61</v>
      </c>
      <c r="Q231" s="391">
        <v>0</v>
      </c>
      <c r="R231" s="391">
        <v>0</v>
      </c>
      <c r="S231" s="391">
        <v>0</v>
      </c>
      <c r="T231" s="391">
        <v>0</v>
      </c>
      <c r="U231" s="391">
        <v>0</v>
      </c>
      <c r="V231" s="391">
        <v>0</v>
      </c>
      <c r="W231" s="391">
        <v>0</v>
      </c>
      <c r="X231" s="391"/>
      <c r="Y231" s="391"/>
      <c r="Z231" s="391">
        <v>0</v>
      </c>
      <c r="AA231" s="391">
        <v>0</v>
      </c>
      <c r="AB231" s="391"/>
      <c r="AC231" s="391"/>
      <c r="AD231" s="391">
        <v>0</v>
      </c>
      <c r="AE231" s="391">
        <v>0</v>
      </c>
      <c r="AF231" s="392">
        <f>40000000-15770000+450000000</f>
        <v>474230000</v>
      </c>
      <c r="AG231" s="392"/>
      <c r="AH231" s="391">
        <v>0</v>
      </c>
      <c r="AI231" s="393"/>
      <c r="AJ231" s="393">
        <v>0</v>
      </c>
      <c r="AK231" s="391">
        <f>Q231+R231+S231+T231+U231+V231+W231+X231+Y231+Z231+AA231+AB231+AC231+AD231+AE231+AF231+AG231+AH231+AI231+AJ231</f>
        <v>474230000</v>
      </c>
    </row>
    <row r="232" spans="1:37" x14ac:dyDescent="0.2">
      <c r="A232" s="39"/>
      <c r="B232" s="201"/>
      <c r="C232" s="775"/>
      <c r="D232" s="781"/>
      <c r="E232" s="798"/>
      <c r="F232" s="775"/>
      <c r="G232" s="90"/>
      <c r="H232" s="54">
        <v>121</v>
      </c>
      <c r="I232" s="679" t="s">
        <v>315</v>
      </c>
      <c r="J232" s="41">
        <v>9</v>
      </c>
      <c r="K232" s="186">
        <v>4</v>
      </c>
      <c r="L232" s="786"/>
      <c r="M232" s="776"/>
      <c r="N232" s="776"/>
      <c r="O232" s="779"/>
      <c r="P232" s="54" t="s">
        <v>61</v>
      </c>
      <c r="Q232" s="391">
        <v>0</v>
      </c>
      <c r="R232" s="391">
        <v>0</v>
      </c>
      <c r="S232" s="391">
        <v>0</v>
      </c>
      <c r="T232" s="391">
        <v>0</v>
      </c>
      <c r="U232" s="391">
        <v>0</v>
      </c>
      <c r="V232" s="391">
        <v>0</v>
      </c>
      <c r="W232" s="391">
        <v>0</v>
      </c>
      <c r="X232" s="391"/>
      <c r="Y232" s="391"/>
      <c r="Z232" s="391">
        <v>0</v>
      </c>
      <c r="AA232" s="391">
        <v>0</v>
      </c>
      <c r="AB232" s="391"/>
      <c r="AC232" s="391"/>
      <c r="AD232" s="391">
        <v>0</v>
      </c>
      <c r="AE232" s="391">
        <v>0</v>
      </c>
      <c r="AF232" s="392">
        <f>40000000+15770000+20000000</f>
        <v>75770000</v>
      </c>
      <c r="AG232" s="392"/>
      <c r="AH232" s="391">
        <v>0</v>
      </c>
      <c r="AI232" s="393"/>
      <c r="AJ232" s="393">
        <v>0</v>
      </c>
      <c r="AK232" s="391">
        <f>Q232+R232+S232+T232+U232+V232+W232+X232+Y232+Z232+AA232+AB232+AC232+AD232+AE232+AF232+AG232+AH232+AI232+AJ232</f>
        <v>75770000</v>
      </c>
    </row>
    <row r="233" spans="1:37" ht="30" customHeight="1" x14ac:dyDescent="0.2">
      <c r="A233" s="39"/>
      <c r="B233" s="203"/>
      <c r="C233" s="662"/>
      <c r="D233" s="657"/>
      <c r="E233" s="662"/>
      <c r="F233" s="662"/>
      <c r="G233" s="55"/>
      <c r="H233" s="56"/>
      <c r="I233" s="55"/>
      <c r="J233" s="57"/>
      <c r="K233" s="187"/>
      <c r="L233" s="187"/>
      <c r="M233" s="56"/>
      <c r="N233" s="56"/>
      <c r="O233" s="55"/>
      <c r="P233" s="56"/>
      <c r="Q233" s="400">
        <f t="shared" ref="Q233:AJ233" si="55">SUM(Q231:Q232)</f>
        <v>0</v>
      </c>
      <c r="R233" s="400">
        <f t="shared" si="55"/>
        <v>0</v>
      </c>
      <c r="S233" s="400">
        <f t="shared" si="55"/>
        <v>0</v>
      </c>
      <c r="T233" s="400">
        <f t="shared" si="55"/>
        <v>0</v>
      </c>
      <c r="U233" s="400">
        <f t="shared" si="55"/>
        <v>0</v>
      </c>
      <c r="V233" s="400">
        <f t="shared" si="55"/>
        <v>0</v>
      </c>
      <c r="W233" s="400">
        <f t="shared" si="55"/>
        <v>0</v>
      </c>
      <c r="X233" s="400">
        <f t="shared" si="55"/>
        <v>0</v>
      </c>
      <c r="Y233" s="400">
        <f t="shared" si="55"/>
        <v>0</v>
      </c>
      <c r="Z233" s="400">
        <f t="shared" si="55"/>
        <v>0</v>
      </c>
      <c r="AA233" s="400">
        <f t="shared" si="55"/>
        <v>0</v>
      </c>
      <c r="AB233" s="400">
        <f t="shared" si="55"/>
        <v>0</v>
      </c>
      <c r="AC233" s="400">
        <f t="shared" si="55"/>
        <v>0</v>
      </c>
      <c r="AD233" s="400">
        <f t="shared" si="55"/>
        <v>0</v>
      </c>
      <c r="AE233" s="400">
        <f t="shared" si="55"/>
        <v>0</v>
      </c>
      <c r="AF233" s="400">
        <f t="shared" si="55"/>
        <v>550000000</v>
      </c>
      <c r="AG233" s="400">
        <f t="shared" si="55"/>
        <v>0</v>
      </c>
      <c r="AH233" s="400">
        <f t="shared" si="55"/>
        <v>0</v>
      </c>
      <c r="AI233" s="400">
        <f t="shared" si="55"/>
        <v>0</v>
      </c>
      <c r="AJ233" s="400">
        <f t="shared" si="55"/>
        <v>0</v>
      </c>
      <c r="AK233" s="400">
        <f t="shared" ref="AK233" si="56">SUM(AK231:AK232)</f>
        <v>550000000</v>
      </c>
    </row>
    <row r="234" spans="1:37" ht="30" customHeight="1" x14ac:dyDescent="0.2">
      <c r="A234" s="52"/>
      <c r="B234" s="93"/>
      <c r="C234" s="60"/>
      <c r="D234" s="194"/>
      <c r="E234" s="195"/>
      <c r="F234" s="195"/>
      <c r="G234" s="59"/>
      <c r="H234" s="60"/>
      <c r="I234" s="59"/>
      <c r="J234" s="61"/>
      <c r="K234" s="204"/>
      <c r="L234" s="204"/>
      <c r="M234" s="60"/>
      <c r="N234" s="60"/>
      <c r="O234" s="59"/>
      <c r="P234" s="60"/>
      <c r="Q234" s="406">
        <f t="shared" ref="Q234:AK234" si="57">Q233+Q228</f>
        <v>0</v>
      </c>
      <c r="R234" s="406">
        <f t="shared" si="57"/>
        <v>0</v>
      </c>
      <c r="S234" s="406">
        <f t="shared" si="57"/>
        <v>0</v>
      </c>
      <c r="T234" s="406">
        <f t="shared" si="57"/>
        <v>0</v>
      </c>
      <c r="U234" s="406">
        <f t="shared" si="57"/>
        <v>0</v>
      </c>
      <c r="V234" s="406">
        <f t="shared" si="57"/>
        <v>0</v>
      </c>
      <c r="W234" s="406">
        <f t="shared" si="57"/>
        <v>0</v>
      </c>
      <c r="X234" s="406">
        <f t="shared" si="57"/>
        <v>0</v>
      </c>
      <c r="Y234" s="406">
        <f t="shared" si="57"/>
        <v>0</v>
      </c>
      <c r="Z234" s="406">
        <f t="shared" si="57"/>
        <v>0</v>
      </c>
      <c r="AA234" s="406">
        <f t="shared" si="57"/>
        <v>0</v>
      </c>
      <c r="AB234" s="406">
        <f t="shared" si="57"/>
        <v>0</v>
      </c>
      <c r="AC234" s="406">
        <f t="shared" si="57"/>
        <v>0</v>
      </c>
      <c r="AD234" s="406">
        <f t="shared" si="57"/>
        <v>0</v>
      </c>
      <c r="AE234" s="406">
        <f t="shared" si="57"/>
        <v>0</v>
      </c>
      <c r="AF234" s="406">
        <f t="shared" si="57"/>
        <v>700000000</v>
      </c>
      <c r="AG234" s="406">
        <f t="shared" si="57"/>
        <v>0</v>
      </c>
      <c r="AH234" s="406">
        <f t="shared" si="57"/>
        <v>369001361</v>
      </c>
      <c r="AI234" s="406">
        <f t="shared" si="57"/>
        <v>0</v>
      </c>
      <c r="AJ234" s="406">
        <f t="shared" si="57"/>
        <v>0</v>
      </c>
      <c r="AK234" s="406">
        <f t="shared" si="57"/>
        <v>1069001361</v>
      </c>
    </row>
    <row r="235" spans="1:37" ht="30" customHeight="1" x14ac:dyDescent="0.2">
      <c r="A235" s="62"/>
      <c r="B235" s="62"/>
      <c r="C235" s="63"/>
      <c r="D235" s="205"/>
      <c r="E235" s="206"/>
      <c r="F235" s="206"/>
      <c r="G235" s="62"/>
      <c r="H235" s="63"/>
      <c r="I235" s="62"/>
      <c r="J235" s="64"/>
      <c r="K235" s="207"/>
      <c r="L235" s="207"/>
      <c r="M235" s="63"/>
      <c r="N235" s="63"/>
      <c r="O235" s="62"/>
      <c r="P235" s="63"/>
      <c r="Q235" s="412">
        <f t="shared" ref="Q235:AK235" si="58">Q234+Q223</f>
        <v>2963763815</v>
      </c>
      <c r="R235" s="412">
        <f t="shared" si="58"/>
        <v>0</v>
      </c>
      <c r="S235" s="412">
        <f t="shared" si="58"/>
        <v>0</v>
      </c>
      <c r="T235" s="412">
        <f t="shared" si="58"/>
        <v>0</v>
      </c>
      <c r="U235" s="412">
        <f t="shared" si="58"/>
        <v>0</v>
      </c>
      <c r="V235" s="412">
        <f t="shared" si="58"/>
        <v>0</v>
      </c>
      <c r="W235" s="412">
        <f t="shared" si="58"/>
        <v>0</v>
      </c>
      <c r="X235" s="412">
        <f t="shared" si="58"/>
        <v>0</v>
      </c>
      <c r="Y235" s="412">
        <f t="shared" si="58"/>
        <v>0</v>
      </c>
      <c r="Z235" s="412">
        <f t="shared" si="58"/>
        <v>0</v>
      </c>
      <c r="AA235" s="412">
        <f t="shared" si="58"/>
        <v>0</v>
      </c>
      <c r="AB235" s="412">
        <f t="shared" si="58"/>
        <v>0</v>
      </c>
      <c r="AC235" s="412">
        <f t="shared" si="58"/>
        <v>0</v>
      </c>
      <c r="AD235" s="412">
        <f t="shared" si="58"/>
        <v>0</v>
      </c>
      <c r="AE235" s="412">
        <f t="shared" si="58"/>
        <v>0</v>
      </c>
      <c r="AF235" s="412">
        <f t="shared" si="58"/>
        <v>2230000000</v>
      </c>
      <c r="AG235" s="412">
        <f t="shared" si="58"/>
        <v>0</v>
      </c>
      <c r="AH235" s="412">
        <f t="shared" si="58"/>
        <v>369001361</v>
      </c>
      <c r="AI235" s="412">
        <f t="shared" si="58"/>
        <v>0</v>
      </c>
      <c r="AJ235" s="412">
        <f t="shared" si="58"/>
        <v>0</v>
      </c>
      <c r="AK235" s="412">
        <f t="shared" si="58"/>
        <v>5562765176</v>
      </c>
    </row>
    <row r="236" spans="1:37" ht="30" customHeight="1" x14ac:dyDescent="0.2">
      <c r="A236" s="65"/>
      <c r="B236" s="65"/>
      <c r="C236" s="66"/>
      <c r="D236" s="208"/>
      <c r="E236" s="209"/>
      <c r="F236" s="209"/>
      <c r="G236" s="65"/>
      <c r="H236" s="66"/>
      <c r="I236" s="65"/>
      <c r="J236" s="67"/>
      <c r="K236" s="210"/>
      <c r="L236" s="210"/>
      <c r="M236" s="66"/>
      <c r="N236" s="66"/>
      <c r="O236" s="65"/>
      <c r="P236" s="66"/>
      <c r="Q236" s="413">
        <f t="shared" ref="Q236:AK236" si="59">Q235</f>
        <v>2963763815</v>
      </c>
      <c r="R236" s="413">
        <f t="shared" si="59"/>
        <v>0</v>
      </c>
      <c r="S236" s="413">
        <f t="shared" si="59"/>
        <v>0</v>
      </c>
      <c r="T236" s="413">
        <f t="shared" si="59"/>
        <v>0</v>
      </c>
      <c r="U236" s="413">
        <f t="shared" si="59"/>
        <v>0</v>
      </c>
      <c r="V236" s="413">
        <f t="shared" si="59"/>
        <v>0</v>
      </c>
      <c r="W236" s="413">
        <f t="shared" si="59"/>
        <v>0</v>
      </c>
      <c r="X236" s="413">
        <f t="shared" si="59"/>
        <v>0</v>
      </c>
      <c r="Y236" s="413">
        <f t="shared" si="59"/>
        <v>0</v>
      </c>
      <c r="Z236" s="413">
        <f t="shared" si="59"/>
        <v>0</v>
      </c>
      <c r="AA236" s="413">
        <f t="shared" si="59"/>
        <v>0</v>
      </c>
      <c r="AB236" s="413">
        <f t="shared" si="59"/>
        <v>0</v>
      </c>
      <c r="AC236" s="413">
        <f t="shared" si="59"/>
        <v>0</v>
      </c>
      <c r="AD236" s="413">
        <f t="shared" si="59"/>
        <v>0</v>
      </c>
      <c r="AE236" s="413">
        <f t="shared" si="59"/>
        <v>0</v>
      </c>
      <c r="AF236" s="413">
        <f t="shared" si="59"/>
        <v>2230000000</v>
      </c>
      <c r="AG236" s="413">
        <f t="shared" si="59"/>
        <v>0</v>
      </c>
      <c r="AH236" s="413">
        <f t="shared" si="59"/>
        <v>369001361</v>
      </c>
      <c r="AI236" s="413">
        <f t="shared" si="59"/>
        <v>0</v>
      </c>
      <c r="AJ236" s="413">
        <f t="shared" si="59"/>
        <v>0</v>
      </c>
      <c r="AK236" s="413">
        <f t="shared" si="59"/>
        <v>5562765176</v>
      </c>
    </row>
    <row r="237" spans="1:37" ht="30" customHeight="1" x14ac:dyDescent="0.2">
      <c r="A237" s="68"/>
      <c r="B237" s="69"/>
      <c r="C237" s="146"/>
      <c r="D237" s="211"/>
      <c r="E237" s="212"/>
      <c r="F237" s="212"/>
      <c r="G237" s="69"/>
      <c r="H237" s="146"/>
      <c r="I237" s="69"/>
      <c r="J237" s="70"/>
      <c r="K237" s="191"/>
      <c r="L237" s="191"/>
      <c r="M237" s="146"/>
      <c r="N237" s="146"/>
      <c r="O237" s="69"/>
      <c r="P237" s="146"/>
      <c r="Q237" s="395"/>
      <c r="R237" s="396"/>
      <c r="S237" s="395"/>
      <c r="T237" s="395"/>
      <c r="U237" s="395"/>
      <c r="V237" s="395"/>
      <c r="W237" s="395"/>
      <c r="X237" s="395"/>
      <c r="Y237" s="395"/>
      <c r="Z237" s="395"/>
      <c r="AA237" s="395"/>
      <c r="AB237" s="396"/>
      <c r="AC237" s="396"/>
      <c r="AD237" s="395"/>
      <c r="AE237" s="395"/>
      <c r="AF237" s="397"/>
      <c r="AG237" s="398"/>
      <c r="AH237" s="395"/>
      <c r="AI237" s="395"/>
      <c r="AJ237" s="396"/>
      <c r="AK237" s="395"/>
    </row>
    <row r="238" spans="1:37" ht="30" customHeight="1" x14ac:dyDescent="0.2">
      <c r="A238" s="28" t="s">
        <v>316</v>
      </c>
      <c r="B238" s="29"/>
      <c r="C238" s="30"/>
      <c r="D238" s="29"/>
      <c r="E238" s="29"/>
      <c r="F238" s="29"/>
      <c r="G238" s="29"/>
      <c r="H238" s="30"/>
      <c r="I238" s="29"/>
      <c r="J238" s="29"/>
      <c r="K238" s="213"/>
      <c r="L238" s="213"/>
      <c r="M238" s="29"/>
      <c r="N238" s="30"/>
      <c r="O238" s="29"/>
      <c r="P238" s="30"/>
      <c r="Q238" s="459"/>
      <c r="R238" s="459"/>
      <c r="S238" s="459"/>
      <c r="T238" s="459"/>
      <c r="U238" s="459"/>
      <c r="V238" s="459"/>
      <c r="W238" s="459"/>
      <c r="X238" s="459"/>
      <c r="Y238" s="459"/>
      <c r="Z238" s="459"/>
      <c r="AA238" s="459"/>
      <c r="AB238" s="459"/>
      <c r="AC238" s="459"/>
      <c r="AD238" s="459"/>
      <c r="AE238" s="459"/>
      <c r="AF238" s="460"/>
      <c r="AG238" s="461"/>
      <c r="AH238" s="459"/>
      <c r="AI238" s="459"/>
      <c r="AJ238" s="459"/>
      <c r="AK238" s="462" t="s">
        <v>63</v>
      </c>
    </row>
    <row r="239" spans="1:37" ht="30" customHeight="1" x14ac:dyDescent="0.2">
      <c r="A239" s="738">
        <v>2</v>
      </c>
      <c r="B239" s="31" t="s">
        <v>123</v>
      </c>
      <c r="C239" s="32"/>
      <c r="D239" s="31"/>
      <c r="E239" s="31"/>
      <c r="F239" s="31"/>
      <c r="G239" s="31"/>
      <c r="H239" s="32"/>
      <c r="I239" s="31"/>
      <c r="J239" s="31"/>
      <c r="K239" s="214"/>
      <c r="L239" s="214"/>
      <c r="M239" s="31"/>
      <c r="N239" s="32"/>
      <c r="O239" s="31"/>
      <c r="P239" s="31"/>
      <c r="Q239" s="421"/>
      <c r="R239" s="421"/>
      <c r="S239" s="421"/>
      <c r="T239" s="421"/>
      <c r="U239" s="421"/>
      <c r="V239" s="421"/>
      <c r="W239" s="421"/>
      <c r="X239" s="421"/>
      <c r="Y239" s="421"/>
      <c r="Z239" s="421"/>
      <c r="AA239" s="421"/>
      <c r="AB239" s="421"/>
      <c r="AC239" s="421"/>
      <c r="AD239" s="421"/>
      <c r="AE239" s="421"/>
      <c r="AF239" s="422"/>
      <c r="AG239" s="421"/>
      <c r="AH239" s="421"/>
      <c r="AI239" s="421"/>
      <c r="AJ239" s="421"/>
      <c r="AK239" s="423"/>
    </row>
    <row r="240" spans="1:37" ht="30" customHeight="1" x14ac:dyDescent="0.2">
      <c r="A240" s="73"/>
      <c r="B240" s="121">
        <v>2</v>
      </c>
      <c r="C240" s="37" t="s">
        <v>317</v>
      </c>
      <c r="D240" s="36"/>
      <c r="E240" s="36"/>
      <c r="F240" s="36"/>
      <c r="G240" s="36"/>
      <c r="H240" s="37"/>
      <c r="I240" s="36"/>
      <c r="J240" s="36"/>
      <c r="K240" s="197"/>
      <c r="L240" s="197"/>
      <c r="M240" s="36"/>
      <c r="N240" s="37"/>
      <c r="O240" s="36"/>
      <c r="P240" s="36"/>
      <c r="Q240" s="402"/>
      <c r="R240" s="402"/>
      <c r="S240" s="402"/>
      <c r="T240" s="402"/>
      <c r="U240" s="402"/>
      <c r="V240" s="402"/>
      <c r="W240" s="402"/>
      <c r="X240" s="402"/>
      <c r="Y240" s="402"/>
      <c r="Z240" s="402"/>
      <c r="AA240" s="402"/>
      <c r="AB240" s="402"/>
      <c r="AC240" s="402"/>
      <c r="AD240" s="402"/>
      <c r="AE240" s="402"/>
      <c r="AF240" s="403"/>
      <c r="AG240" s="402"/>
      <c r="AH240" s="402"/>
      <c r="AI240" s="402"/>
      <c r="AJ240" s="402"/>
      <c r="AK240" s="407"/>
    </row>
    <row r="241" spans="1:37" ht="30" customHeight="1" x14ac:dyDescent="0.2">
      <c r="A241" s="39"/>
      <c r="B241" s="73"/>
      <c r="C241" s="661"/>
      <c r="D241" s="655"/>
      <c r="E241" s="661"/>
      <c r="F241" s="661"/>
      <c r="G241" s="215">
        <v>8</v>
      </c>
      <c r="H241" s="77" t="s">
        <v>318</v>
      </c>
      <c r="I241" s="77"/>
      <c r="J241" s="77"/>
      <c r="K241" s="149"/>
      <c r="L241" s="149"/>
      <c r="M241" s="77"/>
      <c r="N241" s="169"/>
      <c r="O241" s="77"/>
      <c r="P241" s="77"/>
      <c r="Q241" s="263"/>
      <c r="R241" s="263"/>
      <c r="S241" s="263"/>
      <c r="T241" s="263"/>
      <c r="U241" s="263"/>
      <c r="V241" s="263"/>
      <c r="W241" s="263"/>
      <c r="X241" s="263"/>
      <c r="Y241" s="263"/>
      <c r="Z241" s="263"/>
      <c r="AA241" s="263"/>
      <c r="AB241" s="263"/>
      <c r="AC241" s="263"/>
      <c r="AD241" s="263"/>
      <c r="AE241" s="263"/>
      <c r="AF241" s="404"/>
      <c r="AG241" s="263"/>
      <c r="AH241" s="263"/>
      <c r="AI241" s="263"/>
      <c r="AJ241" s="263"/>
      <c r="AK241" s="265"/>
    </row>
    <row r="242" spans="1:37" ht="50.25" customHeight="1" x14ac:dyDescent="0.2">
      <c r="A242" s="39"/>
      <c r="B242" s="39"/>
      <c r="C242" s="662">
        <v>5</v>
      </c>
      <c r="D242" s="657" t="s">
        <v>319</v>
      </c>
      <c r="E242" s="662">
        <v>12.9</v>
      </c>
      <c r="F242" s="662">
        <v>8.9</v>
      </c>
      <c r="G242" s="40"/>
      <c r="H242" s="54">
        <v>38</v>
      </c>
      <c r="I242" s="679" t="s">
        <v>320</v>
      </c>
      <c r="J242" s="54">
        <v>3</v>
      </c>
      <c r="K242" s="165">
        <v>4</v>
      </c>
      <c r="L242" s="784">
        <v>2017003630086</v>
      </c>
      <c r="M242" s="777" t="s">
        <v>321</v>
      </c>
      <c r="N242" s="774" t="s">
        <v>322</v>
      </c>
      <c r="O242" s="777" t="s">
        <v>967</v>
      </c>
      <c r="P242" s="165" t="s">
        <v>46</v>
      </c>
      <c r="Q242" s="391">
        <v>0</v>
      </c>
      <c r="R242" s="391">
        <v>0</v>
      </c>
      <c r="S242" s="391">
        <v>0</v>
      </c>
      <c r="T242" s="391">
        <v>0</v>
      </c>
      <c r="U242" s="391">
        <v>0</v>
      </c>
      <c r="V242" s="391">
        <v>0</v>
      </c>
      <c r="W242" s="391">
        <v>0</v>
      </c>
      <c r="X242" s="391"/>
      <c r="Y242" s="391"/>
      <c r="Z242" s="391">
        <v>0</v>
      </c>
      <c r="AA242" s="391">
        <v>0</v>
      </c>
      <c r="AB242" s="391"/>
      <c r="AC242" s="391"/>
      <c r="AD242" s="391">
        <v>0</v>
      </c>
      <c r="AE242" s="391">
        <v>0</v>
      </c>
      <c r="AF242" s="392">
        <f>20000000</f>
        <v>20000000</v>
      </c>
      <c r="AG242" s="392"/>
      <c r="AH242" s="391">
        <v>0</v>
      </c>
      <c r="AI242" s="393"/>
      <c r="AJ242" s="393">
        <v>0</v>
      </c>
      <c r="AK242" s="391">
        <f>Q242+R242+S242+T242+U242+V242+W242+X242+Y242+Z242+AA242+AB242+AC242+AD242+AE242+AF242+AG242+AH242+AI242+AJ242</f>
        <v>20000000</v>
      </c>
    </row>
    <row r="243" spans="1:37" ht="50.25" customHeight="1" x14ac:dyDescent="0.2">
      <c r="A243" s="39"/>
      <c r="B243" s="39"/>
      <c r="C243" s="677">
        <v>6</v>
      </c>
      <c r="D243" s="679" t="s">
        <v>324</v>
      </c>
      <c r="E243" s="662" t="s">
        <v>325</v>
      </c>
      <c r="F243" s="662" t="s">
        <v>326</v>
      </c>
      <c r="G243" s="46"/>
      <c r="H243" s="54">
        <v>39</v>
      </c>
      <c r="I243" s="40" t="s">
        <v>327</v>
      </c>
      <c r="J243" s="54">
        <v>0</v>
      </c>
      <c r="K243" s="165">
        <v>3</v>
      </c>
      <c r="L243" s="786"/>
      <c r="M243" s="779"/>
      <c r="N243" s="776"/>
      <c r="O243" s="779"/>
      <c r="P243" s="165" t="s">
        <v>46</v>
      </c>
      <c r="Q243" s="391"/>
      <c r="R243" s="391"/>
      <c r="S243" s="391"/>
      <c r="T243" s="391"/>
      <c r="U243" s="391"/>
      <c r="V243" s="391"/>
      <c r="W243" s="391"/>
      <c r="X243" s="391"/>
      <c r="Y243" s="391"/>
      <c r="Z243" s="391"/>
      <c r="AA243" s="391"/>
      <c r="AB243" s="391"/>
      <c r="AC243" s="391"/>
      <c r="AD243" s="391"/>
      <c r="AE243" s="391"/>
      <c r="AF243" s="392">
        <f>40000000+50000000</f>
        <v>90000000</v>
      </c>
      <c r="AG243" s="392"/>
      <c r="AH243" s="391"/>
      <c r="AI243" s="393"/>
      <c r="AJ243" s="393"/>
      <c r="AK243" s="391">
        <f>Q243+R243+S243+T243+U243+V243+W243+X243+Y243+Z243+AA243+AB243+AC243+AD243+AE243+AF243+AG243+AH243+AI243+AJ243</f>
        <v>90000000</v>
      </c>
    </row>
    <row r="244" spans="1:37" ht="63.75" customHeight="1" x14ac:dyDescent="0.2">
      <c r="A244" s="39"/>
      <c r="B244" s="39"/>
      <c r="C244" s="799">
        <v>5</v>
      </c>
      <c r="D244" s="801" t="s">
        <v>319</v>
      </c>
      <c r="E244" s="774">
        <v>12.9</v>
      </c>
      <c r="F244" s="799">
        <v>8.9</v>
      </c>
      <c r="G244" s="46"/>
      <c r="H244" s="54">
        <v>40</v>
      </c>
      <c r="I244" s="679" t="s">
        <v>328</v>
      </c>
      <c r="J244" s="54">
        <v>0</v>
      </c>
      <c r="K244" s="216">
        <v>0.4</v>
      </c>
      <c r="L244" s="784">
        <v>2017003630045</v>
      </c>
      <c r="M244" s="774" t="s">
        <v>321</v>
      </c>
      <c r="N244" s="774" t="s">
        <v>329</v>
      </c>
      <c r="O244" s="777" t="s">
        <v>968</v>
      </c>
      <c r="P244" s="165" t="s">
        <v>61</v>
      </c>
      <c r="Q244" s="391">
        <v>0</v>
      </c>
      <c r="R244" s="391">
        <v>0</v>
      </c>
      <c r="S244" s="391">
        <v>0</v>
      </c>
      <c r="T244" s="391">
        <v>0</v>
      </c>
      <c r="U244" s="391">
        <v>0</v>
      </c>
      <c r="V244" s="391">
        <v>0</v>
      </c>
      <c r="W244" s="391">
        <v>0</v>
      </c>
      <c r="X244" s="391"/>
      <c r="Y244" s="391"/>
      <c r="Z244" s="391">
        <v>0</v>
      </c>
      <c r="AA244" s="391">
        <v>0</v>
      </c>
      <c r="AB244" s="391"/>
      <c r="AC244" s="391"/>
      <c r="AD244" s="391">
        <v>0</v>
      </c>
      <c r="AE244" s="391">
        <v>0</v>
      </c>
      <c r="AF244" s="392">
        <f>20000000+33000000</f>
        <v>53000000</v>
      </c>
      <c r="AG244" s="392"/>
      <c r="AH244" s="391">
        <v>0</v>
      </c>
      <c r="AI244" s="393"/>
      <c r="AJ244" s="393">
        <v>0</v>
      </c>
      <c r="AK244" s="391">
        <f>Q244+R244+S244+T244+U244+V244+W244+X244+Y244+Z244+AA244+AB244+AC244+AD244+AE244+AF244+AG244+AH244+AI244+AJ244</f>
        <v>53000000</v>
      </c>
    </row>
    <row r="245" spans="1:37" ht="50.25" customHeight="1" x14ac:dyDescent="0.2">
      <c r="A245" s="39"/>
      <c r="B245" s="39"/>
      <c r="C245" s="800"/>
      <c r="D245" s="777"/>
      <c r="E245" s="775"/>
      <c r="F245" s="800"/>
      <c r="G245" s="46"/>
      <c r="H245" s="54">
        <v>41</v>
      </c>
      <c r="I245" s="679" t="s">
        <v>331</v>
      </c>
      <c r="J245" s="54">
        <v>0</v>
      </c>
      <c r="K245" s="165">
        <v>1</v>
      </c>
      <c r="L245" s="785"/>
      <c r="M245" s="775"/>
      <c r="N245" s="775"/>
      <c r="O245" s="778"/>
      <c r="P245" s="165" t="s">
        <v>46</v>
      </c>
      <c r="Q245" s="391">
        <v>0</v>
      </c>
      <c r="R245" s="391">
        <v>0</v>
      </c>
      <c r="S245" s="391">
        <v>0</v>
      </c>
      <c r="T245" s="391">
        <v>0</v>
      </c>
      <c r="U245" s="391">
        <v>0</v>
      </c>
      <c r="V245" s="391">
        <v>0</v>
      </c>
      <c r="W245" s="391">
        <v>0</v>
      </c>
      <c r="X245" s="391"/>
      <c r="Y245" s="391"/>
      <c r="Z245" s="391">
        <v>0</v>
      </c>
      <c r="AA245" s="391">
        <v>0</v>
      </c>
      <c r="AB245" s="391"/>
      <c r="AC245" s="391"/>
      <c r="AD245" s="391">
        <v>0</v>
      </c>
      <c r="AE245" s="391">
        <v>0</v>
      </c>
      <c r="AF245" s="392">
        <v>25000000</v>
      </c>
      <c r="AG245" s="392"/>
      <c r="AH245" s="391">
        <v>0</v>
      </c>
      <c r="AI245" s="393"/>
      <c r="AJ245" s="393">
        <v>0</v>
      </c>
      <c r="AK245" s="391">
        <f>Q245+R245+S245+T245+U245+V245+W245+X245+Y245+Z245+AA245+AB245+AC245+AD245+AE245+AF245+AG245+AH245+AI245+AJ245</f>
        <v>25000000</v>
      </c>
    </row>
    <row r="246" spans="1:37" ht="50.25" customHeight="1" x14ac:dyDescent="0.2">
      <c r="A246" s="39"/>
      <c r="B246" s="39"/>
      <c r="C246" s="523">
        <v>6</v>
      </c>
      <c r="D246" s="524" t="s">
        <v>324</v>
      </c>
      <c r="E246" s="523" t="s">
        <v>325</v>
      </c>
      <c r="F246" s="523" t="s">
        <v>326</v>
      </c>
      <c r="G246" s="90"/>
      <c r="H246" s="54">
        <v>42</v>
      </c>
      <c r="I246" s="679" t="s">
        <v>332</v>
      </c>
      <c r="J246" s="54">
        <v>1</v>
      </c>
      <c r="K246" s="165">
        <v>1</v>
      </c>
      <c r="L246" s="786"/>
      <c r="M246" s="776"/>
      <c r="N246" s="776"/>
      <c r="O246" s="779"/>
      <c r="P246" s="165" t="s">
        <v>46</v>
      </c>
      <c r="Q246" s="391">
        <v>0</v>
      </c>
      <c r="R246" s="391">
        <v>0</v>
      </c>
      <c r="S246" s="391">
        <v>0</v>
      </c>
      <c r="T246" s="391">
        <v>0</v>
      </c>
      <c r="U246" s="391">
        <v>0</v>
      </c>
      <c r="V246" s="391">
        <v>0</v>
      </c>
      <c r="W246" s="391">
        <v>0</v>
      </c>
      <c r="X246" s="391"/>
      <c r="Y246" s="391"/>
      <c r="Z246" s="391">
        <v>0</v>
      </c>
      <c r="AA246" s="391">
        <v>0</v>
      </c>
      <c r="AB246" s="391"/>
      <c r="AC246" s="391"/>
      <c r="AD246" s="391">
        <v>0</v>
      </c>
      <c r="AE246" s="391">
        <v>0</v>
      </c>
      <c r="AF246" s="392">
        <f>35000000+70000000</f>
        <v>105000000</v>
      </c>
      <c r="AG246" s="392"/>
      <c r="AH246" s="391">
        <v>0</v>
      </c>
      <c r="AI246" s="391"/>
      <c r="AJ246" s="391">
        <v>0</v>
      </c>
      <c r="AK246" s="391">
        <f>Q246+R246+S246+T246+U246+V246+W246+X246+Y246+Z246+AA246+AB246+AC246+AD246+AE246+AF246+AG246+AH246+AI246+AJ246</f>
        <v>105000000</v>
      </c>
    </row>
    <row r="247" spans="1:37" ht="30" customHeight="1" x14ac:dyDescent="0.2">
      <c r="A247" s="39"/>
      <c r="B247" s="39"/>
      <c r="C247" s="662"/>
      <c r="D247" s="657"/>
      <c r="E247" s="662"/>
      <c r="F247" s="662"/>
      <c r="G247" s="55"/>
      <c r="H247" s="56"/>
      <c r="I247" s="55"/>
      <c r="J247" s="56"/>
      <c r="K247" s="187"/>
      <c r="L247" s="187"/>
      <c r="M247" s="56"/>
      <c r="N247" s="56"/>
      <c r="O247" s="55"/>
      <c r="P247" s="56"/>
      <c r="Q247" s="400">
        <f t="shared" ref="Q247:AJ247" si="60">SUM(Q242:Q246)</f>
        <v>0</v>
      </c>
      <c r="R247" s="400">
        <f t="shared" si="60"/>
        <v>0</v>
      </c>
      <c r="S247" s="400">
        <f t="shared" si="60"/>
        <v>0</v>
      </c>
      <c r="T247" s="400">
        <f t="shared" si="60"/>
        <v>0</v>
      </c>
      <c r="U247" s="400">
        <f t="shared" si="60"/>
        <v>0</v>
      </c>
      <c r="V247" s="400">
        <f t="shared" si="60"/>
        <v>0</v>
      </c>
      <c r="W247" s="400">
        <f t="shared" si="60"/>
        <v>0</v>
      </c>
      <c r="X247" s="400">
        <f t="shared" si="60"/>
        <v>0</v>
      </c>
      <c r="Y247" s="400">
        <f t="shared" si="60"/>
        <v>0</v>
      </c>
      <c r="Z247" s="400">
        <f t="shared" si="60"/>
        <v>0</v>
      </c>
      <c r="AA247" s="400">
        <f t="shared" si="60"/>
        <v>0</v>
      </c>
      <c r="AB247" s="400">
        <f t="shared" si="60"/>
        <v>0</v>
      </c>
      <c r="AC247" s="400">
        <f t="shared" si="60"/>
        <v>0</v>
      </c>
      <c r="AD247" s="400">
        <f t="shared" si="60"/>
        <v>0</v>
      </c>
      <c r="AE247" s="400">
        <f t="shared" si="60"/>
        <v>0</v>
      </c>
      <c r="AF247" s="400">
        <f t="shared" si="60"/>
        <v>293000000</v>
      </c>
      <c r="AG247" s="400">
        <f t="shared" si="60"/>
        <v>0</v>
      </c>
      <c r="AH247" s="400">
        <f t="shared" si="60"/>
        <v>0</v>
      </c>
      <c r="AI247" s="400">
        <f t="shared" si="60"/>
        <v>0</v>
      </c>
      <c r="AJ247" s="400">
        <f t="shared" si="60"/>
        <v>0</v>
      </c>
      <c r="AK247" s="400">
        <f>SUM(AK242:AK246)</f>
        <v>293000000</v>
      </c>
    </row>
    <row r="248" spans="1:37" ht="30" customHeight="1" x14ac:dyDescent="0.2">
      <c r="A248" s="39"/>
      <c r="B248" s="39"/>
      <c r="C248" s="133"/>
      <c r="D248" s="69"/>
      <c r="E248" s="146"/>
      <c r="F248" s="146"/>
      <c r="G248" s="69"/>
      <c r="H248" s="146"/>
      <c r="I248" s="69"/>
      <c r="J248" s="146"/>
      <c r="K248" s="219"/>
      <c r="L248" s="219"/>
      <c r="M248" s="146"/>
      <c r="N248" s="146"/>
      <c r="O248" s="69"/>
      <c r="P248" s="146"/>
      <c r="Q248" s="395"/>
      <c r="R248" s="396"/>
      <c r="S248" s="395"/>
      <c r="T248" s="395"/>
      <c r="U248" s="395"/>
      <c r="V248" s="395"/>
      <c r="W248" s="395"/>
      <c r="X248" s="395"/>
      <c r="Y248" s="395"/>
      <c r="Z248" s="395"/>
      <c r="AA248" s="395"/>
      <c r="AB248" s="395"/>
      <c r="AC248" s="395"/>
      <c r="AD248" s="395"/>
      <c r="AE248" s="395"/>
      <c r="AF248" s="397"/>
      <c r="AG248" s="398"/>
      <c r="AH248" s="395"/>
      <c r="AI248" s="395"/>
      <c r="AJ248" s="395"/>
      <c r="AK248" s="395"/>
    </row>
    <row r="249" spans="1:37" ht="30" customHeight="1" x14ac:dyDescent="0.2">
      <c r="A249" s="39"/>
      <c r="B249" s="39"/>
      <c r="C249" s="661"/>
      <c r="D249" s="655"/>
      <c r="E249" s="661"/>
      <c r="F249" s="661"/>
      <c r="G249" s="136">
        <v>9</v>
      </c>
      <c r="H249" s="168" t="s">
        <v>333</v>
      </c>
      <c r="I249" s="77"/>
      <c r="J249" s="77"/>
      <c r="K249" s="217"/>
      <c r="L249" s="217"/>
      <c r="M249" s="77"/>
      <c r="N249" s="169"/>
      <c r="O249" s="77"/>
      <c r="P249" s="77"/>
      <c r="Q249" s="263"/>
      <c r="R249" s="263"/>
      <c r="S249" s="263"/>
      <c r="T249" s="263"/>
      <c r="U249" s="263"/>
      <c r="V249" s="263"/>
      <c r="W249" s="263"/>
      <c r="X249" s="263"/>
      <c r="Y249" s="263"/>
      <c r="Z249" s="263"/>
      <c r="AA249" s="263"/>
      <c r="AB249" s="263"/>
      <c r="AC249" s="263"/>
      <c r="AD249" s="263"/>
      <c r="AE249" s="263"/>
      <c r="AF249" s="404"/>
      <c r="AG249" s="263"/>
      <c r="AH249" s="263"/>
      <c r="AI249" s="263"/>
      <c r="AJ249" s="263"/>
      <c r="AK249" s="265"/>
    </row>
    <row r="250" spans="1:37" x14ac:dyDescent="0.2">
      <c r="A250" s="39"/>
      <c r="B250" s="39"/>
      <c r="C250" s="662">
        <v>5</v>
      </c>
      <c r="D250" s="657" t="s">
        <v>319</v>
      </c>
      <c r="E250" s="662">
        <v>12.9</v>
      </c>
      <c r="F250" s="662">
        <v>8.9</v>
      </c>
      <c r="G250" s="774">
        <v>0</v>
      </c>
      <c r="H250" s="54">
        <v>43</v>
      </c>
      <c r="I250" s="679" t="s">
        <v>334</v>
      </c>
      <c r="J250" s="54" t="s">
        <v>37</v>
      </c>
      <c r="K250" s="165">
        <v>3</v>
      </c>
      <c r="L250" s="784">
        <v>2017003630089</v>
      </c>
      <c r="M250" s="774" t="s">
        <v>321</v>
      </c>
      <c r="N250" s="774" t="s">
        <v>335</v>
      </c>
      <c r="O250" s="777" t="s">
        <v>969</v>
      </c>
      <c r="P250" s="54" t="s">
        <v>61</v>
      </c>
      <c r="Q250" s="391">
        <v>0</v>
      </c>
      <c r="R250" s="391">
        <v>0</v>
      </c>
      <c r="S250" s="391">
        <v>0</v>
      </c>
      <c r="T250" s="391">
        <v>0</v>
      </c>
      <c r="U250" s="391">
        <v>0</v>
      </c>
      <c r="V250" s="391">
        <v>0</v>
      </c>
      <c r="W250" s="391">
        <v>0</v>
      </c>
      <c r="X250" s="391"/>
      <c r="Y250" s="391"/>
      <c r="Z250" s="391">
        <v>0</v>
      </c>
      <c r="AA250" s="391">
        <v>0</v>
      </c>
      <c r="AB250" s="391"/>
      <c r="AC250" s="391"/>
      <c r="AD250" s="391">
        <v>0</v>
      </c>
      <c r="AE250" s="391">
        <v>0</v>
      </c>
      <c r="AF250" s="392">
        <f>29000000</f>
        <v>29000000</v>
      </c>
      <c r="AG250" s="392"/>
      <c r="AH250" s="391">
        <v>0</v>
      </c>
      <c r="AI250" s="393"/>
      <c r="AJ250" s="393">
        <v>0</v>
      </c>
      <c r="AK250" s="627">
        <f>Q250+R250+S250+T250+U250+V250+W250+X250+Y250+Z250+AA250+AB250+AC250+AD250+AE250+AF250+AG250+AH250+AI250+AJ250</f>
        <v>29000000</v>
      </c>
    </row>
    <row r="251" spans="1:37" ht="78.75" customHeight="1" x14ac:dyDescent="0.2">
      <c r="A251" s="39"/>
      <c r="B251" s="39"/>
      <c r="C251" s="668">
        <v>6</v>
      </c>
      <c r="D251" s="656" t="s">
        <v>337</v>
      </c>
      <c r="E251" s="650" t="s">
        <v>325</v>
      </c>
      <c r="F251" s="650" t="s">
        <v>326</v>
      </c>
      <c r="G251" s="775"/>
      <c r="H251" s="54">
        <v>44</v>
      </c>
      <c r="I251" s="679" t="s">
        <v>338</v>
      </c>
      <c r="J251" s="54">
        <v>0</v>
      </c>
      <c r="K251" s="165">
        <v>1</v>
      </c>
      <c r="L251" s="785"/>
      <c r="M251" s="775"/>
      <c r="N251" s="775"/>
      <c r="O251" s="778"/>
      <c r="P251" s="54" t="s">
        <v>46</v>
      </c>
      <c r="Q251" s="391">
        <v>0</v>
      </c>
      <c r="R251" s="391">
        <v>0</v>
      </c>
      <c r="S251" s="391">
        <v>0</v>
      </c>
      <c r="T251" s="391">
        <v>0</v>
      </c>
      <c r="U251" s="391">
        <v>0</v>
      </c>
      <c r="V251" s="391">
        <v>0</v>
      </c>
      <c r="W251" s="391">
        <v>0</v>
      </c>
      <c r="X251" s="391"/>
      <c r="Y251" s="391"/>
      <c r="Z251" s="391">
        <v>0</v>
      </c>
      <c r="AA251" s="391">
        <v>0</v>
      </c>
      <c r="AB251" s="391"/>
      <c r="AC251" s="391"/>
      <c r="AD251" s="391">
        <v>0</v>
      </c>
      <c r="AE251" s="391">
        <v>0</v>
      </c>
      <c r="AF251" s="392">
        <f>31680000+31680000</f>
        <v>63360000</v>
      </c>
      <c r="AG251" s="392"/>
      <c r="AH251" s="391">
        <v>0</v>
      </c>
      <c r="AI251" s="393"/>
      <c r="AJ251" s="393">
        <v>0</v>
      </c>
      <c r="AK251" s="627">
        <f>Q251+R251+S251+T251+U251+V251+W251+X251+Y251+Z251+AA251+AB251+AC251+AD251+AE251+AF251+AG251+AH251+AI251+AJ251</f>
        <v>63360000</v>
      </c>
    </row>
    <row r="252" spans="1:37" ht="56.25" customHeight="1" x14ac:dyDescent="0.2">
      <c r="A252" s="39"/>
      <c r="B252" s="39"/>
      <c r="C252" s="774">
        <v>7</v>
      </c>
      <c r="D252" s="777" t="s">
        <v>339</v>
      </c>
      <c r="E252" s="774" t="s">
        <v>340</v>
      </c>
      <c r="F252" s="774">
        <v>27</v>
      </c>
      <c r="G252" s="775"/>
      <c r="H252" s="54">
        <v>45</v>
      </c>
      <c r="I252" s="679" t="s">
        <v>341</v>
      </c>
      <c r="J252" s="54" t="s">
        <v>37</v>
      </c>
      <c r="K252" s="165">
        <v>3</v>
      </c>
      <c r="L252" s="785"/>
      <c r="M252" s="775"/>
      <c r="N252" s="775"/>
      <c r="O252" s="778"/>
      <c r="P252" s="54" t="s">
        <v>61</v>
      </c>
      <c r="Q252" s="391"/>
      <c r="R252" s="391"/>
      <c r="S252" s="391"/>
      <c r="T252" s="391"/>
      <c r="U252" s="391"/>
      <c r="V252" s="391"/>
      <c r="W252" s="391"/>
      <c r="X252" s="391"/>
      <c r="Y252" s="391"/>
      <c r="Z252" s="391"/>
      <c r="AA252" s="391"/>
      <c r="AB252" s="391"/>
      <c r="AC252" s="391"/>
      <c r="AD252" s="391"/>
      <c r="AE252" s="391"/>
      <c r="AF252" s="392">
        <f>99320000+15840000</f>
        <v>115160000</v>
      </c>
      <c r="AG252" s="392"/>
      <c r="AH252" s="391"/>
      <c r="AI252" s="393"/>
      <c r="AJ252" s="393"/>
      <c r="AK252" s="627">
        <f>Q252+R252+S252+T252+U252+V252+W252+X252+Y252+Z252+AA252+AB252+AC252+AD252+AE252+AF252+AG252+AH252+AI252+AJ252</f>
        <v>115160000</v>
      </c>
    </row>
    <row r="253" spans="1:37" ht="71.25" customHeight="1" x14ac:dyDescent="0.2">
      <c r="A253" s="39"/>
      <c r="B253" s="39"/>
      <c r="C253" s="775"/>
      <c r="D253" s="778"/>
      <c r="E253" s="775"/>
      <c r="F253" s="775"/>
      <c r="G253" s="776"/>
      <c r="H253" s="54">
        <v>46</v>
      </c>
      <c r="I253" s="679" t="s">
        <v>342</v>
      </c>
      <c r="J253" s="54">
        <v>0</v>
      </c>
      <c r="K253" s="165">
        <v>1</v>
      </c>
      <c r="L253" s="786"/>
      <c r="M253" s="776"/>
      <c r="N253" s="776"/>
      <c r="O253" s="779"/>
      <c r="P253" s="54" t="s">
        <v>46</v>
      </c>
      <c r="Q253" s="391">
        <v>0</v>
      </c>
      <c r="R253" s="391">
        <v>0</v>
      </c>
      <c r="S253" s="391">
        <v>0</v>
      </c>
      <c r="T253" s="391">
        <v>0</v>
      </c>
      <c r="U253" s="391">
        <v>0</v>
      </c>
      <c r="V253" s="391">
        <v>0</v>
      </c>
      <c r="W253" s="391">
        <v>0</v>
      </c>
      <c r="X253" s="391"/>
      <c r="Y253" s="391"/>
      <c r="Z253" s="391">
        <v>0</v>
      </c>
      <c r="AA253" s="391">
        <v>0</v>
      </c>
      <c r="AB253" s="391"/>
      <c r="AC253" s="391"/>
      <c r="AD253" s="391">
        <v>0</v>
      </c>
      <c r="AE253" s="391">
        <v>0</v>
      </c>
      <c r="AF253" s="634">
        <f>100000000+50000000</f>
        <v>150000000</v>
      </c>
      <c r="AG253" s="392"/>
      <c r="AH253" s="391">
        <v>0</v>
      </c>
      <c r="AI253" s="393"/>
      <c r="AJ253" s="393">
        <v>0</v>
      </c>
      <c r="AK253" s="627">
        <f>Q253+R253+S253+T253+U253+V253+W253+X253+Y253+Z253+AA253+AB253+AC253+AD253+AE253+AF253+AG253+AH253+AI253+AJ253</f>
        <v>150000000</v>
      </c>
    </row>
    <row r="254" spans="1:37" ht="30" customHeight="1" x14ac:dyDescent="0.2">
      <c r="A254" s="39"/>
      <c r="B254" s="39"/>
      <c r="C254" s="662"/>
      <c r="D254" s="657"/>
      <c r="E254" s="662"/>
      <c r="F254" s="662"/>
      <c r="G254" s="55"/>
      <c r="H254" s="56"/>
      <c r="I254" s="55"/>
      <c r="J254" s="56"/>
      <c r="K254" s="218"/>
      <c r="L254" s="218"/>
      <c r="M254" s="56"/>
      <c r="N254" s="56"/>
      <c r="O254" s="55"/>
      <c r="P254" s="56"/>
      <c r="Q254" s="400">
        <f t="shared" ref="Q254:AJ254" si="61">SUM(Q250:Q253)</f>
        <v>0</v>
      </c>
      <c r="R254" s="400">
        <f t="shared" si="61"/>
        <v>0</v>
      </c>
      <c r="S254" s="400">
        <f t="shared" si="61"/>
        <v>0</v>
      </c>
      <c r="T254" s="400">
        <f t="shared" si="61"/>
        <v>0</v>
      </c>
      <c r="U254" s="400">
        <f t="shared" si="61"/>
        <v>0</v>
      </c>
      <c r="V254" s="400">
        <f t="shared" si="61"/>
        <v>0</v>
      </c>
      <c r="W254" s="400">
        <f t="shared" si="61"/>
        <v>0</v>
      </c>
      <c r="X254" s="400">
        <f t="shared" si="61"/>
        <v>0</v>
      </c>
      <c r="Y254" s="400">
        <f t="shared" si="61"/>
        <v>0</v>
      </c>
      <c r="Z254" s="400">
        <f t="shared" si="61"/>
        <v>0</v>
      </c>
      <c r="AA254" s="400">
        <f t="shared" si="61"/>
        <v>0</v>
      </c>
      <c r="AB254" s="400">
        <f t="shared" si="61"/>
        <v>0</v>
      </c>
      <c r="AC254" s="400">
        <f t="shared" si="61"/>
        <v>0</v>
      </c>
      <c r="AD254" s="400">
        <f t="shared" si="61"/>
        <v>0</v>
      </c>
      <c r="AE254" s="400">
        <f t="shared" si="61"/>
        <v>0</v>
      </c>
      <c r="AF254" s="400">
        <f t="shared" si="61"/>
        <v>357520000</v>
      </c>
      <c r="AG254" s="400">
        <f t="shared" si="61"/>
        <v>0</v>
      </c>
      <c r="AH254" s="400">
        <f t="shared" si="61"/>
        <v>0</v>
      </c>
      <c r="AI254" s="400">
        <f t="shared" si="61"/>
        <v>0</v>
      </c>
      <c r="AJ254" s="400">
        <f t="shared" si="61"/>
        <v>0</v>
      </c>
      <c r="AK254" s="628">
        <f>SUM(AK250:AK253)</f>
        <v>357520000</v>
      </c>
    </row>
    <row r="255" spans="1:37" s="700" customFormat="1" ht="30" customHeight="1" x14ac:dyDescent="0.2">
      <c r="A255" s="39"/>
      <c r="B255" s="39"/>
      <c r="C255" s="390"/>
      <c r="D255" s="99"/>
      <c r="E255" s="390"/>
      <c r="F255" s="390"/>
      <c r="G255" s="99"/>
      <c r="H255" s="390"/>
      <c r="I255" s="99"/>
      <c r="J255" s="390"/>
      <c r="K255" s="268"/>
      <c r="L255" s="268"/>
      <c r="M255" s="390"/>
      <c r="N255" s="390"/>
      <c r="O255" s="99"/>
      <c r="P255" s="390"/>
      <c r="Q255" s="584"/>
      <c r="R255" s="585"/>
      <c r="S255" s="584"/>
      <c r="T255" s="584"/>
      <c r="U255" s="584"/>
      <c r="V255" s="584"/>
      <c r="W255" s="584"/>
      <c r="X255" s="584"/>
      <c r="Y255" s="584"/>
      <c r="Z255" s="584"/>
      <c r="AA255" s="584"/>
      <c r="AB255" s="584"/>
      <c r="AC255" s="584"/>
      <c r="AD255" s="584"/>
      <c r="AE255" s="584"/>
      <c r="AF255" s="586" t="s">
        <v>63</v>
      </c>
      <c r="AG255" s="587"/>
      <c r="AH255" s="584"/>
      <c r="AI255" s="584"/>
      <c r="AJ255" s="584"/>
      <c r="AK255" s="724"/>
    </row>
    <row r="256" spans="1:37" s="700" customFormat="1" ht="30" customHeight="1" x14ac:dyDescent="0.2">
      <c r="A256" s="201"/>
      <c r="B256" s="696"/>
      <c r="C256" s="133"/>
      <c r="D256" s="69"/>
      <c r="E256" s="146"/>
      <c r="F256" s="146"/>
      <c r="G256" s="215">
        <v>10</v>
      </c>
      <c r="H256" s="77" t="s">
        <v>343</v>
      </c>
      <c r="I256" s="77"/>
      <c r="J256" s="77"/>
      <c r="K256" s="217"/>
      <c r="L256" s="217"/>
      <c r="M256" s="77"/>
      <c r="N256" s="169"/>
      <c r="O256" s="77"/>
      <c r="P256" s="77"/>
      <c r="Q256" s="263"/>
      <c r="R256" s="263"/>
      <c r="S256" s="263"/>
      <c r="T256" s="263"/>
      <c r="U256" s="263"/>
      <c r="V256" s="263"/>
      <c r="W256" s="263"/>
      <c r="X256" s="263"/>
      <c r="Y256" s="263"/>
      <c r="Z256" s="263"/>
      <c r="AA256" s="263"/>
      <c r="AB256" s="263"/>
      <c r="AC256" s="263"/>
      <c r="AD256" s="263"/>
      <c r="AE256" s="263"/>
      <c r="AF256" s="404"/>
      <c r="AG256" s="263"/>
      <c r="AH256" s="263"/>
      <c r="AI256" s="263"/>
      <c r="AJ256" s="263"/>
      <c r="AK256" s="263"/>
    </row>
    <row r="257" spans="1:37" ht="60" customHeight="1" x14ac:dyDescent="0.2">
      <c r="A257" s="39"/>
      <c r="B257" s="39"/>
      <c r="C257" s="662">
        <v>5</v>
      </c>
      <c r="D257" s="657" t="s">
        <v>344</v>
      </c>
      <c r="E257" s="662" t="s">
        <v>345</v>
      </c>
      <c r="F257" s="662" t="s">
        <v>346</v>
      </c>
      <c r="G257" s="46"/>
      <c r="H257" s="662">
        <v>47</v>
      </c>
      <c r="I257" s="657" t="s">
        <v>347</v>
      </c>
      <c r="J257" s="662">
        <v>0</v>
      </c>
      <c r="K257" s="578">
        <v>36</v>
      </c>
      <c r="L257" s="785">
        <v>2017003630046</v>
      </c>
      <c r="M257" s="778" t="s">
        <v>321</v>
      </c>
      <c r="N257" s="775" t="s">
        <v>348</v>
      </c>
      <c r="O257" s="778" t="s">
        <v>970</v>
      </c>
      <c r="P257" s="662" t="s">
        <v>61</v>
      </c>
      <c r="Q257" s="416"/>
      <c r="R257" s="416"/>
      <c r="S257" s="416"/>
      <c r="T257" s="416"/>
      <c r="U257" s="416"/>
      <c r="V257" s="416"/>
      <c r="W257" s="416"/>
      <c r="X257" s="416"/>
      <c r="Y257" s="416"/>
      <c r="Z257" s="416"/>
      <c r="AA257" s="416"/>
      <c r="AB257" s="416"/>
      <c r="AC257" s="416"/>
      <c r="AD257" s="416"/>
      <c r="AE257" s="416"/>
      <c r="AF257" s="441">
        <f>55000000+75840000</f>
        <v>130840000</v>
      </c>
      <c r="AG257" s="441"/>
      <c r="AH257" s="416"/>
      <c r="AI257" s="444"/>
      <c r="AJ257" s="444"/>
      <c r="AK257" s="416">
        <f>Q257+R257+S257+T257+U257+V257+W257+X257+Y257+Z257+AA257+AB257+AC257+AD257+AE257+AF257+AG257+AH257+AI257+AJ257</f>
        <v>130840000</v>
      </c>
    </row>
    <row r="258" spans="1:37" ht="57" customHeight="1" x14ac:dyDescent="0.2">
      <c r="A258" s="39"/>
      <c r="B258" s="39"/>
      <c r="C258" s="668">
        <v>6</v>
      </c>
      <c r="D258" s="46" t="s">
        <v>337</v>
      </c>
      <c r="E258" s="650" t="s">
        <v>325</v>
      </c>
      <c r="F258" s="650" t="s">
        <v>326</v>
      </c>
      <c r="G258" s="46"/>
      <c r="H258" s="54">
        <v>48</v>
      </c>
      <c r="I258" s="679" t="s">
        <v>350</v>
      </c>
      <c r="J258" s="54">
        <v>0</v>
      </c>
      <c r="K258" s="165">
        <v>1</v>
      </c>
      <c r="L258" s="785"/>
      <c r="M258" s="778"/>
      <c r="N258" s="775"/>
      <c r="O258" s="778"/>
      <c r="P258" s="54" t="s">
        <v>46</v>
      </c>
      <c r="Q258" s="391">
        <v>0</v>
      </c>
      <c r="R258" s="391">
        <v>0</v>
      </c>
      <c r="S258" s="391">
        <v>0</v>
      </c>
      <c r="T258" s="391">
        <v>0</v>
      </c>
      <c r="U258" s="391">
        <v>0</v>
      </c>
      <c r="V258" s="391">
        <v>0</v>
      </c>
      <c r="W258" s="391">
        <v>0</v>
      </c>
      <c r="X258" s="391"/>
      <c r="Y258" s="391"/>
      <c r="Z258" s="391">
        <v>0</v>
      </c>
      <c r="AA258" s="391">
        <v>0</v>
      </c>
      <c r="AB258" s="391"/>
      <c r="AC258" s="391"/>
      <c r="AD258" s="391">
        <v>0</v>
      </c>
      <c r="AE258" s="391">
        <v>0</v>
      </c>
      <c r="AF258" s="392">
        <v>200000000</v>
      </c>
      <c r="AG258" s="392"/>
      <c r="AH258" s="391">
        <v>0</v>
      </c>
      <c r="AI258" s="393"/>
      <c r="AJ258" s="393">
        <v>0</v>
      </c>
      <c r="AK258" s="391">
        <f>Q258+R258+S258+T258+U258+V258+W258+X258+Y258+Z258+AA258+AB258+AC258+AD258+AE258+AF258+AG258+AH258+AI258+AJ258</f>
        <v>200000000</v>
      </c>
    </row>
    <row r="259" spans="1:37" ht="81" customHeight="1" thickBot="1" x14ac:dyDescent="0.25">
      <c r="A259" s="39"/>
      <c r="B259" s="39"/>
      <c r="C259" s="661">
        <v>7</v>
      </c>
      <c r="D259" s="655" t="s">
        <v>339</v>
      </c>
      <c r="E259" s="525">
        <v>31.7</v>
      </c>
      <c r="F259" s="661" t="s">
        <v>351</v>
      </c>
      <c r="G259" s="90"/>
      <c r="H259" s="54">
        <v>49</v>
      </c>
      <c r="I259" s="679" t="s">
        <v>352</v>
      </c>
      <c r="J259" s="54">
        <v>0</v>
      </c>
      <c r="K259" s="165">
        <v>1</v>
      </c>
      <c r="L259" s="786"/>
      <c r="M259" s="779"/>
      <c r="N259" s="776"/>
      <c r="O259" s="802"/>
      <c r="P259" s="54" t="s">
        <v>46</v>
      </c>
      <c r="Q259" s="391">
        <v>0</v>
      </c>
      <c r="R259" s="391">
        <v>0</v>
      </c>
      <c r="S259" s="391">
        <v>0</v>
      </c>
      <c r="T259" s="391">
        <v>0</v>
      </c>
      <c r="U259" s="391">
        <v>0</v>
      </c>
      <c r="V259" s="391">
        <v>0</v>
      </c>
      <c r="W259" s="391">
        <v>0</v>
      </c>
      <c r="X259" s="391"/>
      <c r="Y259" s="391"/>
      <c r="Z259" s="391">
        <v>0</v>
      </c>
      <c r="AA259" s="391">
        <v>0</v>
      </c>
      <c r="AB259" s="391"/>
      <c r="AC259" s="391"/>
      <c r="AD259" s="391">
        <v>0</v>
      </c>
      <c r="AE259" s="391">
        <v>0</v>
      </c>
      <c r="AF259" s="392">
        <v>5000000</v>
      </c>
      <c r="AG259" s="392"/>
      <c r="AH259" s="391">
        <v>0</v>
      </c>
      <c r="AI259" s="393"/>
      <c r="AJ259" s="393">
        <v>0</v>
      </c>
      <c r="AK259" s="391">
        <f>Q259+R259+S259+T259+U259+V259+W259+X259+Y259+Z259+AA259+AB259+AC259+AD259+AE259+AF259+AG259+AH259+AI259+AJ259</f>
        <v>5000000</v>
      </c>
    </row>
    <row r="260" spans="1:37" ht="30" customHeight="1" thickTop="1" x14ac:dyDescent="0.2">
      <c r="A260" s="39"/>
      <c r="B260" s="52"/>
      <c r="C260" s="662"/>
      <c r="D260" s="657"/>
      <c r="E260" s="662"/>
      <c r="F260" s="662"/>
      <c r="G260" s="55"/>
      <c r="H260" s="56"/>
      <c r="I260" s="55"/>
      <c r="J260" s="56"/>
      <c r="K260" s="218"/>
      <c r="L260" s="218"/>
      <c r="M260" s="56"/>
      <c r="N260" s="56"/>
      <c r="O260" s="55"/>
      <c r="P260" s="56"/>
      <c r="Q260" s="400">
        <f t="shared" ref="Q260:AJ260" si="62">SUM(Q257:Q259)</f>
        <v>0</v>
      </c>
      <c r="R260" s="400">
        <f t="shared" si="62"/>
        <v>0</v>
      </c>
      <c r="S260" s="400">
        <f t="shared" si="62"/>
        <v>0</v>
      </c>
      <c r="T260" s="400">
        <f t="shared" si="62"/>
        <v>0</v>
      </c>
      <c r="U260" s="400">
        <f t="shared" si="62"/>
        <v>0</v>
      </c>
      <c r="V260" s="400">
        <f t="shared" si="62"/>
        <v>0</v>
      </c>
      <c r="W260" s="400">
        <f t="shared" si="62"/>
        <v>0</v>
      </c>
      <c r="X260" s="400">
        <f t="shared" si="62"/>
        <v>0</v>
      </c>
      <c r="Y260" s="400">
        <f t="shared" si="62"/>
        <v>0</v>
      </c>
      <c r="Z260" s="400">
        <f t="shared" si="62"/>
        <v>0</v>
      </c>
      <c r="AA260" s="400">
        <f t="shared" si="62"/>
        <v>0</v>
      </c>
      <c r="AB260" s="400">
        <f t="shared" si="62"/>
        <v>0</v>
      </c>
      <c r="AC260" s="400">
        <f t="shared" si="62"/>
        <v>0</v>
      </c>
      <c r="AD260" s="400">
        <f t="shared" si="62"/>
        <v>0</v>
      </c>
      <c r="AE260" s="400">
        <f t="shared" si="62"/>
        <v>0</v>
      </c>
      <c r="AF260" s="400">
        <f t="shared" si="62"/>
        <v>335840000</v>
      </c>
      <c r="AG260" s="400">
        <f t="shared" si="62"/>
        <v>0</v>
      </c>
      <c r="AH260" s="400">
        <f t="shared" si="62"/>
        <v>0</v>
      </c>
      <c r="AI260" s="400">
        <f t="shared" si="62"/>
        <v>0</v>
      </c>
      <c r="AJ260" s="400">
        <f t="shared" si="62"/>
        <v>0</v>
      </c>
      <c r="AK260" s="400">
        <f>SUM(AK257:AK259)</f>
        <v>335840000</v>
      </c>
    </row>
    <row r="261" spans="1:37" ht="30" customHeight="1" x14ac:dyDescent="0.2">
      <c r="A261" s="39"/>
      <c r="B261" s="93"/>
      <c r="C261" s="60"/>
      <c r="D261" s="59"/>
      <c r="E261" s="60"/>
      <c r="F261" s="60"/>
      <c r="G261" s="59"/>
      <c r="H261" s="60"/>
      <c r="I261" s="59"/>
      <c r="J261" s="60"/>
      <c r="K261" s="220"/>
      <c r="L261" s="220"/>
      <c r="M261" s="60"/>
      <c r="N261" s="60"/>
      <c r="O261" s="59"/>
      <c r="P261" s="60"/>
      <c r="Q261" s="406">
        <f t="shared" ref="Q261:AJ261" si="63">Q260+Q254+Q247</f>
        <v>0</v>
      </c>
      <c r="R261" s="406">
        <f t="shared" si="63"/>
        <v>0</v>
      </c>
      <c r="S261" s="406">
        <f t="shared" si="63"/>
        <v>0</v>
      </c>
      <c r="T261" s="406">
        <f t="shared" si="63"/>
        <v>0</v>
      </c>
      <c r="U261" s="406">
        <f t="shared" si="63"/>
        <v>0</v>
      </c>
      <c r="V261" s="406">
        <f t="shared" si="63"/>
        <v>0</v>
      </c>
      <c r="W261" s="406">
        <f t="shared" si="63"/>
        <v>0</v>
      </c>
      <c r="X261" s="406">
        <f t="shared" si="63"/>
        <v>0</v>
      </c>
      <c r="Y261" s="406">
        <f t="shared" si="63"/>
        <v>0</v>
      </c>
      <c r="Z261" s="406">
        <f t="shared" si="63"/>
        <v>0</v>
      </c>
      <c r="AA261" s="406">
        <f t="shared" si="63"/>
        <v>0</v>
      </c>
      <c r="AB261" s="406">
        <f t="shared" si="63"/>
        <v>0</v>
      </c>
      <c r="AC261" s="406">
        <f t="shared" si="63"/>
        <v>0</v>
      </c>
      <c r="AD261" s="406">
        <f t="shared" si="63"/>
        <v>0</v>
      </c>
      <c r="AE261" s="406">
        <f t="shared" si="63"/>
        <v>0</v>
      </c>
      <c r="AF261" s="406">
        <f t="shared" si="63"/>
        <v>986360000</v>
      </c>
      <c r="AG261" s="406">
        <f t="shared" si="63"/>
        <v>0</v>
      </c>
      <c r="AH261" s="406">
        <f t="shared" si="63"/>
        <v>0</v>
      </c>
      <c r="AI261" s="406">
        <f t="shared" si="63"/>
        <v>0</v>
      </c>
      <c r="AJ261" s="406">
        <f t="shared" si="63"/>
        <v>0</v>
      </c>
      <c r="AK261" s="406">
        <f>AK260+AK254+AK247</f>
        <v>986360000</v>
      </c>
    </row>
    <row r="262" spans="1:37" ht="30" customHeight="1" x14ac:dyDescent="0.2">
      <c r="A262" s="39"/>
      <c r="B262" s="79"/>
      <c r="C262" s="133"/>
      <c r="D262" s="69"/>
      <c r="E262" s="146"/>
      <c r="F262" s="677"/>
      <c r="G262" s="679"/>
      <c r="H262" s="54"/>
      <c r="I262" s="679"/>
      <c r="J262" s="54"/>
      <c r="K262" s="216"/>
      <c r="L262" s="216"/>
      <c r="M262" s="54"/>
      <c r="N262" s="54"/>
      <c r="O262" s="679"/>
      <c r="P262" s="54"/>
      <c r="Q262" s="391"/>
      <c r="R262" s="391"/>
      <c r="S262" s="391"/>
      <c r="T262" s="391"/>
      <c r="U262" s="391"/>
      <c r="V262" s="391"/>
      <c r="W262" s="391"/>
      <c r="X262" s="391"/>
      <c r="Y262" s="391"/>
      <c r="Z262" s="391"/>
      <c r="AA262" s="391"/>
      <c r="AB262" s="391"/>
      <c r="AC262" s="391"/>
      <c r="AD262" s="391"/>
      <c r="AE262" s="391"/>
      <c r="AF262" s="392"/>
      <c r="AG262" s="391"/>
      <c r="AH262" s="391"/>
      <c r="AI262" s="393"/>
      <c r="AJ262" s="393"/>
      <c r="AK262" s="393"/>
    </row>
    <row r="263" spans="1:37" ht="30" customHeight="1" x14ac:dyDescent="0.2">
      <c r="A263" s="39"/>
      <c r="B263" s="121">
        <v>3</v>
      </c>
      <c r="C263" s="35" t="s">
        <v>353</v>
      </c>
      <c r="D263" s="36"/>
      <c r="E263" s="36"/>
      <c r="F263" s="36"/>
      <c r="G263" s="36"/>
      <c r="H263" s="37"/>
      <c r="I263" s="36"/>
      <c r="J263" s="36"/>
      <c r="K263" s="221"/>
      <c r="L263" s="221"/>
      <c r="M263" s="36"/>
      <c r="N263" s="37"/>
      <c r="O263" s="36"/>
      <c r="P263" s="36"/>
      <c r="Q263" s="402"/>
      <c r="R263" s="402"/>
      <c r="S263" s="402"/>
      <c r="T263" s="402"/>
      <c r="U263" s="402"/>
      <c r="V263" s="402"/>
      <c r="W263" s="402"/>
      <c r="X263" s="402"/>
      <c r="Y263" s="402"/>
      <c r="Z263" s="402"/>
      <c r="AA263" s="402"/>
      <c r="AB263" s="402"/>
      <c r="AC263" s="402"/>
      <c r="AD263" s="402"/>
      <c r="AE263" s="402"/>
      <c r="AF263" s="403"/>
      <c r="AG263" s="402"/>
      <c r="AH263" s="402"/>
      <c r="AI263" s="402"/>
      <c r="AJ263" s="402"/>
      <c r="AK263" s="407"/>
    </row>
    <row r="264" spans="1:37" ht="30" customHeight="1" x14ac:dyDescent="0.2">
      <c r="A264" s="39"/>
      <c r="B264" s="40" t="s">
        <v>63</v>
      </c>
      <c r="C264" s="26"/>
      <c r="D264" s="520"/>
      <c r="E264" s="520"/>
      <c r="F264" s="520"/>
      <c r="G264" s="199">
        <v>11</v>
      </c>
      <c r="H264" s="103" t="s">
        <v>354</v>
      </c>
      <c r="I264" s="103"/>
      <c r="J264" s="103"/>
      <c r="K264" s="222"/>
      <c r="L264" s="222"/>
      <c r="M264" s="103"/>
      <c r="N264" s="381"/>
      <c r="O264" s="103"/>
      <c r="P264" s="103"/>
      <c r="Q264" s="408"/>
      <c r="R264" s="408"/>
      <c r="S264" s="408"/>
      <c r="T264" s="408"/>
      <c r="U264" s="408"/>
      <c r="V264" s="408"/>
      <c r="W264" s="408"/>
      <c r="X264" s="408"/>
      <c r="Y264" s="408"/>
      <c r="Z264" s="408"/>
      <c r="AA264" s="408"/>
      <c r="AB264" s="408"/>
      <c r="AC264" s="408"/>
      <c r="AD264" s="408"/>
      <c r="AE264" s="408"/>
      <c r="AF264" s="409"/>
      <c r="AG264" s="408"/>
      <c r="AH264" s="408"/>
      <c r="AI264" s="408"/>
      <c r="AJ264" s="408"/>
      <c r="AK264" s="410"/>
    </row>
    <row r="265" spans="1:37" ht="80.25" customHeight="1" x14ac:dyDescent="0.2">
      <c r="A265" s="39"/>
      <c r="B265" s="46"/>
      <c r="C265" s="775" t="s">
        <v>355</v>
      </c>
      <c r="D265" s="778" t="s">
        <v>356</v>
      </c>
      <c r="E265" s="775" t="s">
        <v>357</v>
      </c>
      <c r="F265" s="775" t="s">
        <v>358</v>
      </c>
      <c r="G265" s="662"/>
      <c r="H265" s="54">
        <v>50</v>
      </c>
      <c r="I265" s="679" t="s">
        <v>359</v>
      </c>
      <c r="J265" s="54" t="s">
        <v>37</v>
      </c>
      <c r="K265" s="166">
        <v>5</v>
      </c>
      <c r="L265" s="784">
        <v>2017003630047</v>
      </c>
      <c r="M265" s="774" t="s">
        <v>321</v>
      </c>
      <c r="N265" s="774" t="s">
        <v>360</v>
      </c>
      <c r="O265" s="777" t="s">
        <v>361</v>
      </c>
      <c r="P265" s="54" t="s">
        <v>61</v>
      </c>
      <c r="Q265" s="391">
        <v>0</v>
      </c>
      <c r="R265" s="391">
        <v>0</v>
      </c>
      <c r="S265" s="391">
        <v>0</v>
      </c>
      <c r="T265" s="391">
        <v>0</v>
      </c>
      <c r="U265" s="391">
        <v>0</v>
      </c>
      <c r="V265" s="391">
        <v>0</v>
      </c>
      <c r="W265" s="391">
        <v>0</v>
      </c>
      <c r="X265" s="391"/>
      <c r="Y265" s="391"/>
      <c r="Z265" s="391">
        <v>0</v>
      </c>
      <c r="AA265" s="391">
        <v>0</v>
      </c>
      <c r="AB265" s="391"/>
      <c r="AC265" s="391"/>
      <c r="AD265" s="391">
        <v>0</v>
      </c>
      <c r="AE265" s="391">
        <v>0</v>
      </c>
      <c r="AF265" s="392">
        <v>120000000</v>
      </c>
      <c r="AG265" s="392"/>
      <c r="AH265" s="391">
        <v>0</v>
      </c>
      <c r="AI265" s="393"/>
      <c r="AJ265" s="393"/>
      <c r="AK265" s="391">
        <f>Q265+R265+S265+T265+U265+V265+W265+X265+Y265+Z265+AA265+AB265+AC265+AD265+AE265+AF265+AG265+AH265+AI265+AJ265</f>
        <v>120000000</v>
      </c>
    </row>
    <row r="266" spans="1:37" ht="52.5" customHeight="1" x14ac:dyDescent="0.2">
      <c r="A266" s="39"/>
      <c r="B266" s="46"/>
      <c r="C266" s="775"/>
      <c r="D266" s="778"/>
      <c r="E266" s="775"/>
      <c r="F266" s="775"/>
      <c r="G266" s="662"/>
      <c r="H266" s="677">
        <v>51</v>
      </c>
      <c r="I266" s="679" t="s">
        <v>362</v>
      </c>
      <c r="J266" s="54">
        <v>0</v>
      </c>
      <c r="K266" s="165">
        <v>1</v>
      </c>
      <c r="L266" s="786"/>
      <c r="M266" s="776"/>
      <c r="N266" s="776"/>
      <c r="O266" s="779"/>
      <c r="P266" s="54" t="s">
        <v>46</v>
      </c>
      <c r="Q266" s="391"/>
      <c r="R266" s="391"/>
      <c r="S266" s="391"/>
      <c r="T266" s="391"/>
      <c r="U266" s="391"/>
      <c r="V266" s="391"/>
      <c r="W266" s="391"/>
      <c r="X266" s="391"/>
      <c r="Y266" s="391"/>
      <c r="Z266" s="391"/>
      <c r="AA266" s="391"/>
      <c r="AB266" s="391"/>
      <c r="AC266" s="391"/>
      <c r="AD266" s="391"/>
      <c r="AE266" s="391"/>
      <c r="AF266" s="392">
        <v>30000000</v>
      </c>
      <c r="AG266" s="392"/>
      <c r="AH266" s="391"/>
      <c r="AI266" s="393"/>
      <c r="AJ266" s="393"/>
      <c r="AK266" s="391">
        <f>Q266+R266+S266+T266+U266+V266+W266+X266+Y266+Z266+AA266+AB266+AC266+AD266+AE266+AF266+AG266+AH266+AI266+AJ266</f>
        <v>30000000</v>
      </c>
    </row>
    <row r="267" spans="1:37" ht="33" customHeight="1" x14ac:dyDescent="0.2">
      <c r="A267" s="39"/>
      <c r="B267" s="46"/>
      <c r="C267" s="662"/>
      <c r="D267" s="657"/>
      <c r="E267" s="662"/>
      <c r="F267" s="662"/>
      <c r="G267" s="55"/>
      <c r="H267" s="56"/>
      <c r="I267" s="55"/>
      <c r="J267" s="56"/>
      <c r="K267" s="187"/>
      <c r="L267" s="187"/>
      <c r="M267" s="56"/>
      <c r="N267" s="56"/>
      <c r="O267" s="55"/>
      <c r="P267" s="56"/>
      <c r="Q267" s="400">
        <f t="shared" ref="Q267:AJ267" si="64">SUM(Q265:Q266)</f>
        <v>0</v>
      </c>
      <c r="R267" s="400">
        <f t="shared" si="64"/>
        <v>0</v>
      </c>
      <c r="S267" s="400">
        <f t="shared" si="64"/>
        <v>0</v>
      </c>
      <c r="T267" s="400">
        <f t="shared" si="64"/>
        <v>0</v>
      </c>
      <c r="U267" s="400">
        <f t="shared" si="64"/>
        <v>0</v>
      </c>
      <c r="V267" s="400">
        <f t="shared" si="64"/>
        <v>0</v>
      </c>
      <c r="W267" s="400">
        <f t="shared" si="64"/>
        <v>0</v>
      </c>
      <c r="X267" s="400">
        <f t="shared" si="64"/>
        <v>0</v>
      </c>
      <c r="Y267" s="400">
        <f t="shared" si="64"/>
        <v>0</v>
      </c>
      <c r="Z267" s="400">
        <f t="shared" si="64"/>
        <v>0</v>
      </c>
      <c r="AA267" s="400">
        <f t="shared" si="64"/>
        <v>0</v>
      </c>
      <c r="AB267" s="400">
        <f t="shared" si="64"/>
        <v>0</v>
      </c>
      <c r="AC267" s="400">
        <f t="shared" si="64"/>
        <v>0</v>
      </c>
      <c r="AD267" s="400">
        <f t="shared" si="64"/>
        <v>0</v>
      </c>
      <c r="AE267" s="400">
        <f t="shared" si="64"/>
        <v>0</v>
      </c>
      <c r="AF267" s="400">
        <f t="shared" si="64"/>
        <v>150000000</v>
      </c>
      <c r="AG267" s="400">
        <f t="shared" si="64"/>
        <v>0</v>
      </c>
      <c r="AH267" s="400">
        <f t="shared" si="64"/>
        <v>0</v>
      </c>
      <c r="AI267" s="400">
        <f t="shared" si="64"/>
        <v>0</v>
      </c>
      <c r="AJ267" s="400">
        <f t="shared" si="64"/>
        <v>0</v>
      </c>
      <c r="AK267" s="400">
        <f>SUM(AK265:AK266)</f>
        <v>150000000</v>
      </c>
    </row>
    <row r="268" spans="1:37" ht="30" customHeight="1" x14ac:dyDescent="0.2">
      <c r="A268" s="39"/>
      <c r="B268" s="46"/>
      <c r="C268" s="146"/>
      <c r="D268" s="69"/>
      <c r="E268" s="146"/>
      <c r="F268" s="146"/>
      <c r="G268" s="69"/>
      <c r="H268" s="146"/>
      <c r="I268" s="69"/>
      <c r="J268" s="146"/>
      <c r="K268" s="191"/>
      <c r="L268" s="191"/>
      <c r="M268" s="146"/>
      <c r="N268" s="146"/>
      <c r="O268" s="69"/>
      <c r="P268" s="146"/>
      <c r="Q268" s="395"/>
      <c r="R268" s="396"/>
      <c r="S268" s="395"/>
      <c r="T268" s="395"/>
      <c r="U268" s="395"/>
      <c r="V268" s="395"/>
      <c r="W268" s="395"/>
      <c r="X268" s="395"/>
      <c r="Y268" s="395"/>
      <c r="Z268" s="395"/>
      <c r="AA268" s="395"/>
      <c r="AB268" s="395"/>
      <c r="AC268" s="395"/>
      <c r="AD268" s="395"/>
      <c r="AE268" s="395"/>
      <c r="AF268" s="744" t="s">
        <v>63</v>
      </c>
      <c r="AG268" s="745"/>
      <c r="AH268" s="395"/>
      <c r="AI268" s="395"/>
      <c r="AJ268" s="395"/>
      <c r="AK268" s="399"/>
    </row>
    <row r="269" spans="1:37" ht="30" customHeight="1" x14ac:dyDescent="0.2">
      <c r="A269" s="39"/>
      <c r="B269" s="46"/>
      <c r="C269" s="661"/>
      <c r="D269" s="655"/>
      <c r="E269" s="661"/>
      <c r="F269" s="661"/>
      <c r="G269" s="136">
        <v>12</v>
      </c>
      <c r="H269" s="168" t="s">
        <v>363</v>
      </c>
      <c r="I269" s="77"/>
      <c r="J269" s="77"/>
      <c r="K269" s="149"/>
      <c r="L269" s="149"/>
      <c r="M269" s="77"/>
      <c r="N269" s="169"/>
      <c r="O269" s="77"/>
      <c r="P269" s="77"/>
      <c r="Q269" s="263"/>
      <c r="R269" s="263"/>
      <c r="S269" s="263"/>
      <c r="T269" s="263"/>
      <c r="U269" s="263"/>
      <c r="V269" s="263"/>
      <c r="W269" s="725"/>
      <c r="X269" s="725"/>
      <c r="Y269" s="725"/>
      <c r="Z269" s="725"/>
      <c r="AA269" s="725"/>
      <c r="AB269" s="725"/>
      <c r="AC269" s="725"/>
      <c r="AD269" s="725"/>
      <c r="AE269" s="725"/>
      <c r="AF269" s="404"/>
      <c r="AG269" s="725"/>
      <c r="AH269" s="725"/>
      <c r="AI269" s="725"/>
      <c r="AJ269" s="725"/>
      <c r="AK269" s="446"/>
    </row>
    <row r="270" spans="1:37" ht="116.25" customHeight="1" x14ac:dyDescent="0.2">
      <c r="A270" s="39"/>
      <c r="B270" s="46"/>
      <c r="C270" s="650" t="s">
        <v>355</v>
      </c>
      <c r="D270" s="656" t="s">
        <v>1051</v>
      </c>
      <c r="E270" s="650" t="s">
        <v>357</v>
      </c>
      <c r="F270" s="650" t="s">
        <v>358</v>
      </c>
      <c r="G270" s="661"/>
      <c r="H270" s="54">
        <v>52</v>
      </c>
      <c r="I270" s="679" t="s">
        <v>364</v>
      </c>
      <c r="J270" s="54">
        <v>0</v>
      </c>
      <c r="K270" s="165">
        <v>3</v>
      </c>
      <c r="L270" s="43">
        <v>2017003630048</v>
      </c>
      <c r="M270" s="679" t="s">
        <v>321</v>
      </c>
      <c r="N270" s="54" t="s">
        <v>365</v>
      </c>
      <c r="O270" s="679" t="s">
        <v>971</v>
      </c>
      <c r="P270" s="54" t="s">
        <v>46</v>
      </c>
      <c r="Q270" s="391">
        <v>0</v>
      </c>
      <c r="R270" s="391">
        <v>0</v>
      </c>
      <c r="S270" s="391">
        <v>0</v>
      </c>
      <c r="T270" s="391">
        <v>0</v>
      </c>
      <c r="U270" s="391">
        <v>0</v>
      </c>
      <c r="V270" s="391">
        <v>0</v>
      </c>
      <c r="W270" s="391">
        <v>0</v>
      </c>
      <c r="X270" s="391"/>
      <c r="Y270" s="391"/>
      <c r="Z270" s="391">
        <v>0</v>
      </c>
      <c r="AA270" s="391">
        <v>0</v>
      </c>
      <c r="AB270" s="391"/>
      <c r="AC270" s="391"/>
      <c r="AD270" s="391">
        <v>0</v>
      </c>
      <c r="AE270" s="391">
        <v>0</v>
      </c>
      <c r="AF270" s="392">
        <f>120000000+136640000</f>
        <v>256640000</v>
      </c>
      <c r="AG270" s="392"/>
      <c r="AH270" s="391"/>
      <c r="AI270" s="393"/>
      <c r="AJ270" s="393">
        <v>0</v>
      </c>
      <c r="AK270" s="391">
        <f>Q270+R270+S270+T270+U270+V270+W270+X270+Y270+Z270+AA270+AB270+AC270+AD270+AE270+AF270+AG270+AH270+AI270+AJ270</f>
        <v>256640000</v>
      </c>
    </row>
    <row r="271" spans="1:37" s="8" customFormat="1" ht="30" customHeight="1" x14ac:dyDescent="0.25">
      <c r="A271" s="39"/>
      <c r="B271" s="46"/>
      <c r="C271" s="662"/>
      <c r="D271" s="657"/>
      <c r="E271" s="662"/>
      <c r="F271" s="662"/>
      <c r="G271" s="55"/>
      <c r="H271" s="56"/>
      <c r="I271" s="55"/>
      <c r="J271" s="56"/>
      <c r="K271" s="218"/>
      <c r="L271" s="218"/>
      <c r="M271" s="56"/>
      <c r="N271" s="56"/>
      <c r="O271" s="55"/>
      <c r="P271" s="56"/>
      <c r="Q271" s="400">
        <f t="shared" ref="Q271:AK271" si="65">SUM(Q270:Q270)</f>
        <v>0</v>
      </c>
      <c r="R271" s="400">
        <f t="shared" si="65"/>
        <v>0</v>
      </c>
      <c r="S271" s="400">
        <f t="shared" si="65"/>
        <v>0</v>
      </c>
      <c r="T271" s="400">
        <f t="shared" si="65"/>
        <v>0</v>
      </c>
      <c r="U271" s="400">
        <f t="shared" si="65"/>
        <v>0</v>
      </c>
      <c r="V271" s="400">
        <f t="shared" si="65"/>
        <v>0</v>
      </c>
      <c r="W271" s="400">
        <f t="shared" si="65"/>
        <v>0</v>
      </c>
      <c r="X271" s="400">
        <f t="shared" si="65"/>
        <v>0</v>
      </c>
      <c r="Y271" s="400">
        <f t="shared" si="65"/>
        <v>0</v>
      </c>
      <c r="Z271" s="400">
        <f t="shared" si="65"/>
        <v>0</v>
      </c>
      <c r="AA271" s="400">
        <f t="shared" si="65"/>
        <v>0</v>
      </c>
      <c r="AB271" s="400">
        <f t="shared" si="65"/>
        <v>0</v>
      </c>
      <c r="AC271" s="400">
        <f t="shared" si="65"/>
        <v>0</v>
      </c>
      <c r="AD271" s="400">
        <f t="shared" si="65"/>
        <v>0</v>
      </c>
      <c r="AE271" s="400">
        <f t="shared" si="65"/>
        <v>0</v>
      </c>
      <c r="AF271" s="400">
        <f t="shared" si="65"/>
        <v>256640000</v>
      </c>
      <c r="AG271" s="400">
        <f t="shared" si="65"/>
        <v>0</v>
      </c>
      <c r="AH271" s="400">
        <f t="shared" si="65"/>
        <v>0</v>
      </c>
      <c r="AI271" s="400">
        <f t="shared" si="65"/>
        <v>0</v>
      </c>
      <c r="AJ271" s="400">
        <f t="shared" si="65"/>
        <v>0</v>
      </c>
      <c r="AK271" s="400">
        <f t="shared" si="65"/>
        <v>256640000</v>
      </c>
    </row>
    <row r="272" spans="1:37" s="8" customFormat="1" ht="30" customHeight="1" x14ac:dyDescent="0.25">
      <c r="A272" s="39"/>
      <c r="B272" s="46"/>
      <c r="C272" s="146"/>
      <c r="D272" s="69"/>
      <c r="E272" s="146"/>
      <c r="F272" s="146"/>
      <c r="G272" s="69"/>
      <c r="H272" s="146"/>
      <c r="I272" s="69"/>
      <c r="J272" s="146"/>
      <c r="K272" s="219"/>
      <c r="L272" s="219"/>
      <c r="M272" s="146"/>
      <c r="N272" s="146"/>
      <c r="O272" s="69"/>
      <c r="P272" s="146"/>
      <c r="Q272" s="395"/>
      <c r="R272" s="396"/>
      <c r="S272" s="395"/>
      <c r="T272" s="395"/>
      <c r="U272" s="395"/>
      <c r="V272" s="395"/>
      <c r="W272" s="395"/>
      <c r="X272" s="395"/>
      <c r="Y272" s="395"/>
      <c r="Z272" s="395"/>
      <c r="AA272" s="395"/>
      <c r="AB272" s="395"/>
      <c r="AC272" s="395"/>
      <c r="AD272" s="395"/>
      <c r="AE272" s="395"/>
      <c r="AF272" s="397"/>
      <c r="AG272" s="398"/>
      <c r="AH272" s="395"/>
      <c r="AI272" s="395"/>
      <c r="AJ272" s="395"/>
      <c r="AK272" s="399"/>
    </row>
    <row r="273" spans="1:37" s="8" customFormat="1" ht="30" customHeight="1" x14ac:dyDescent="0.25">
      <c r="A273" s="39"/>
      <c r="B273" s="46"/>
      <c r="C273" s="661"/>
      <c r="D273" s="655"/>
      <c r="E273" s="661"/>
      <c r="F273" s="661"/>
      <c r="G273" s="75">
        <v>13</v>
      </c>
      <c r="H273" s="169" t="s">
        <v>367</v>
      </c>
      <c r="I273" s="77"/>
      <c r="J273" s="77"/>
      <c r="K273" s="217"/>
      <c r="L273" s="217"/>
      <c r="M273" s="77"/>
      <c r="N273" s="169"/>
      <c r="O273" s="77"/>
      <c r="P273" s="77"/>
      <c r="Q273" s="263"/>
      <c r="R273" s="263"/>
      <c r="S273" s="263"/>
      <c r="T273" s="263"/>
      <c r="U273" s="263"/>
      <c r="V273" s="263"/>
      <c r="W273" s="263"/>
      <c r="X273" s="263"/>
      <c r="Y273" s="263"/>
      <c r="Z273" s="263"/>
      <c r="AA273" s="263"/>
      <c r="AB273" s="263"/>
      <c r="AC273" s="263"/>
      <c r="AD273" s="263"/>
      <c r="AE273" s="263"/>
      <c r="AF273" s="404"/>
      <c r="AG273" s="263"/>
      <c r="AH273" s="263"/>
      <c r="AI273" s="263"/>
      <c r="AJ273" s="263"/>
      <c r="AK273" s="265"/>
    </row>
    <row r="274" spans="1:37" s="369" customFormat="1" ht="80.25" customHeight="1" x14ac:dyDescent="0.25">
      <c r="A274" s="39"/>
      <c r="B274" s="46"/>
      <c r="C274" s="650" t="s">
        <v>355</v>
      </c>
      <c r="D274" s="656" t="s">
        <v>356</v>
      </c>
      <c r="E274" s="650" t="s">
        <v>357</v>
      </c>
      <c r="F274" s="650" t="s">
        <v>358</v>
      </c>
      <c r="G274" s="40"/>
      <c r="H274" s="54">
        <v>53</v>
      </c>
      <c r="I274" s="679" t="s">
        <v>368</v>
      </c>
      <c r="J274" s="54">
        <v>0</v>
      </c>
      <c r="K274" s="165">
        <v>1</v>
      </c>
      <c r="L274" s="43">
        <v>2017003630049</v>
      </c>
      <c r="M274" s="679" t="s">
        <v>321</v>
      </c>
      <c r="N274" s="54" t="s">
        <v>369</v>
      </c>
      <c r="O274" s="679" t="s">
        <v>972</v>
      </c>
      <c r="P274" s="54" t="s">
        <v>46</v>
      </c>
      <c r="Q274" s="391">
        <v>0</v>
      </c>
      <c r="R274" s="391">
        <v>0</v>
      </c>
      <c r="S274" s="391">
        <v>0</v>
      </c>
      <c r="T274" s="391">
        <v>0</v>
      </c>
      <c r="U274" s="391">
        <v>0</v>
      </c>
      <c r="V274" s="391">
        <v>0</v>
      </c>
      <c r="W274" s="391">
        <v>0</v>
      </c>
      <c r="X274" s="391"/>
      <c r="Y274" s="391"/>
      <c r="Z274" s="391">
        <v>0</v>
      </c>
      <c r="AA274" s="391">
        <v>0</v>
      </c>
      <c r="AB274" s="391"/>
      <c r="AC274" s="391"/>
      <c r="AD274" s="391">
        <v>0</v>
      </c>
      <c r="AE274" s="391">
        <v>0</v>
      </c>
      <c r="AF274" s="683">
        <f>250000000+165000000+28618786</f>
        <v>443618786</v>
      </c>
      <c r="AG274" s="405"/>
      <c r="AH274" s="392">
        <f>512000000+33094912</f>
        <v>545094912</v>
      </c>
      <c r="AI274" s="394"/>
      <c r="AJ274" s="394"/>
      <c r="AK274" s="391">
        <f>Q274+R274+S274+T274+U274+V274+W274+X274+Y274+Z274+AA274+AB274+AC274+AD274+AE274+AF274+AG274+AH274+AI274+AJ274</f>
        <v>988713698</v>
      </c>
    </row>
    <row r="275" spans="1:37" ht="30" customHeight="1" x14ac:dyDescent="0.2">
      <c r="A275" s="39"/>
      <c r="B275" s="90"/>
      <c r="C275" s="662"/>
      <c r="D275" s="657"/>
      <c r="E275" s="662"/>
      <c r="F275" s="662"/>
      <c r="G275" s="55"/>
      <c r="H275" s="56"/>
      <c r="I275" s="55"/>
      <c r="J275" s="56"/>
      <c r="K275" s="218"/>
      <c r="L275" s="218"/>
      <c r="M275" s="56"/>
      <c r="N275" s="56"/>
      <c r="O275" s="55"/>
      <c r="P275" s="56"/>
      <c r="Q275" s="400">
        <f t="shared" ref="Q275:AK275" si="66">SUM(Q274:Q274)</f>
        <v>0</v>
      </c>
      <c r="R275" s="400">
        <f t="shared" si="66"/>
        <v>0</v>
      </c>
      <c r="S275" s="400">
        <f t="shared" si="66"/>
        <v>0</v>
      </c>
      <c r="T275" s="400">
        <f t="shared" si="66"/>
        <v>0</v>
      </c>
      <c r="U275" s="400">
        <f t="shared" si="66"/>
        <v>0</v>
      </c>
      <c r="V275" s="400">
        <f t="shared" si="66"/>
        <v>0</v>
      </c>
      <c r="W275" s="400">
        <f t="shared" si="66"/>
        <v>0</v>
      </c>
      <c r="X275" s="400">
        <f t="shared" si="66"/>
        <v>0</v>
      </c>
      <c r="Y275" s="400">
        <f t="shared" si="66"/>
        <v>0</v>
      </c>
      <c r="Z275" s="400">
        <f t="shared" si="66"/>
        <v>0</v>
      </c>
      <c r="AA275" s="400">
        <f t="shared" si="66"/>
        <v>0</v>
      </c>
      <c r="AB275" s="400">
        <f t="shared" si="66"/>
        <v>0</v>
      </c>
      <c r="AC275" s="400">
        <f t="shared" si="66"/>
        <v>0</v>
      </c>
      <c r="AD275" s="400">
        <f t="shared" si="66"/>
        <v>0</v>
      </c>
      <c r="AE275" s="400">
        <f t="shared" si="66"/>
        <v>0</v>
      </c>
      <c r="AF275" s="400">
        <f t="shared" si="66"/>
        <v>443618786</v>
      </c>
      <c r="AG275" s="400">
        <f t="shared" si="66"/>
        <v>0</v>
      </c>
      <c r="AH275" s="400">
        <f t="shared" si="66"/>
        <v>545094912</v>
      </c>
      <c r="AI275" s="400">
        <f t="shared" si="66"/>
        <v>0</v>
      </c>
      <c r="AJ275" s="400">
        <f t="shared" si="66"/>
        <v>0</v>
      </c>
      <c r="AK275" s="400">
        <f t="shared" si="66"/>
        <v>988713698</v>
      </c>
    </row>
    <row r="276" spans="1:37" ht="30" customHeight="1" x14ac:dyDescent="0.2">
      <c r="A276" s="52"/>
      <c r="B276" s="93"/>
      <c r="C276" s="60"/>
      <c r="D276" s="59"/>
      <c r="E276" s="60"/>
      <c r="F276" s="60"/>
      <c r="G276" s="59"/>
      <c r="H276" s="60"/>
      <c r="I276" s="59"/>
      <c r="J276" s="60"/>
      <c r="K276" s="220"/>
      <c r="L276" s="220"/>
      <c r="M276" s="60"/>
      <c r="N276" s="60"/>
      <c r="O276" s="59"/>
      <c r="P276" s="60"/>
      <c r="Q276" s="406">
        <f t="shared" ref="Q276:AJ276" si="67">Q275+Q271+Q267</f>
        <v>0</v>
      </c>
      <c r="R276" s="406">
        <f t="shared" si="67"/>
        <v>0</v>
      </c>
      <c r="S276" s="406">
        <f t="shared" si="67"/>
        <v>0</v>
      </c>
      <c r="T276" s="406">
        <f t="shared" si="67"/>
        <v>0</v>
      </c>
      <c r="U276" s="406">
        <f t="shared" si="67"/>
        <v>0</v>
      </c>
      <c r="V276" s="406">
        <f t="shared" si="67"/>
        <v>0</v>
      </c>
      <c r="W276" s="406">
        <f t="shared" si="67"/>
        <v>0</v>
      </c>
      <c r="X276" s="406">
        <f t="shared" si="67"/>
        <v>0</v>
      </c>
      <c r="Y276" s="406">
        <f t="shared" si="67"/>
        <v>0</v>
      </c>
      <c r="Z276" s="406">
        <f t="shared" si="67"/>
        <v>0</v>
      </c>
      <c r="AA276" s="406">
        <f t="shared" si="67"/>
        <v>0</v>
      </c>
      <c r="AB276" s="406">
        <f t="shared" si="67"/>
        <v>0</v>
      </c>
      <c r="AC276" s="406">
        <f t="shared" si="67"/>
        <v>0</v>
      </c>
      <c r="AD276" s="406">
        <f t="shared" si="67"/>
        <v>0</v>
      </c>
      <c r="AE276" s="406">
        <f t="shared" si="67"/>
        <v>0</v>
      </c>
      <c r="AF276" s="406">
        <f t="shared" si="67"/>
        <v>850258786</v>
      </c>
      <c r="AG276" s="406">
        <f t="shared" si="67"/>
        <v>0</v>
      </c>
      <c r="AH276" s="406">
        <f t="shared" si="67"/>
        <v>545094912</v>
      </c>
      <c r="AI276" s="406">
        <f t="shared" si="67"/>
        <v>0</v>
      </c>
      <c r="AJ276" s="406">
        <f t="shared" si="67"/>
        <v>0</v>
      </c>
      <c r="AK276" s="406">
        <f>AK275+AK271+AK267</f>
        <v>1395353698</v>
      </c>
    </row>
    <row r="277" spans="1:37" ht="30" customHeight="1" x14ac:dyDescent="0.2">
      <c r="A277" s="62"/>
      <c r="B277" s="62"/>
      <c r="C277" s="63"/>
      <c r="D277" s="62"/>
      <c r="E277" s="63"/>
      <c r="F277" s="63"/>
      <c r="G277" s="62"/>
      <c r="H277" s="63"/>
      <c r="I277" s="62"/>
      <c r="J277" s="63"/>
      <c r="K277" s="223"/>
      <c r="L277" s="223"/>
      <c r="M277" s="63"/>
      <c r="N277" s="63"/>
      <c r="O277" s="62"/>
      <c r="P277" s="63"/>
      <c r="Q277" s="412">
        <f t="shared" ref="Q277:AK277" si="68">Q276+Q261</f>
        <v>0</v>
      </c>
      <c r="R277" s="412">
        <f t="shared" si="68"/>
        <v>0</v>
      </c>
      <c r="S277" s="412">
        <f t="shared" si="68"/>
        <v>0</v>
      </c>
      <c r="T277" s="412">
        <f t="shared" si="68"/>
        <v>0</v>
      </c>
      <c r="U277" s="412">
        <f t="shared" si="68"/>
        <v>0</v>
      </c>
      <c r="V277" s="412">
        <f t="shared" si="68"/>
        <v>0</v>
      </c>
      <c r="W277" s="412">
        <f t="shared" si="68"/>
        <v>0</v>
      </c>
      <c r="X277" s="412">
        <f t="shared" si="68"/>
        <v>0</v>
      </c>
      <c r="Y277" s="412">
        <f t="shared" si="68"/>
        <v>0</v>
      </c>
      <c r="Z277" s="412">
        <f t="shared" si="68"/>
        <v>0</v>
      </c>
      <c r="AA277" s="412">
        <f t="shared" si="68"/>
        <v>0</v>
      </c>
      <c r="AB277" s="412">
        <f t="shared" si="68"/>
        <v>0</v>
      </c>
      <c r="AC277" s="412">
        <f t="shared" si="68"/>
        <v>0</v>
      </c>
      <c r="AD277" s="412">
        <f t="shared" si="68"/>
        <v>0</v>
      </c>
      <c r="AE277" s="412">
        <f t="shared" si="68"/>
        <v>0</v>
      </c>
      <c r="AF277" s="412">
        <f t="shared" si="68"/>
        <v>1836618786</v>
      </c>
      <c r="AG277" s="412">
        <f t="shared" si="68"/>
        <v>0</v>
      </c>
      <c r="AH277" s="412">
        <f t="shared" si="68"/>
        <v>545094912</v>
      </c>
      <c r="AI277" s="412">
        <f t="shared" si="68"/>
        <v>0</v>
      </c>
      <c r="AJ277" s="412">
        <f t="shared" si="68"/>
        <v>0</v>
      </c>
      <c r="AK277" s="412">
        <f t="shared" si="68"/>
        <v>2381713698</v>
      </c>
    </row>
    <row r="278" spans="1:37" ht="30" customHeight="1" x14ac:dyDescent="0.2">
      <c r="A278" s="65"/>
      <c r="B278" s="65"/>
      <c r="C278" s="66"/>
      <c r="D278" s="65"/>
      <c r="E278" s="66"/>
      <c r="F278" s="66"/>
      <c r="G278" s="65"/>
      <c r="H278" s="66"/>
      <c r="I278" s="65"/>
      <c r="J278" s="66"/>
      <c r="K278" s="224"/>
      <c r="L278" s="224"/>
      <c r="M278" s="66"/>
      <c r="N278" s="66"/>
      <c r="O278" s="65"/>
      <c r="P278" s="66"/>
      <c r="Q278" s="413">
        <f t="shared" ref="Q278:AK278" si="69">Q277</f>
        <v>0</v>
      </c>
      <c r="R278" s="413">
        <f t="shared" si="69"/>
        <v>0</v>
      </c>
      <c r="S278" s="413">
        <f t="shared" si="69"/>
        <v>0</v>
      </c>
      <c r="T278" s="413">
        <f t="shared" si="69"/>
        <v>0</v>
      </c>
      <c r="U278" s="413">
        <f t="shared" si="69"/>
        <v>0</v>
      </c>
      <c r="V278" s="413">
        <f t="shared" si="69"/>
        <v>0</v>
      </c>
      <c r="W278" s="413">
        <f t="shared" si="69"/>
        <v>0</v>
      </c>
      <c r="X278" s="413">
        <f t="shared" si="69"/>
        <v>0</v>
      </c>
      <c r="Y278" s="413">
        <f t="shared" si="69"/>
        <v>0</v>
      </c>
      <c r="Z278" s="413">
        <f t="shared" si="69"/>
        <v>0</v>
      </c>
      <c r="AA278" s="413">
        <f t="shared" si="69"/>
        <v>0</v>
      </c>
      <c r="AB278" s="413">
        <f t="shared" si="69"/>
        <v>0</v>
      </c>
      <c r="AC278" s="413">
        <f t="shared" si="69"/>
        <v>0</v>
      </c>
      <c r="AD278" s="413">
        <f t="shared" si="69"/>
        <v>0</v>
      </c>
      <c r="AE278" s="413">
        <f t="shared" si="69"/>
        <v>0</v>
      </c>
      <c r="AF278" s="413">
        <f t="shared" si="69"/>
        <v>1836618786</v>
      </c>
      <c r="AG278" s="413">
        <f t="shared" si="69"/>
        <v>0</v>
      </c>
      <c r="AH278" s="413">
        <f t="shared" si="69"/>
        <v>545094912</v>
      </c>
      <c r="AI278" s="413">
        <f t="shared" si="69"/>
        <v>0</v>
      </c>
      <c r="AJ278" s="413">
        <f t="shared" si="69"/>
        <v>0</v>
      </c>
      <c r="AK278" s="413">
        <f t="shared" si="69"/>
        <v>2381713698</v>
      </c>
    </row>
    <row r="279" spans="1:37" ht="30" customHeight="1" x14ac:dyDescent="0.2">
      <c r="A279" s="68"/>
      <c r="B279" s="69"/>
      <c r="C279" s="146"/>
      <c r="D279" s="69"/>
      <c r="E279" s="146"/>
      <c r="F279" s="146"/>
      <c r="G279" s="69"/>
      <c r="H279" s="146"/>
      <c r="I279" s="69"/>
      <c r="J279" s="146"/>
      <c r="K279" s="219"/>
      <c r="L279" s="219"/>
      <c r="M279" s="146"/>
      <c r="N279" s="146"/>
      <c r="O279" s="69"/>
      <c r="P279" s="146"/>
      <c r="Q279" s="395"/>
      <c r="R279" s="395"/>
      <c r="S279" s="395"/>
      <c r="T279" s="395"/>
      <c r="U279" s="395"/>
      <c r="V279" s="395"/>
      <c r="W279" s="395"/>
      <c r="X279" s="395"/>
      <c r="Y279" s="395"/>
      <c r="Z279" s="395"/>
      <c r="AA279" s="395"/>
      <c r="AB279" s="396"/>
      <c r="AC279" s="396"/>
      <c r="AD279" s="395"/>
      <c r="AE279" s="395"/>
      <c r="AF279" s="397"/>
      <c r="AG279" s="398"/>
      <c r="AH279" s="398"/>
      <c r="AI279" s="398"/>
      <c r="AJ279" s="398"/>
      <c r="AK279" s="398"/>
    </row>
    <row r="280" spans="1:37" ht="30" customHeight="1" x14ac:dyDescent="0.2">
      <c r="A280" s="28" t="s">
        <v>371</v>
      </c>
      <c r="B280" s="225"/>
      <c r="C280" s="226"/>
      <c r="D280" s="225"/>
      <c r="E280" s="225"/>
      <c r="F280" s="225"/>
      <c r="G280" s="225"/>
      <c r="H280" s="226"/>
      <c r="I280" s="225"/>
      <c r="J280" s="225"/>
      <c r="K280" s="227"/>
      <c r="L280" s="227"/>
      <c r="M280" s="225"/>
      <c r="N280" s="226"/>
      <c r="O280" s="225"/>
      <c r="P280" s="226"/>
      <c r="Q280" s="589"/>
      <c r="R280" s="589"/>
      <c r="S280" s="589"/>
      <c r="T280" s="589"/>
      <c r="U280" s="589"/>
      <c r="V280" s="589"/>
      <c r="W280" s="589"/>
      <c r="X280" s="589"/>
      <c r="Y280" s="589"/>
      <c r="Z280" s="589"/>
      <c r="AA280" s="589"/>
      <c r="AB280" s="589"/>
      <c r="AC280" s="589"/>
      <c r="AD280" s="589"/>
      <c r="AE280" s="589"/>
      <c r="AF280" s="590"/>
      <c r="AG280" s="591"/>
      <c r="AH280" s="589"/>
      <c r="AI280" s="589"/>
      <c r="AJ280" s="589"/>
      <c r="AK280" s="592"/>
    </row>
    <row r="281" spans="1:37" ht="30" customHeight="1" x14ac:dyDescent="0.2">
      <c r="A281" s="738">
        <v>1</v>
      </c>
      <c r="B281" s="31" t="s">
        <v>152</v>
      </c>
      <c r="C281" s="32"/>
      <c r="D281" s="31"/>
      <c r="E281" s="31"/>
      <c r="F281" s="31"/>
      <c r="G281" s="31"/>
      <c r="H281" s="32"/>
      <c r="I281" s="31"/>
      <c r="J281" s="31"/>
      <c r="K281" s="228"/>
      <c r="L281" s="228"/>
      <c r="M281" s="31"/>
      <c r="N281" s="32"/>
      <c r="O281" s="31"/>
      <c r="P281" s="31"/>
      <c r="Q281" s="421"/>
      <c r="R281" s="421"/>
      <c r="S281" s="421"/>
      <c r="T281" s="421"/>
      <c r="U281" s="421"/>
      <c r="V281" s="421"/>
      <c r="W281" s="421"/>
      <c r="X281" s="421"/>
      <c r="Y281" s="421"/>
      <c r="Z281" s="421"/>
      <c r="AA281" s="421"/>
      <c r="AB281" s="421"/>
      <c r="AC281" s="421"/>
      <c r="AD281" s="421"/>
      <c r="AE281" s="421"/>
      <c r="AF281" s="422"/>
      <c r="AG281" s="421"/>
      <c r="AH281" s="421"/>
      <c r="AI281" s="421"/>
      <c r="AJ281" s="421"/>
      <c r="AK281" s="423"/>
    </row>
    <row r="282" spans="1:37" ht="30" customHeight="1" x14ac:dyDescent="0.2">
      <c r="A282" s="73"/>
      <c r="B282" s="148">
        <v>1</v>
      </c>
      <c r="C282" s="35" t="s">
        <v>153</v>
      </c>
      <c r="D282" s="36"/>
      <c r="E282" s="36"/>
      <c r="F282" s="36"/>
      <c r="G282" s="36"/>
      <c r="H282" s="37"/>
      <c r="I282" s="36"/>
      <c r="J282" s="36"/>
      <c r="K282" s="221"/>
      <c r="L282" s="221"/>
      <c r="M282" s="36"/>
      <c r="N282" s="37"/>
      <c r="O282" s="36"/>
      <c r="P282" s="36"/>
      <c r="Q282" s="402"/>
      <c r="R282" s="402"/>
      <c r="S282" s="402"/>
      <c r="T282" s="402"/>
      <c r="U282" s="402"/>
      <c r="V282" s="402"/>
      <c r="W282" s="402"/>
      <c r="X282" s="402"/>
      <c r="Y282" s="402"/>
      <c r="Z282" s="402"/>
      <c r="AA282" s="402"/>
      <c r="AB282" s="402"/>
      <c r="AC282" s="402"/>
      <c r="AD282" s="402"/>
      <c r="AE282" s="402"/>
      <c r="AF282" s="403"/>
      <c r="AG282" s="402"/>
      <c r="AH282" s="402"/>
      <c r="AI282" s="402"/>
      <c r="AJ282" s="402"/>
      <c r="AK282" s="407"/>
    </row>
    <row r="283" spans="1:37" ht="30" customHeight="1" x14ac:dyDescent="0.2">
      <c r="A283" s="39"/>
      <c r="B283" s="73"/>
      <c r="C283" s="133"/>
      <c r="D283" s="69"/>
      <c r="E283" s="146"/>
      <c r="F283" s="677"/>
      <c r="G283" s="215">
        <v>1</v>
      </c>
      <c r="H283" s="76" t="s">
        <v>372</v>
      </c>
      <c r="I283" s="77"/>
      <c r="J283" s="77"/>
      <c r="K283" s="217"/>
      <c r="L283" s="217"/>
      <c r="M283" s="77"/>
      <c r="N283" s="169"/>
      <c r="O283" s="77"/>
      <c r="P283" s="77"/>
      <c r="Q283" s="263"/>
      <c r="R283" s="263"/>
      <c r="S283" s="263"/>
      <c r="T283" s="263"/>
      <c r="U283" s="263"/>
      <c r="V283" s="263"/>
      <c r="W283" s="263"/>
      <c r="X283" s="263"/>
      <c r="Y283" s="263"/>
      <c r="Z283" s="263"/>
      <c r="AA283" s="263"/>
      <c r="AB283" s="263"/>
      <c r="AC283" s="263"/>
      <c r="AD283" s="263"/>
      <c r="AE283" s="263"/>
      <c r="AF283" s="404"/>
      <c r="AG283" s="263"/>
      <c r="AH283" s="263"/>
      <c r="AI283" s="263"/>
      <c r="AJ283" s="263"/>
      <c r="AK283" s="265"/>
    </row>
    <row r="284" spans="1:37" ht="58.5" customHeight="1" x14ac:dyDescent="0.2">
      <c r="A284" s="39"/>
      <c r="B284" s="201"/>
      <c r="C284" s="650">
        <v>1</v>
      </c>
      <c r="D284" s="656" t="s">
        <v>373</v>
      </c>
      <c r="E284" s="229" t="s">
        <v>37</v>
      </c>
      <c r="F284" s="650">
        <v>15000</v>
      </c>
      <c r="G284" s="161"/>
      <c r="H284" s="54">
        <v>1</v>
      </c>
      <c r="I284" s="679" t="s">
        <v>374</v>
      </c>
      <c r="J284" s="54">
        <v>0</v>
      </c>
      <c r="K284" s="165">
        <v>1</v>
      </c>
      <c r="L284" s="784">
        <v>2017003630072</v>
      </c>
      <c r="M284" s="774" t="s">
        <v>375</v>
      </c>
      <c r="N284" s="774" t="s">
        <v>376</v>
      </c>
      <c r="O284" s="777" t="s">
        <v>377</v>
      </c>
      <c r="P284" s="54" t="s">
        <v>46</v>
      </c>
      <c r="Q284" s="391">
        <v>0</v>
      </c>
      <c r="R284" s="391">
        <v>0</v>
      </c>
      <c r="S284" s="391">
        <v>0</v>
      </c>
      <c r="T284" s="391">
        <v>0</v>
      </c>
      <c r="U284" s="391">
        <v>0</v>
      </c>
      <c r="V284" s="391">
        <v>0</v>
      </c>
      <c r="W284" s="391">
        <v>0</v>
      </c>
      <c r="X284" s="391"/>
      <c r="Y284" s="391"/>
      <c r="Z284" s="391">
        <v>0</v>
      </c>
      <c r="AA284" s="391">
        <v>0</v>
      </c>
      <c r="AB284" s="391"/>
      <c r="AC284" s="391"/>
      <c r="AD284" s="391">
        <v>0</v>
      </c>
      <c r="AE284" s="391">
        <v>0</v>
      </c>
      <c r="AF284" s="138">
        <f>19000000+1000000</f>
        <v>20000000</v>
      </c>
      <c r="AG284" s="138"/>
      <c r="AH284" s="391">
        <v>0</v>
      </c>
      <c r="AI284" s="393"/>
      <c r="AJ284" s="393">
        <v>0</v>
      </c>
      <c r="AK284" s="391">
        <f t="shared" ref="AK284:AK289" si="70">Q284+R284+S284+T284+U284+V284+W284+X284+Y284+Z284+AA284+AB284+AC284+AD284+AE284+AF284+AG284+AH284+AI284+AJ284</f>
        <v>20000000</v>
      </c>
    </row>
    <row r="285" spans="1:37" ht="45" x14ac:dyDescent="0.2">
      <c r="A285" s="39"/>
      <c r="B285" s="201"/>
      <c r="C285" s="650">
        <v>2</v>
      </c>
      <c r="D285" s="656" t="s">
        <v>378</v>
      </c>
      <c r="E285" s="650" t="s">
        <v>379</v>
      </c>
      <c r="F285" s="650" t="s">
        <v>379</v>
      </c>
      <c r="G285" s="48"/>
      <c r="H285" s="54">
        <v>2</v>
      </c>
      <c r="I285" s="679" t="s">
        <v>380</v>
      </c>
      <c r="J285" s="54">
        <v>3</v>
      </c>
      <c r="K285" s="165">
        <v>4</v>
      </c>
      <c r="L285" s="785"/>
      <c r="M285" s="775"/>
      <c r="N285" s="775"/>
      <c r="O285" s="778"/>
      <c r="P285" s="54" t="s">
        <v>46</v>
      </c>
      <c r="Q285" s="391">
        <v>0</v>
      </c>
      <c r="R285" s="391">
        <v>0</v>
      </c>
      <c r="S285" s="391">
        <v>0</v>
      </c>
      <c r="T285" s="391">
        <v>0</v>
      </c>
      <c r="U285" s="391">
        <v>0</v>
      </c>
      <c r="V285" s="391">
        <v>0</v>
      </c>
      <c r="W285" s="391">
        <v>0</v>
      </c>
      <c r="X285" s="391"/>
      <c r="Y285" s="391"/>
      <c r="Z285" s="391">
        <v>0</v>
      </c>
      <c r="AA285" s="391">
        <v>0</v>
      </c>
      <c r="AB285" s="391"/>
      <c r="AC285" s="391"/>
      <c r="AD285" s="391">
        <v>0</v>
      </c>
      <c r="AE285" s="391">
        <v>0</v>
      </c>
      <c r="AF285" s="138">
        <v>10000000</v>
      </c>
      <c r="AG285" s="138"/>
      <c r="AH285" s="391">
        <v>0</v>
      </c>
      <c r="AI285" s="393"/>
      <c r="AJ285" s="393">
        <v>0</v>
      </c>
      <c r="AK285" s="391">
        <f t="shared" si="70"/>
        <v>10000000</v>
      </c>
    </row>
    <row r="286" spans="1:37" ht="71.25" customHeight="1" x14ac:dyDescent="0.2">
      <c r="A286" s="39"/>
      <c r="B286" s="201"/>
      <c r="C286" s="650"/>
      <c r="D286" s="656"/>
      <c r="E286" s="650"/>
      <c r="F286" s="650"/>
      <c r="G286" s="48"/>
      <c r="H286" s="54">
        <v>3</v>
      </c>
      <c r="I286" s="679" t="s">
        <v>381</v>
      </c>
      <c r="J286" s="54">
        <v>1</v>
      </c>
      <c r="K286" s="165">
        <v>1</v>
      </c>
      <c r="L286" s="785"/>
      <c r="M286" s="775"/>
      <c r="N286" s="775"/>
      <c r="O286" s="778"/>
      <c r="P286" s="54" t="s">
        <v>46</v>
      </c>
      <c r="Q286" s="391">
        <v>0</v>
      </c>
      <c r="R286" s="391">
        <v>0</v>
      </c>
      <c r="S286" s="391">
        <v>0</v>
      </c>
      <c r="T286" s="391">
        <v>0</v>
      </c>
      <c r="U286" s="391">
        <v>0</v>
      </c>
      <c r="V286" s="391">
        <v>0</v>
      </c>
      <c r="W286" s="391">
        <v>0</v>
      </c>
      <c r="X286" s="391"/>
      <c r="Y286" s="391"/>
      <c r="Z286" s="391">
        <v>0</v>
      </c>
      <c r="AA286" s="391">
        <v>0</v>
      </c>
      <c r="AB286" s="391"/>
      <c r="AC286" s="391"/>
      <c r="AD286" s="391">
        <v>0</v>
      </c>
      <c r="AE286" s="391">
        <v>0</v>
      </c>
      <c r="AF286" s="138">
        <v>6000000</v>
      </c>
      <c r="AG286" s="138"/>
      <c r="AH286" s="391">
        <v>0</v>
      </c>
      <c r="AI286" s="393"/>
      <c r="AJ286" s="393">
        <v>0</v>
      </c>
      <c r="AK286" s="391">
        <f t="shared" si="70"/>
        <v>6000000</v>
      </c>
    </row>
    <row r="287" spans="1:37" ht="57.75" customHeight="1" x14ac:dyDescent="0.2">
      <c r="A287" s="39"/>
      <c r="B287" s="201"/>
      <c r="C287" s="650"/>
      <c r="D287" s="656"/>
      <c r="E287" s="650"/>
      <c r="F287" s="650"/>
      <c r="G287" s="48"/>
      <c r="H287" s="54">
        <v>4</v>
      </c>
      <c r="I287" s="679" t="s">
        <v>382</v>
      </c>
      <c r="J287" s="54">
        <v>0</v>
      </c>
      <c r="K287" s="165">
        <v>1</v>
      </c>
      <c r="L287" s="785"/>
      <c r="M287" s="775"/>
      <c r="N287" s="775"/>
      <c r="O287" s="778"/>
      <c r="P287" s="54" t="s">
        <v>46</v>
      </c>
      <c r="Q287" s="391"/>
      <c r="R287" s="391"/>
      <c r="S287" s="391"/>
      <c r="T287" s="391"/>
      <c r="U287" s="391"/>
      <c r="V287" s="391"/>
      <c r="W287" s="391"/>
      <c r="X287" s="391"/>
      <c r="Y287" s="391"/>
      <c r="Z287" s="391"/>
      <c r="AA287" s="391"/>
      <c r="AB287" s="391"/>
      <c r="AC287" s="391"/>
      <c r="AD287" s="391"/>
      <c r="AE287" s="391"/>
      <c r="AF287" s="138">
        <f>11000000+10000000</f>
        <v>21000000</v>
      </c>
      <c r="AG287" s="138"/>
      <c r="AH287" s="391"/>
      <c r="AI287" s="393"/>
      <c r="AJ287" s="393"/>
      <c r="AK287" s="391">
        <f t="shared" si="70"/>
        <v>21000000</v>
      </c>
    </row>
    <row r="288" spans="1:37" ht="60" x14ac:dyDescent="0.2">
      <c r="A288" s="39"/>
      <c r="B288" s="201"/>
      <c r="C288" s="650">
        <v>3</v>
      </c>
      <c r="D288" s="656" t="s">
        <v>383</v>
      </c>
      <c r="E288" s="650" t="s">
        <v>384</v>
      </c>
      <c r="F288" s="650" t="s">
        <v>157</v>
      </c>
      <c r="G288" s="48"/>
      <c r="H288" s="54">
        <v>5</v>
      </c>
      <c r="I288" s="679" t="s">
        <v>385</v>
      </c>
      <c r="J288" s="54">
        <v>3</v>
      </c>
      <c r="K288" s="165">
        <v>2</v>
      </c>
      <c r="L288" s="785"/>
      <c r="M288" s="775"/>
      <c r="N288" s="775"/>
      <c r="O288" s="778"/>
      <c r="P288" s="54" t="s">
        <v>61</v>
      </c>
      <c r="Q288" s="391">
        <v>0</v>
      </c>
      <c r="R288" s="391">
        <v>0</v>
      </c>
      <c r="S288" s="391">
        <v>0</v>
      </c>
      <c r="T288" s="391">
        <v>0</v>
      </c>
      <c r="U288" s="391">
        <v>0</v>
      </c>
      <c r="V288" s="391">
        <v>0</v>
      </c>
      <c r="W288" s="391">
        <v>0</v>
      </c>
      <c r="X288" s="391"/>
      <c r="Y288" s="391"/>
      <c r="Z288" s="391">
        <v>0</v>
      </c>
      <c r="AA288" s="391">
        <v>0</v>
      </c>
      <c r="AB288" s="391"/>
      <c r="AC288" s="391"/>
      <c r="AD288" s="391">
        <v>0</v>
      </c>
      <c r="AE288" s="391">
        <v>0</v>
      </c>
      <c r="AF288" s="138">
        <f>10000000+11000000</f>
        <v>21000000</v>
      </c>
      <c r="AG288" s="138"/>
      <c r="AH288" s="391">
        <v>0</v>
      </c>
      <c r="AI288" s="393"/>
      <c r="AJ288" s="393">
        <v>0</v>
      </c>
      <c r="AK288" s="391">
        <f t="shared" si="70"/>
        <v>21000000</v>
      </c>
    </row>
    <row r="289" spans="1:37" s="369" customFormat="1" ht="69" customHeight="1" x14ac:dyDescent="0.25">
      <c r="A289" s="39"/>
      <c r="B289" s="201"/>
      <c r="C289" s="650"/>
      <c r="D289" s="46"/>
      <c r="E289" s="650"/>
      <c r="F289" s="650"/>
      <c r="G289" s="50"/>
      <c r="H289" s="54">
        <v>6</v>
      </c>
      <c r="I289" s="679" t="s">
        <v>386</v>
      </c>
      <c r="J289" s="54">
        <v>3</v>
      </c>
      <c r="K289" s="165">
        <v>12</v>
      </c>
      <c r="L289" s="786"/>
      <c r="M289" s="776"/>
      <c r="N289" s="776"/>
      <c r="O289" s="779"/>
      <c r="P289" s="54" t="s">
        <v>46</v>
      </c>
      <c r="Q289" s="391">
        <v>0</v>
      </c>
      <c r="R289" s="391">
        <v>0</v>
      </c>
      <c r="S289" s="391">
        <v>0</v>
      </c>
      <c r="T289" s="391">
        <v>0</v>
      </c>
      <c r="U289" s="391">
        <v>0</v>
      </c>
      <c r="V289" s="391">
        <v>0</v>
      </c>
      <c r="W289" s="391">
        <v>0</v>
      </c>
      <c r="X289" s="391"/>
      <c r="Y289" s="391"/>
      <c r="Z289" s="391">
        <v>0</v>
      </c>
      <c r="AA289" s="391">
        <v>0</v>
      </c>
      <c r="AB289" s="391"/>
      <c r="AC289" s="391"/>
      <c r="AD289" s="391">
        <v>0</v>
      </c>
      <c r="AE289" s="391">
        <v>0</v>
      </c>
      <c r="AF289" s="138">
        <v>7000000</v>
      </c>
      <c r="AG289" s="405"/>
      <c r="AH289" s="391">
        <v>0</v>
      </c>
      <c r="AI289" s="393"/>
      <c r="AJ289" s="393">
        <v>0</v>
      </c>
      <c r="AK289" s="391">
        <f t="shared" si="70"/>
        <v>7000000</v>
      </c>
    </row>
    <row r="290" spans="1:37" ht="30" customHeight="1" x14ac:dyDescent="0.2">
      <c r="A290" s="39"/>
      <c r="B290" s="39"/>
      <c r="C290" s="662"/>
      <c r="D290" s="657"/>
      <c r="E290" s="662"/>
      <c r="F290" s="662"/>
      <c r="G290" s="55"/>
      <c r="H290" s="56"/>
      <c r="I290" s="55"/>
      <c r="J290" s="56"/>
      <c r="K290" s="218"/>
      <c r="L290" s="218"/>
      <c r="M290" s="56"/>
      <c r="N290" s="56"/>
      <c r="O290" s="55"/>
      <c r="P290" s="56"/>
      <c r="Q290" s="400">
        <f t="shared" ref="Q290:AK290" si="71">SUM(Q284:Q289)</f>
        <v>0</v>
      </c>
      <c r="R290" s="400">
        <f t="shared" si="71"/>
        <v>0</v>
      </c>
      <c r="S290" s="400">
        <f t="shared" si="71"/>
        <v>0</v>
      </c>
      <c r="T290" s="400">
        <f t="shared" si="71"/>
        <v>0</v>
      </c>
      <c r="U290" s="400">
        <f t="shared" si="71"/>
        <v>0</v>
      </c>
      <c r="V290" s="400">
        <f t="shared" si="71"/>
        <v>0</v>
      </c>
      <c r="W290" s="400">
        <f t="shared" si="71"/>
        <v>0</v>
      </c>
      <c r="X290" s="400">
        <f t="shared" si="71"/>
        <v>0</v>
      </c>
      <c r="Y290" s="400">
        <f t="shared" si="71"/>
        <v>0</v>
      </c>
      <c r="Z290" s="400">
        <f t="shared" si="71"/>
        <v>0</v>
      </c>
      <c r="AA290" s="400">
        <f t="shared" si="71"/>
        <v>0</v>
      </c>
      <c r="AB290" s="400">
        <f t="shared" si="71"/>
        <v>0</v>
      </c>
      <c r="AC290" s="400">
        <f t="shared" si="71"/>
        <v>0</v>
      </c>
      <c r="AD290" s="400">
        <f t="shared" si="71"/>
        <v>0</v>
      </c>
      <c r="AE290" s="400">
        <f t="shared" si="71"/>
        <v>0</v>
      </c>
      <c r="AF290" s="400">
        <f t="shared" si="71"/>
        <v>85000000</v>
      </c>
      <c r="AG290" s="400">
        <f t="shared" si="71"/>
        <v>0</v>
      </c>
      <c r="AH290" s="400">
        <f t="shared" si="71"/>
        <v>0</v>
      </c>
      <c r="AI290" s="400">
        <f t="shared" si="71"/>
        <v>0</v>
      </c>
      <c r="AJ290" s="400">
        <f t="shared" si="71"/>
        <v>0</v>
      </c>
      <c r="AK290" s="400">
        <f t="shared" si="71"/>
        <v>85000000</v>
      </c>
    </row>
    <row r="291" spans="1:37" ht="30" customHeight="1" x14ac:dyDescent="0.2">
      <c r="A291" s="39"/>
      <c r="B291" s="39"/>
      <c r="C291" s="146"/>
      <c r="D291" s="69"/>
      <c r="E291" s="146"/>
      <c r="F291" s="146"/>
      <c r="G291" s="69"/>
      <c r="H291" s="146"/>
      <c r="I291" s="69"/>
      <c r="J291" s="146"/>
      <c r="K291" s="219"/>
      <c r="L291" s="219"/>
      <c r="M291" s="146"/>
      <c r="N291" s="146"/>
      <c r="O291" s="69"/>
      <c r="P291" s="146"/>
      <c r="Q291" s="395"/>
      <c r="R291" s="396"/>
      <c r="S291" s="395"/>
      <c r="T291" s="395"/>
      <c r="U291" s="395"/>
      <c r="V291" s="395"/>
      <c r="W291" s="395"/>
      <c r="X291" s="395"/>
      <c r="Y291" s="395"/>
      <c r="Z291" s="395"/>
      <c r="AA291" s="395"/>
      <c r="AB291" s="396"/>
      <c r="AC291" s="396"/>
      <c r="AD291" s="395"/>
      <c r="AE291" s="395"/>
      <c r="AF291" s="397"/>
      <c r="AG291" s="398"/>
      <c r="AH291" s="395"/>
      <c r="AI291" s="395"/>
      <c r="AJ291" s="396"/>
      <c r="AK291" s="399"/>
    </row>
    <row r="292" spans="1:37" ht="30" customHeight="1" x14ac:dyDescent="0.2">
      <c r="A292" s="39"/>
      <c r="B292" s="39"/>
      <c r="C292" s="661"/>
      <c r="D292" s="655"/>
      <c r="E292" s="661"/>
      <c r="F292" s="661"/>
      <c r="G292" s="136">
        <v>2</v>
      </c>
      <c r="H292" s="137" t="s">
        <v>154</v>
      </c>
      <c r="I292" s="77"/>
      <c r="J292" s="77"/>
      <c r="K292" s="217"/>
      <c r="L292" s="217"/>
      <c r="M292" s="77"/>
      <c r="N292" s="169"/>
      <c r="O292" s="77"/>
      <c r="P292" s="77"/>
      <c r="Q292" s="263"/>
      <c r="R292" s="263"/>
      <c r="S292" s="263"/>
      <c r="T292" s="263"/>
      <c r="U292" s="263"/>
      <c r="V292" s="263"/>
      <c r="W292" s="263"/>
      <c r="X292" s="263"/>
      <c r="Y292" s="263"/>
      <c r="Z292" s="263"/>
      <c r="AA292" s="263"/>
      <c r="AB292" s="263"/>
      <c r="AC292" s="263"/>
      <c r="AD292" s="263"/>
      <c r="AE292" s="263"/>
      <c r="AF292" s="404"/>
      <c r="AG292" s="263"/>
      <c r="AH292" s="263"/>
      <c r="AI292" s="263"/>
      <c r="AJ292" s="263"/>
      <c r="AK292" s="265"/>
    </row>
    <row r="293" spans="1:37" ht="82.5" customHeight="1" x14ac:dyDescent="0.2">
      <c r="A293" s="39"/>
      <c r="B293" s="39"/>
      <c r="C293" s="662">
        <v>2</v>
      </c>
      <c r="D293" s="657" t="s">
        <v>378</v>
      </c>
      <c r="E293" s="662" t="s">
        <v>379</v>
      </c>
      <c r="F293" s="662" t="s">
        <v>379</v>
      </c>
      <c r="G293" s="40"/>
      <c r="H293" s="54">
        <v>8</v>
      </c>
      <c r="I293" s="679" t="s">
        <v>387</v>
      </c>
      <c r="J293" s="54">
        <v>1</v>
      </c>
      <c r="K293" s="165">
        <v>1</v>
      </c>
      <c r="L293" s="784">
        <v>2017003630070</v>
      </c>
      <c r="M293" s="777" t="s">
        <v>388</v>
      </c>
      <c r="N293" s="774" t="s">
        <v>389</v>
      </c>
      <c r="O293" s="777" t="s">
        <v>390</v>
      </c>
      <c r="P293" s="54" t="s">
        <v>61</v>
      </c>
      <c r="Q293" s="391">
        <v>0</v>
      </c>
      <c r="R293" s="391">
        <v>0</v>
      </c>
      <c r="S293" s="391">
        <v>0</v>
      </c>
      <c r="T293" s="391">
        <v>0</v>
      </c>
      <c r="U293" s="391">
        <v>0</v>
      </c>
      <c r="V293" s="391">
        <v>0</v>
      </c>
      <c r="W293" s="391">
        <v>0</v>
      </c>
      <c r="X293" s="391"/>
      <c r="Y293" s="391"/>
      <c r="Z293" s="391">
        <v>0</v>
      </c>
      <c r="AA293" s="391">
        <v>0</v>
      </c>
      <c r="AB293" s="391"/>
      <c r="AC293" s="391"/>
      <c r="AD293" s="391">
        <v>0</v>
      </c>
      <c r="AE293" s="391">
        <f>39500000-39500000</f>
        <v>0</v>
      </c>
      <c r="AF293" s="392">
        <v>38000000</v>
      </c>
      <c r="AG293" s="405"/>
      <c r="AH293" s="391">
        <v>0</v>
      </c>
      <c r="AI293" s="393"/>
      <c r="AJ293" s="393">
        <v>0</v>
      </c>
      <c r="AK293" s="391">
        <f>Q293+R293+S293+T293+U293+V293+W293+X293+Y293+Z293+AA293+AB293+AC293+AD293+AE293+AF293+AG293+AH293+AI293+AJ293</f>
        <v>38000000</v>
      </c>
    </row>
    <row r="294" spans="1:37" ht="45" x14ac:dyDescent="0.2">
      <c r="A294" s="39"/>
      <c r="B294" s="39"/>
      <c r="C294" s="661">
        <v>2</v>
      </c>
      <c r="D294" s="655" t="s">
        <v>378</v>
      </c>
      <c r="E294" s="661" t="s">
        <v>379</v>
      </c>
      <c r="F294" s="661" t="s">
        <v>379</v>
      </c>
      <c r="G294" s="90"/>
      <c r="H294" s="54">
        <v>7</v>
      </c>
      <c r="I294" s="679" t="s">
        <v>391</v>
      </c>
      <c r="J294" s="54">
        <v>0</v>
      </c>
      <c r="K294" s="165">
        <v>1</v>
      </c>
      <c r="L294" s="786"/>
      <c r="M294" s="779"/>
      <c r="N294" s="776"/>
      <c r="O294" s="779"/>
      <c r="P294" s="54" t="s">
        <v>46</v>
      </c>
      <c r="Q294" s="391">
        <v>0</v>
      </c>
      <c r="R294" s="391">
        <v>0</v>
      </c>
      <c r="S294" s="391">
        <v>0</v>
      </c>
      <c r="T294" s="391">
        <v>0</v>
      </c>
      <c r="U294" s="391">
        <v>0</v>
      </c>
      <c r="V294" s="391">
        <v>0</v>
      </c>
      <c r="W294" s="391">
        <v>0</v>
      </c>
      <c r="X294" s="391"/>
      <c r="Y294" s="391"/>
      <c r="Z294" s="391">
        <v>0</v>
      </c>
      <c r="AA294" s="391">
        <v>0</v>
      </c>
      <c r="AB294" s="391"/>
      <c r="AC294" s="391"/>
      <c r="AD294" s="391">
        <v>0</v>
      </c>
      <c r="AE294" s="392">
        <v>0</v>
      </c>
      <c r="AF294" s="392">
        <f>62000000+100000000</f>
        <v>162000000</v>
      </c>
      <c r="AG294" s="405"/>
      <c r="AH294" s="391">
        <v>0</v>
      </c>
      <c r="AI294" s="393"/>
      <c r="AJ294" s="393"/>
      <c r="AK294" s="391">
        <f>Q294+R294+S294+T294+U294+V294+W294+X294+Y294+Z294+AA294+AB294+AC294+AD294+AE294+AF294+AG294+AH294+AI294+AJ294</f>
        <v>162000000</v>
      </c>
    </row>
    <row r="295" spans="1:37" ht="30" customHeight="1" x14ac:dyDescent="0.2">
      <c r="A295" s="39"/>
      <c r="B295" s="39"/>
      <c r="C295" s="662"/>
      <c r="D295" s="657"/>
      <c r="E295" s="662"/>
      <c r="F295" s="662"/>
      <c r="G295" s="55"/>
      <c r="H295" s="56"/>
      <c r="I295" s="55"/>
      <c r="J295" s="55"/>
      <c r="K295" s="230"/>
      <c r="L295" s="230"/>
      <c r="M295" s="55"/>
      <c r="N295" s="56"/>
      <c r="O295" s="55"/>
      <c r="P295" s="56"/>
      <c r="Q295" s="447">
        <f t="shared" ref="Q295:AK295" si="72">SUM(Q293:Q294)</f>
        <v>0</v>
      </c>
      <c r="R295" s="447">
        <f t="shared" si="72"/>
        <v>0</v>
      </c>
      <c r="S295" s="447">
        <f t="shared" si="72"/>
        <v>0</v>
      </c>
      <c r="T295" s="447">
        <f t="shared" si="72"/>
        <v>0</v>
      </c>
      <c r="U295" s="447">
        <f t="shared" si="72"/>
        <v>0</v>
      </c>
      <c r="V295" s="447">
        <f t="shared" si="72"/>
        <v>0</v>
      </c>
      <c r="W295" s="447">
        <f t="shared" si="72"/>
        <v>0</v>
      </c>
      <c r="X295" s="447">
        <f t="shared" si="72"/>
        <v>0</v>
      </c>
      <c r="Y295" s="447">
        <f t="shared" si="72"/>
        <v>0</v>
      </c>
      <c r="Z295" s="447">
        <f t="shared" si="72"/>
        <v>0</v>
      </c>
      <c r="AA295" s="447">
        <f t="shared" si="72"/>
        <v>0</v>
      </c>
      <c r="AB295" s="447">
        <f t="shared" si="72"/>
        <v>0</v>
      </c>
      <c r="AC295" s="447">
        <f t="shared" si="72"/>
        <v>0</v>
      </c>
      <c r="AD295" s="447">
        <f t="shared" si="72"/>
        <v>0</v>
      </c>
      <c r="AE295" s="447">
        <f t="shared" si="72"/>
        <v>0</v>
      </c>
      <c r="AF295" s="447">
        <f t="shared" si="72"/>
        <v>200000000</v>
      </c>
      <c r="AG295" s="447">
        <f t="shared" si="72"/>
        <v>0</v>
      </c>
      <c r="AH295" s="447">
        <f t="shared" si="72"/>
        <v>0</v>
      </c>
      <c r="AI295" s="447">
        <f t="shared" si="72"/>
        <v>0</v>
      </c>
      <c r="AJ295" s="447">
        <f t="shared" si="72"/>
        <v>0</v>
      </c>
      <c r="AK295" s="447">
        <f t="shared" si="72"/>
        <v>200000000</v>
      </c>
    </row>
    <row r="296" spans="1:37" ht="30" customHeight="1" x14ac:dyDescent="0.2">
      <c r="A296" s="39"/>
      <c r="B296" s="39"/>
      <c r="C296" s="146"/>
      <c r="D296" s="69"/>
      <c r="E296" s="70"/>
      <c r="F296" s="70"/>
      <c r="G296" s="69"/>
      <c r="H296" s="146"/>
      <c r="I296" s="69"/>
      <c r="J296" s="69"/>
      <c r="K296" s="231"/>
      <c r="L296" s="231"/>
      <c r="M296" s="69"/>
      <c r="N296" s="146"/>
      <c r="O296" s="69"/>
      <c r="P296" s="146"/>
      <c r="Q296" s="448"/>
      <c r="R296" s="449"/>
      <c r="S296" s="448"/>
      <c r="T296" s="448"/>
      <c r="U296" s="448"/>
      <c r="V296" s="448"/>
      <c r="W296" s="448"/>
      <c r="X296" s="448"/>
      <c r="Y296" s="448"/>
      <c r="Z296" s="448"/>
      <c r="AA296" s="448"/>
      <c r="AB296" s="449"/>
      <c r="AC296" s="449"/>
      <c r="AD296" s="448"/>
      <c r="AE296" s="448"/>
      <c r="AF296" s="450" t="s">
        <v>63</v>
      </c>
      <c r="AG296" s="451"/>
      <c r="AH296" s="448"/>
      <c r="AI296" s="448"/>
      <c r="AJ296" s="449"/>
      <c r="AK296" s="448"/>
    </row>
    <row r="297" spans="1:37" ht="25.5" customHeight="1" x14ac:dyDescent="0.2">
      <c r="A297" s="39"/>
      <c r="B297" s="39"/>
      <c r="C297" s="661"/>
      <c r="D297" s="655"/>
      <c r="E297" s="661"/>
      <c r="F297" s="661"/>
      <c r="G297" s="136">
        <v>3</v>
      </c>
      <c r="H297" s="137" t="s">
        <v>392</v>
      </c>
      <c r="I297" s="77"/>
      <c r="J297" s="77"/>
      <c r="K297" s="217"/>
      <c r="L297" s="217"/>
      <c r="M297" s="77"/>
      <c r="N297" s="169"/>
      <c r="O297" s="77"/>
      <c r="P297" s="77"/>
      <c r="Q297" s="263"/>
      <c r="R297" s="263"/>
      <c r="S297" s="263"/>
      <c r="T297" s="263"/>
      <c r="U297" s="263"/>
      <c r="V297" s="263"/>
      <c r="W297" s="263"/>
      <c r="X297" s="263"/>
      <c r="Y297" s="263"/>
      <c r="Z297" s="263"/>
      <c r="AA297" s="263"/>
      <c r="AB297" s="263"/>
      <c r="AC297" s="263"/>
      <c r="AD297" s="263"/>
      <c r="AE297" s="263"/>
      <c r="AF297" s="404"/>
      <c r="AG297" s="263"/>
      <c r="AH297" s="263"/>
      <c r="AI297" s="263"/>
      <c r="AJ297" s="263"/>
      <c r="AK297" s="265"/>
    </row>
    <row r="298" spans="1:37" ht="73.5" customHeight="1" x14ac:dyDescent="0.2">
      <c r="A298" s="39"/>
      <c r="B298" s="39"/>
      <c r="C298" s="662" t="s">
        <v>393</v>
      </c>
      <c r="D298" s="657" t="s">
        <v>394</v>
      </c>
      <c r="E298" s="662" t="s">
        <v>395</v>
      </c>
      <c r="F298" s="662" t="s">
        <v>396</v>
      </c>
      <c r="G298" s="40"/>
      <c r="H298" s="54">
        <v>14</v>
      </c>
      <c r="I298" s="679" t="s">
        <v>397</v>
      </c>
      <c r="J298" s="54">
        <v>2</v>
      </c>
      <c r="K298" s="165">
        <v>6</v>
      </c>
      <c r="L298" s="43">
        <v>2017003630075</v>
      </c>
      <c r="M298" s="54" t="s">
        <v>375</v>
      </c>
      <c r="N298" s="54" t="s">
        <v>398</v>
      </c>
      <c r="O298" s="679" t="s">
        <v>399</v>
      </c>
      <c r="P298" s="54" t="s">
        <v>46</v>
      </c>
      <c r="Q298" s="391">
        <v>0</v>
      </c>
      <c r="R298" s="391">
        <v>0</v>
      </c>
      <c r="S298" s="391">
        <v>0</v>
      </c>
      <c r="T298" s="391">
        <v>0</v>
      </c>
      <c r="U298" s="391">
        <v>0</v>
      </c>
      <c r="V298" s="391">
        <v>0</v>
      </c>
      <c r="W298" s="391">
        <v>0</v>
      </c>
      <c r="X298" s="391"/>
      <c r="Y298" s="391"/>
      <c r="Z298" s="391">
        <v>0</v>
      </c>
      <c r="AA298" s="391">
        <v>0</v>
      </c>
      <c r="AB298" s="391"/>
      <c r="AC298" s="391"/>
      <c r="AD298" s="391">
        <v>0</v>
      </c>
      <c r="AE298" s="391">
        <v>0</v>
      </c>
      <c r="AF298" s="635">
        <f>488574676+41297982+592289786</f>
        <v>1122162444</v>
      </c>
      <c r="AG298" s="411"/>
      <c r="AH298" s="391">
        <v>0</v>
      </c>
      <c r="AI298" s="393"/>
      <c r="AJ298" s="393"/>
      <c r="AK298" s="391">
        <f t="shared" ref="AK298:AK303" si="73">Q298+R298+S298+T298+U298+V298+W298+X298+Y298+Z298+AA298+AB298+AC298+AD298+AE298+AF298+AG298+AH298+AI298+AJ298</f>
        <v>1122162444</v>
      </c>
    </row>
    <row r="299" spans="1:37" ht="60" x14ac:dyDescent="0.2">
      <c r="A299" s="39"/>
      <c r="B299" s="39"/>
      <c r="C299" s="677">
        <v>3</v>
      </c>
      <c r="D299" s="679" t="s">
        <v>383</v>
      </c>
      <c r="E299" s="54" t="s">
        <v>384</v>
      </c>
      <c r="F299" s="54" t="s">
        <v>157</v>
      </c>
      <c r="G299" s="46"/>
      <c r="H299" s="54">
        <v>15</v>
      </c>
      <c r="I299" s="655" t="s">
        <v>400</v>
      </c>
      <c r="J299" s="54">
        <v>0</v>
      </c>
      <c r="K299" s="165">
        <v>2</v>
      </c>
      <c r="L299" s="784">
        <v>2017003630062</v>
      </c>
      <c r="M299" s="774" t="s">
        <v>375</v>
      </c>
      <c r="N299" s="775" t="s">
        <v>401</v>
      </c>
      <c r="O299" s="778" t="s">
        <v>973</v>
      </c>
      <c r="P299" s="54" t="s">
        <v>46</v>
      </c>
      <c r="Q299" s="391"/>
      <c r="R299" s="391"/>
      <c r="S299" s="391"/>
      <c r="T299" s="391"/>
      <c r="U299" s="391"/>
      <c r="V299" s="391"/>
      <c r="W299" s="391"/>
      <c r="X299" s="391"/>
      <c r="Y299" s="391"/>
      <c r="Z299" s="391"/>
      <c r="AA299" s="391"/>
      <c r="AB299" s="391"/>
      <c r="AC299" s="391"/>
      <c r="AD299" s="391"/>
      <c r="AE299" s="391"/>
      <c r="AF299" s="131">
        <v>180000000</v>
      </c>
      <c r="AG299" s="411"/>
      <c r="AH299" s="391"/>
      <c r="AI299" s="393"/>
      <c r="AJ299" s="393"/>
      <c r="AK299" s="391">
        <f t="shared" si="73"/>
        <v>180000000</v>
      </c>
    </row>
    <row r="300" spans="1:37" ht="84" customHeight="1" x14ac:dyDescent="0.2">
      <c r="A300" s="39"/>
      <c r="B300" s="39"/>
      <c r="C300" s="54"/>
      <c r="D300" s="679"/>
      <c r="E300" s="54"/>
      <c r="F300" s="54"/>
      <c r="G300" s="46"/>
      <c r="H300" s="54">
        <v>16</v>
      </c>
      <c r="I300" s="655" t="s">
        <v>403</v>
      </c>
      <c r="J300" s="54">
        <v>7</v>
      </c>
      <c r="K300" s="165">
        <v>4</v>
      </c>
      <c r="L300" s="785"/>
      <c r="M300" s="775"/>
      <c r="N300" s="775"/>
      <c r="O300" s="778"/>
      <c r="P300" s="54" t="s">
        <v>61</v>
      </c>
      <c r="Q300" s="391"/>
      <c r="R300" s="391"/>
      <c r="S300" s="391"/>
      <c r="T300" s="391"/>
      <c r="U300" s="391"/>
      <c r="V300" s="391"/>
      <c r="W300" s="391"/>
      <c r="X300" s="391"/>
      <c r="Y300" s="391"/>
      <c r="Z300" s="391"/>
      <c r="AA300" s="391"/>
      <c r="AB300" s="391"/>
      <c r="AC300" s="391"/>
      <c r="AD300" s="391"/>
      <c r="AE300" s="391"/>
      <c r="AF300" s="131">
        <v>6000000</v>
      </c>
      <c r="AG300" s="411"/>
      <c r="AH300" s="391"/>
      <c r="AI300" s="393"/>
      <c r="AJ300" s="393"/>
      <c r="AK300" s="391">
        <f t="shared" si="73"/>
        <v>6000000</v>
      </c>
    </row>
    <row r="301" spans="1:37" ht="65.25" customHeight="1" x14ac:dyDescent="0.2">
      <c r="A301" s="39"/>
      <c r="B301" s="39"/>
      <c r="C301" s="662"/>
      <c r="D301" s="657"/>
      <c r="E301" s="662"/>
      <c r="F301" s="662"/>
      <c r="G301" s="46"/>
      <c r="H301" s="54">
        <v>18</v>
      </c>
      <c r="I301" s="679" t="s">
        <v>404</v>
      </c>
      <c r="J301" s="54">
        <v>0</v>
      </c>
      <c r="K301" s="165">
        <v>7</v>
      </c>
      <c r="L301" s="785"/>
      <c r="M301" s="775"/>
      <c r="N301" s="775"/>
      <c r="O301" s="778"/>
      <c r="P301" s="54" t="s">
        <v>61</v>
      </c>
      <c r="Q301" s="391"/>
      <c r="R301" s="391"/>
      <c r="S301" s="391"/>
      <c r="T301" s="391"/>
      <c r="U301" s="391"/>
      <c r="V301" s="391"/>
      <c r="W301" s="391"/>
      <c r="X301" s="391"/>
      <c r="Y301" s="391"/>
      <c r="Z301" s="391"/>
      <c r="AA301" s="391"/>
      <c r="AB301" s="391"/>
      <c r="AC301" s="391"/>
      <c r="AD301" s="391"/>
      <c r="AE301" s="391"/>
      <c r="AF301" s="394">
        <v>8600000</v>
      </c>
      <c r="AG301" s="394"/>
      <c r="AH301" s="391"/>
      <c r="AI301" s="393"/>
      <c r="AJ301" s="393"/>
      <c r="AK301" s="391">
        <f t="shared" si="73"/>
        <v>8600000</v>
      </c>
    </row>
    <row r="302" spans="1:37" ht="60" x14ac:dyDescent="0.2">
      <c r="A302" s="39"/>
      <c r="B302" s="39"/>
      <c r="C302" s="677">
        <v>4</v>
      </c>
      <c r="D302" s="679" t="s">
        <v>405</v>
      </c>
      <c r="E302" s="54" t="s">
        <v>406</v>
      </c>
      <c r="F302" s="54" t="s">
        <v>407</v>
      </c>
      <c r="G302" s="46"/>
      <c r="H302" s="54">
        <v>19</v>
      </c>
      <c r="I302" s="679" t="s">
        <v>408</v>
      </c>
      <c r="J302" s="54">
        <v>20</v>
      </c>
      <c r="K302" s="165">
        <v>9</v>
      </c>
      <c r="L302" s="785"/>
      <c r="M302" s="775"/>
      <c r="N302" s="775"/>
      <c r="O302" s="778"/>
      <c r="P302" s="54" t="s">
        <v>61</v>
      </c>
      <c r="Q302" s="391">
        <v>0</v>
      </c>
      <c r="R302" s="391">
        <v>0</v>
      </c>
      <c r="S302" s="391">
        <v>0</v>
      </c>
      <c r="T302" s="391">
        <v>0</v>
      </c>
      <c r="U302" s="391">
        <v>0</v>
      </c>
      <c r="V302" s="391">
        <v>0</v>
      </c>
      <c r="W302" s="391">
        <v>0</v>
      </c>
      <c r="X302" s="391"/>
      <c r="Y302" s="391"/>
      <c r="Z302" s="391">
        <v>0</v>
      </c>
      <c r="AA302" s="391">
        <v>0</v>
      </c>
      <c r="AB302" s="391"/>
      <c r="AC302" s="391"/>
      <c r="AD302" s="391">
        <v>0</v>
      </c>
      <c r="AE302" s="391">
        <v>0</v>
      </c>
      <c r="AF302" s="394">
        <f>7000000</f>
        <v>7000000</v>
      </c>
      <c r="AG302" s="394"/>
      <c r="AH302" s="391">
        <v>0</v>
      </c>
      <c r="AI302" s="393"/>
      <c r="AJ302" s="393"/>
      <c r="AK302" s="391">
        <f t="shared" si="73"/>
        <v>7000000</v>
      </c>
    </row>
    <row r="303" spans="1:37" ht="45" x14ac:dyDescent="0.2">
      <c r="A303" s="39"/>
      <c r="B303" s="39"/>
      <c r="C303" s="661">
        <v>1</v>
      </c>
      <c r="D303" s="655" t="s">
        <v>373</v>
      </c>
      <c r="E303" s="526" t="s">
        <v>37</v>
      </c>
      <c r="F303" s="527">
        <v>15000</v>
      </c>
      <c r="G303" s="46"/>
      <c r="H303" s="54">
        <v>20</v>
      </c>
      <c r="I303" s="679" t="s">
        <v>409</v>
      </c>
      <c r="J303" s="54" t="s">
        <v>37</v>
      </c>
      <c r="K303" s="165">
        <v>70</v>
      </c>
      <c r="L303" s="786"/>
      <c r="M303" s="776"/>
      <c r="N303" s="776"/>
      <c r="O303" s="779"/>
      <c r="P303" s="54" t="s">
        <v>61</v>
      </c>
      <c r="Q303" s="391">
        <v>0</v>
      </c>
      <c r="R303" s="391">
        <v>0</v>
      </c>
      <c r="S303" s="391">
        <v>0</v>
      </c>
      <c r="T303" s="391">
        <v>0</v>
      </c>
      <c r="U303" s="391">
        <v>0</v>
      </c>
      <c r="V303" s="391">
        <v>0</v>
      </c>
      <c r="W303" s="391">
        <v>0</v>
      </c>
      <c r="X303" s="391"/>
      <c r="Y303" s="391"/>
      <c r="Z303" s="391">
        <v>0</v>
      </c>
      <c r="AA303" s="391">
        <v>0</v>
      </c>
      <c r="AB303" s="391"/>
      <c r="AC303" s="391"/>
      <c r="AD303" s="391">
        <v>0</v>
      </c>
      <c r="AE303" s="391">
        <v>0</v>
      </c>
      <c r="AF303" s="394">
        <v>7000000</v>
      </c>
      <c r="AG303" s="394"/>
      <c r="AH303" s="391">
        <v>0</v>
      </c>
      <c r="AI303" s="393"/>
      <c r="AJ303" s="393"/>
      <c r="AK303" s="391">
        <f t="shared" si="73"/>
        <v>7000000</v>
      </c>
    </row>
    <row r="304" spans="1:37" ht="18.75" customHeight="1" x14ac:dyDescent="0.2">
      <c r="A304" s="39"/>
      <c r="B304" s="52"/>
      <c r="C304" s="662"/>
      <c r="D304" s="657"/>
      <c r="E304" s="662"/>
      <c r="F304" s="662"/>
      <c r="G304" s="55"/>
      <c r="H304" s="56"/>
      <c r="I304" s="55"/>
      <c r="J304" s="55"/>
      <c r="K304" s="230"/>
      <c r="L304" s="230"/>
      <c r="M304" s="55"/>
      <c r="N304" s="56"/>
      <c r="O304" s="232"/>
      <c r="P304" s="56"/>
      <c r="Q304" s="447">
        <f t="shared" ref="Q304:AK304" si="74">SUM(Q298:Q303)</f>
        <v>0</v>
      </c>
      <c r="R304" s="447">
        <f t="shared" si="74"/>
        <v>0</v>
      </c>
      <c r="S304" s="447">
        <f t="shared" si="74"/>
        <v>0</v>
      </c>
      <c r="T304" s="447">
        <f t="shared" si="74"/>
        <v>0</v>
      </c>
      <c r="U304" s="447">
        <f t="shared" si="74"/>
        <v>0</v>
      </c>
      <c r="V304" s="447">
        <f t="shared" si="74"/>
        <v>0</v>
      </c>
      <c r="W304" s="447">
        <f t="shared" si="74"/>
        <v>0</v>
      </c>
      <c r="X304" s="447">
        <f t="shared" si="74"/>
        <v>0</v>
      </c>
      <c r="Y304" s="447">
        <f t="shared" si="74"/>
        <v>0</v>
      </c>
      <c r="Z304" s="447">
        <f t="shared" si="74"/>
        <v>0</v>
      </c>
      <c r="AA304" s="447">
        <f t="shared" si="74"/>
        <v>0</v>
      </c>
      <c r="AB304" s="447">
        <f t="shared" si="74"/>
        <v>0</v>
      </c>
      <c r="AC304" s="447">
        <f t="shared" si="74"/>
        <v>0</v>
      </c>
      <c r="AD304" s="447">
        <f t="shared" si="74"/>
        <v>0</v>
      </c>
      <c r="AE304" s="447">
        <f t="shared" si="74"/>
        <v>0</v>
      </c>
      <c r="AF304" s="447">
        <f t="shared" si="74"/>
        <v>1330762444</v>
      </c>
      <c r="AG304" s="447">
        <f t="shared" si="74"/>
        <v>0</v>
      </c>
      <c r="AH304" s="447">
        <f t="shared" si="74"/>
        <v>0</v>
      </c>
      <c r="AI304" s="447">
        <f t="shared" si="74"/>
        <v>0</v>
      </c>
      <c r="AJ304" s="447">
        <f t="shared" si="74"/>
        <v>0</v>
      </c>
      <c r="AK304" s="447">
        <f t="shared" si="74"/>
        <v>1330762444</v>
      </c>
    </row>
    <row r="305" spans="1:37" ht="18.75" customHeight="1" x14ac:dyDescent="0.2">
      <c r="A305" s="52"/>
      <c r="B305" s="59"/>
      <c r="C305" s="95"/>
      <c r="D305" s="59"/>
      <c r="E305" s="60"/>
      <c r="F305" s="60"/>
      <c r="G305" s="59"/>
      <c r="H305" s="60"/>
      <c r="I305" s="59"/>
      <c r="J305" s="59"/>
      <c r="K305" s="233"/>
      <c r="L305" s="233"/>
      <c r="M305" s="59"/>
      <c r="N305" s="60"/>
      <c r="O305" s="59"/>
      <c r="P305" s="60"/>
      <c r="Q305" s="426">
        <f t="shared" ref="Q305:AK305" si="75">Q304+Q295+Q290</f>
        <v>0</v>
      </c>
      <c r="R305" s="426">
        <f t="shared" si="75"/>
        <v>0</v>
      </c>
      <c r="S305" s="426">
        <f t="shared" si="75"/>
        <v>0</v>
      </c>
      <c r="T305" s="426">
        <f t="shared" si="75"/>
        <v>0</v>
      </c>
      <c r="U305" s="426">
        <f t="shared" si="75"/>
        <v>0</v>
      </c>
      <c r="V305" s="426">
        <f t="shared" si="75"/>
        <v>0</v>
      </c>
      <c r="W305" s="426">
        <f t="shared" si="75"/>
        <v>0</v>
      </c>
      <c r="X305" s="426">
        <f t="shared" si="75"/>
        <v>0</v>
      </c>
      <c r="Y305" s="426">
        <f t="shared" si="75"/>
        <v>0</v>
      </c>
      <c r="Z305" s="426">
        <f t="shared" si="75"/>
        <v>0</v>
      </c>
      <c r="AA305" s="426">
        <f t="shared" si="75"/>
        <v>0</v>
      </c>
      <c r="AB305" s="426">
        <f t="shared" si="75"/>
        <v>0</v>
      </c>
      <c r="AC305" s="426">
        <f t="shared" si="75"/>
        <v>0</v>
      </c>
      <c r="AD305" s="426">
        <f t="shared" si="75"/>
        <v>0</v>
      </c>
      <c r="AE305" s="426">
        <f t="shared" si="75"/>
        <v>0</v>
      </c>
      <c r="AF305" s="426">
        <f t="shared" si="75"/>
        <v>1615762444</v>
      </c>
      <c r="AG305" s="426">
        <f t="shared" si="75"/>
        <v>0</v>
      </c>
      <c r="AH305" s="426">
        <f t="shared" si="75"/>
        <v>0</v>
      </c>
      <c r="AI305" s="426">
        <f t="shared" si="75"/>
        <v>0</v>
      </c>
      <c r="AJ305" s="426">
        <f t="shared" si="75"/>
        <v>0</v>
      </c>
      <c r="AK305" s="426">
        <f t="shared" si="75"/>
        <v>1615762444</v>
      </c>
    </row>
    <row r="306" spans="1:37" ht="18.75" customHeight="1" x14ac:dyDescent="0.2">
      <c r="A306" s="571"/>
      <c r="B306" s="571"/>
      <c r="C306" s="63"/>
      <c r="D306" s="321"/>
      <c r="E306" s="321"/>
      <c r="F306" s="321"/>
      <c r="G306" s="321"/>
      <c r="H306" s="63"/>
      <c r="I306" s="321"/>
      <c r="J306" s="321"/>
      <c r="K306" s="572"/>
      <c r="L306" s="572"/>
      <c r="M306" s="321"/>
      <c r="N306" s="63"/>
      <c r="O306" s="321"/>
      <c r="P306" s="321"/>
      <c r="Q306" s="573">
        <f t="shared" ref="Q306:AK306" si="76">Q305</f>
        <v>0</v>
      </c>
      <c r="R306" s="573">
        <f t="shared" si="76"/>
        <v>0</v>
      </c>
      <c r="S306" s="573">
        <f t="shared" si="76"/>
        <v>0</v>
      </c>
      <c r="T306" s="573">
        <f t="shared" si="76"/>
        <v>0</v>
      </c>
      <c r="U306" s="573">
        <f t="shared" si="76"/>
        <v>0</v>
      </c>
      <c r="V306" s="573">
        <f t="shared" si="76"/>
        <v>0</v>
      </c>
      <c r="W306" s="573">
        <f t="shared" si="76"/>
        <v>0</v>
      </c>
      <c r="X306" s="573">
        <f t="shared" si="76"/>
        <v>0</v>
      </c>
      <c r="Y306" s="573">
        <f t="shared" si="76"/>
        <v>0</v>
      </c>
      <c r="Z306" s="573">
        <f t="shared" si="76"/>
        <v>0</v>
      </c>
      <c r="AA306" s="573">
        <f t="shared" si="76"/>
        <v>0</v>
      </c>
      <c r="AB306" s="573">
        <f t="shared" si="76"/>
        <v>0</v>
      </c>
      <c r="AC306" s="573">
        <f t="shared" si="76"/>
        <v>0</v>
      </c>
      <c r="AD306" s="573">
        <f t="shared" si="76"/>
        <v>0</v>
      </c>
      <c r="AE306" s="573">
        <f t="shared" si="76"/>
        <v>0</v>
      </c>
      <c r="AF306" s="573">
        <f t="shared" si="76"/>
        <v>1615762444</v>
      </c>
      <c r="AG306" s="573">
        <f t="shared" si="76"/>
        <v>0</v>
      </c>
      <c r="AH306" s="573">
        <f t="shared" si="76"/>
        <v>0</v>
      </c>
      <c r="AI306" s="573">
        <f t="shared" si="76"/>
        <v>0</v>
      </c>
      <c r="AJ306" s="573">
        <f t="shared" si="76"/>
        <v>0</v>
      </c>
      <c r="AK306" s="573">
        <f t="shared" si="76"/>
        <v>1615762444</v>
      </c>
    </row>
    <row r="307" spans="1:37" ht="15" x14ac:dyDescent="0.2">
      <c r="A307" s="68"/>
      <c r="B307" s="69"/>
      <c r="C307" s="146"/>
      <c r="D307" s="69"/>
      <c r="E307" s="146"/>
      <c r="F307" s="146"/>
      <c r="G307" s="69"/>
      <c r="H307" s="146"/>
      <c r="I307" s="69"/>
      <c r="J307" s="69"/>
      <c r="K307" s="231"/>
      <c r="L307" s="231"/>
      <c r="M307" s="69"/>
      <c r="N307" s="146"/>
      <c r="O307" s="69"/>
      <c r="P307" s="146"/>
      <c r="Q307" s="448"/>
      <c r="R307" s="449"/>
      <c r="S307" s="448"/>
      <c r="T307" s="448"/>
      <c r="U307" s="448"/>
      <c r="V307" s="448"/>
      <c r="W307" s="448"/>
      <c r="X307" s="448"/>
      <c r="Y307" s="448"/>
      <c r="Z307" s="448"/>
      <c r="AA307" s="448"/>
      <c r="AB307" s="449"/>
      <c r="AC307" s="449"/>
      <c r="AD307" s="448"/>
      <c r="AE307" s="448"/>
      <c r="AF307" s="450"/>
      <c r="AG307" s="448"/>
      <c r="AH307" s="448"/>
      <c r="AI307" s="448"/>
      <c r="AJ307" s="449"/>
      <c r="AK307" s="448"/>
    </row>
    <row r="308" spans="1:37" ht="30" customHeight="1" x14ac:dyDescent="0.2">
      <c r="A308" s="738">
        <v>2</v>
      </c>
      <c r="B308" s="31" t="s">
        <v>123</v>
      </c>
      <c r="C308" s="32"/>
      <c r="D308" s="31"/>
      <c r="E308" s="31"/>
      <c r="F308" s="31"/>
      <c r="G308" s="31"/>
      <c r="H308" s="32"/>
      <c r="I308" s="31"/>
      <c r="J308" s="31"/>
      <c r="K308" s="228"/>
      <c r="L308" s="228"/>
      <c r="M308" s="31"/>
      <c r="N308" s="32"/>
      <c r="O308" s="31"/>
      <c r="P308" s="31"/>
      <c r="Q308" s="421"/>
      <c r="R308" s="421"/>
      <c r="S308" s="421"/>
      <c r="T308" s="421"/>
      <c r="U308" s="421"/>
      <c r="V308" s="421"/>
      <c r="W308" s="421"/>
      <c r="X308" s="421"/>
      <c r="Y308" s="421"/>
      <c r="Z308" s="421"/>
      <c r="AA308" s="421"/>
      <c r="AB308" s="421"/>
      <c r="AC308" s="421"/>
      <c r="AD308" s="421"/>
      <c r="AE308" s="421"/>
      <c r="AF308" s="422"/>
      <c r="AG308" s="421"/>
      <c r="AH308" s="421"/>
      <c r="AI308" s="421"/>
      <c r="AJ308" s="421"/>
      <c r="AK308" s="423"/>
    </row>
    <row r="309" spans="1:37" ht="30" customHeight="1" x14ac:dyDescent="0.2">
      <c r="A309" s="73"/>
      <c r="B309" s="121">
        <v>2</v>
      </c>
      <c r="C309" s="35" t="s">
        <v>317</v>
      </c>
      <c r="D309" s="36"/>
      <c r="E309" s="36"/>
      <c r="F309" s="36"/>
      <c r="G309" s="36"/>
      <c r="H309" s="37"/>
      <c r="I309" s="36"/>
      <c r="J309" s="36"/>
      <c r="K309" s="221"/>
      <c r="L309" s="221"/>
      <c r="M309" s="36"/>
      <c r="N309" s="37"/>
      <c r="O309" s="36"/>
      <c r="P309" s="36"/>
      <c r="Q309" s="402"/>
      <c r="R309" s="402"/>
      <c r="S309" s="402"/>
      <c r="T309" s="402"/>
      <c r="U309" s="402"/>
      <c r="V309" s="402"/>
      <c r="W309" s="402"/>
      <c r="X309" s="402"/>
      <c r="Y309" s="402"/>
      <c r="Z309" s="402"/>
      <c r="AA309" s="402"/>
      <c r="AB309" s="402"/>
      <c r="AC309" s="402"/>
      <c r="AD309" s="402"/>
      <c r="AE309" s="402"/>
      <c r="AF309" s="403"/>
      <c r="AG309" s="402"/>
      <c r="AH309" s="402"/>
      <c r="AI309" s="402"/>
      <c r="AJ309" s="402"/>
      <c r="AK309" s="407"/>
    </row>
    <row r="310" spans="1:37" ht="30" customHeight="1" x14ac:dyDescent="0.2">
      <c r="A310" s="39"/>
      <c r="B310" s="73"/>
      <c r="C310" s="661"/>
      <c r="D310" s="655"/>
      <c r="E310" s="661"/>
      <c r="F310" s="661"/>
      <c r="G310" s="215">
        <v>4</v>
      </c>
      <c r="H310" s="76" t="s">
        <v>410</v>
      </c>
      <c r="I310" s="77"/>
      <c r="J310" s="77"/>
      <c r="K310" s="217"/>
      <c r="L310" s="217"/>
      <c r="M310" s="77"/>
      <c r="N310" s="169"/>
      <c r="O310" s="77"/>
      <c r="P310" s="77"/>
      <c r="Q310" s="263"/>
      <c r="R310" s="263"/>
      <c r="S310" s="263"/>
      <c r="T310" s="263"/>
      <c r="U310" s="263"/>
      <c r="V310" s="263"/>
      <c r="W310" s="263"/>
      <c r="X310" s="263"/>
      <c r="Y310" s="263"/>
      <c r="Z310" s="263"/>
      <c r="AA310" s="263"/>
      <c r="AB310" s="263"/>
      <c r="AC310" s="263"/>
      <c r="AD310" s="263"/>
      <c r="AE310" s="263"/>
      <c r="AF310" s="404"/>
      <c r="AG310" s="263"/>
      <c r="AH310" s="263"/>
      <c r="AI310" s="263"/>
      <c r="AJ310" s="263"/>
      <c r="AK310" s="265"/>
    </row>
    <row r="311" spans="1:37" ht="124.5" customHeight="1" x14ac:dyDescent="0.2">
      <c r="A311" s="39"/>
      <c r="B311" s="39"/>
      <c r="C311" s="661" t="s">
        <v>1053</v>
      </c>
      <c r="D311" s="655" t="s">
        <v>1052</v>
      </c>
      <c r="E311" s="662" t="s">
        <v>411</v>
      </c>
      <c r="F311" s="662" t="s">
        <v>412</v>
      </c>
      <c r="G311" s="679"/>
      <c r="H311" s="54">
        <v>21</v>
      </c>
      <c r="I311" s="679" t="s">
        <v>413</v>
      </c>
      <c r="J311" s="54">
        <v>20</v>
      </c>
      <c r="K311" s="165">
        <v>100</v>
      </c>
      <c r="L311" s="784">
        <v>2017003630069</v>
      </c>
      <c r="M311" s="774" t="s">
        <v>96</v>
      </c>
      <c r="N311" s="774" t="s">
        <v>414</v>
      </c>
      <c r="O311" s="774" t="s">
        <v>974</v>
      </c>
      <c r="P311" s="54" t="s">
        <v>61</v>
      </c>
      <c r="Q311" s="391">
        <v>0</v>
      </c>
      <c r="R311" s="391">
        <v>0</v>
      </c>
      <c r="S311" s="391">
        <v>0</v>
      </c>
      <c r="T311" s="391">
        <v>0</v>
      </c>
      <c r="U311" s="391">
        <v>0</v>
      </c>
      <c r="V311" s="391">
        <v>0</v>
      </c>
      <c r="W311" s="391">
        <v>0</v>
      </c>
      <c r="X311" s="391"/>
      <c r="Y311" s="391"/>
      <c r="Z311" s="391">
        <v>0</v>
      </c>
      <c r="AA311" s="391">
        <v>0</v>
      </c>
      <c r="AB311" s="391"/>
      <c r="AC311" s="391"/>
      <c r="AD311" s="391">
        <v>0</v>
      </c>
      <c r="AE311" s="391">
        <v>0</v>
      </c>
      <c r="AF311" s="394">
        <f>28000000+16000000+20000000</f>
        <v>64000000</v>
      </c>
      <c r="AG311" s="394"/>
      <c r="AH311" s="391">
        <v>0</v>
      </c>
      <c r="AI311" s="393"/>
      <c r="AJ311" s="393"/>
      <c r="AK311" s="391">
        <f>Q311+R311+S311+T311+U311+V311+W311+X311+Y311+Z311+AA311+AB311+AC311+AD311+AE311+AF311+AG311+AH311+AI311+AJ311</f>
        <v>64000000</v>
      </c>
    </row>
    <row r="312" spans="1:37" ht="115.5" customHeight="1" x14ac:dyDescent="0.2">
      <c r="A312" s="39"/>
      <c r="B312" s="39"/>
      <c r="C312" s="661" t="s">
        <v>1053</v>
      </c>
      <c r="D312" s="655" t="s">
        <v>1052</v>
      </c>
      <c r="E312" s="54" t="s">
        <v>411</v>
      </c>
      <c r="F312" s="54" t="s">
        <v>412</v>
      </c>
      <c r="G312" s="679"/>
      <c r="H312" s="677">
        <v>22</v>
      </c>
      <c r="I312" s="679" t="s">
        <v>416</v>
      </c>
      <c r="J312" s="54">
        <v>0</v>
      </c>
      <c r="K312" s="165">
        <v>2</v>
      </c>
      <c r="L312" s="785"/>
      <c r="M312" s="775"/>
      <c r="N312" s="775"/>
      <c r="O312" s="775"/>
      <c r="P312" s="54" t="s">
        <v>61</v>
      </c>
      <c r="Q312" s="391"/>
      <c r="R312" s="391"/>
      <c r="S312" s="391"/>
      <c r="T312" s="391"/>
      <c r="U312" s="391"/>
      <c r="V312" s="391"/>
      <c r="W312" s="391"/>
      <c r="X312" s="391"/>
      <c r="Y312" s="391"/>
      <c r="Z312" s="391"/>
      <c r="AA312" s="391"/>
      <c r="AB312" s="391"/>
      <c r="AC312" s="391"/>
      <c r="AD312" s="391"/>
      <c r="AE312" s="391"/>
      <c r="AF312" s="394">
        <v>28000000</v>
      </c>
      <c r="AG312" s="394"/>
      <c r="AH312" s="391"/>
      <c r="AI312" s="393"/>
      <c r="AJ312" s="393"/>
      <c r="AK312" s="391">
        <f>Q312+R312+S312+T312+U312+V312+W312+X312+Y312+Z312+AA312+AB312+AC312+AD312+AE312+AF312+AG312+AH312+AI312+AJ312</f>
        <v>28000000</v>
      </c>
    </row>
    <row r="313" spans="1:37" ht="132.75" customHeight="1" x14ac:dyDescent="0.2">
      <c r="A313" s="39"/>
      <c r="B313" s="39"/>
      <c r="C313" s="661" t="s">
        <v>1053</v>
      </c>
      <c r="D313" s="655" t="s">
        <v>1052</v>
      </c>
      <c r="E313" s="54" t="s">
        <v>411</v>
      </c>
      <c r="F313" s="54" t="s">
        <v>412</v>
      </c>
      <c r="G313" s="679"/>
      <c r="H313" s="677">
        <v>23</v>
      </c>
      <c r="I313" s="679" t="s">
        <v>417</v>
      </c>
      <c r="J313" s="54">
        <v>0</v>
      </c>
      <c r="K313" s="165">
        <v>1</v>
      </c>
      <c r="L313" s="785"/>
      <c r="M313" s="775"/>
      <c r="N313" s="775"/>
      <c r="O313" s="775"/>
      <c r="P313" s="54" t="s">
        <v>46</v>
      </c>
      <c r="Q313" s="391"/>
      <c r="R313" s="391"/>
      <c r="S313" s="391"/>
      <c r="T313" s="391"/>
      <c r="U313" s="391"/>
      <c r="V313" s="391"/>
      <c r="W313" s="391"/>
      <c r="X313" s="391"/>
      <c r="Y313" s="391"/>
      <c r="Z313" s="391"/>
      <c r="AA313" s="391"/>
      <c r="AB313" s="391"/>
      <c r="AC313" s="391"/>
      <c r="AD313" s="391"/>
      <c r="AE313" s="391"/>
      <c r="AF313" s="394">
        <f>114000000+30000000</f>
        <v>144000000</v>
      </c>
      <c r="AG313" s="394"/>
      <c r="AH313" s="391"/>
      <c r="AI313" s="393"/>
      <c r="AJ313" s="393"/>
      <c r="AK313" s="391">
        <f>Q313+R313+S313+T313+U313+V313+W313+X313+Y313+Z313+AA313+AB313+AC313+AD313+AE313+AF313+AG313+AH313+AI313+AJ313</f>
        <v>144000000</v>
      </c>
    </row>
    <row r="314" spans="1:37" ht="111" customHeight="1" x14ac:dyDescent="0.2">
      <c r="A314" s="39"/>
      <c r="B314" s="39"/>
      <c r="C314" s="54" t="s">
        <v>1053</v>
      </c>
      <c r="D314" s="679" t="s">
        <v>1052</v>
      </c>
      <c r="E314" s="661" t="s">
        <v>411</v>
      </c>
      <c r="F314" s="661" t="s">
        <v>412</v>
      </c>
      <c r="G314" s="679"/>
      <c r="H314" s="677">
        <v>24</v>
      </c>
      <c r="I314" s="679" t="s">
        <v>418</v>
      </c>
      <c r="J314" s="54">
        <v>0</v>
      </c>
      <c r="K314" s="726">
        <v>1</v>
      </c>
      <c r="L314" s="786"/>
      <c r="M314" s="776"/>
      <c r="N314" s="776"/>
      <c r="O314" s="776"/>
      <c r="P314" s="54" t="s">
        <v>46</v>
      </c>
      <c r="Q314" s="391"/>
      <c r="R314" s="391"/>
      <c r="S314" s="391"/>
      <c r="T314" s="391"/>
      <c r="U314" s="391"/>
      <c r="V314" s="391"/>
      <c r="W314" s="391"/>
      <c r="X314" s="391"/>
      <c r="Y314" s="391"/>
      <c r="Z314" s="391"/>
      <c r="AA314" s="391"/>
      <c r="AB314" s="391"/>
      <c r="AC314" s="391"/>
      <c r="AD314" s="391"/>
      <c r="AE314" s="391"/>
      <c r="AF314" s="394">
        <f>29000000+15000000+50000000</f>
        <v>94000000</v>
      </c>
      <c r="AG314" s="394"/>
      <c r="AH314" s="391"/>
      <c r="AI314" s="393"/>
      <c r="AJ314" s="393"/>
      <c r="AK314" s="391">
        <f>Q314+R314+S314+T314+U314+V314+W314+X314+Y314+Z314+AA314+AB314+AC314+AD314+AE314+AF314+AG314+AH314+AI314+AJ314</f>
        <v>94000000</v>
      </c>
    </row>
    <row r="315" spans="1:37" ht="33.75" customHeight="1" x14ac:dyDescent="0.2">
      <c r="A315" s="39"/>
      <c r="B315" s="39"/>
      <c r="C315" s="662"/>
      <c r="D315" s="657"/>
      <c r="E315" s="54"/>
      <c r="F315" s="54"/>
      <c r="G315" s="235"/>
      <c r="H315" s="235"/>
      <c r="I315" s="153"/>
      <c r="J315" s="152"/>
      <c r="K315" s="236"/>
      <c r="L315" s="237"/>
      <c r="M315" s="162"/>
      <c r="N315" s="162"/>
      <c r="O315" s="162"/>
      <c r="P315" s="152"/>
      <c r="Q315" s="424">
        <f t="shared" ref="Q315:AJ315" si="77">SUM(Q311:Q314)</f>
        <v>0</v>
      </c>
      <c r="R315" s="424">
        <f t="shared" si="77"/>
        <v>0</v>
      </c>
      <c r="S315" s="424">
        <f t="shared" si="77"/>
        <v>0</v>
      </c>
      <c r="T315" s="424">
        <f t="shared" si="77"/>
        <v>0</v>
      </c>
      <c r="U315" s="424">
        <f t="shared" si="77"/>
        <v>0</v>
      </c>
      <c r="V315" s="424">
        <f t="shared" si="77"/>
        <v>0</v>
      </c>
      <c r="W315" s="424">
        <f t="shared" si="77"/>
        <v>0</v>
      </c>
      <c r="X315" s="424">
        <f t="shared" si="77"/>
        <v>0</v>
      </c>
      <c r="Y315" s="424">
        <f t="shared" si="77"/>
        <v>0</v>
      </c>
      <c r="Z315" s="424">
        <f t="shared" si="77"/>
        <v>0</v>
      </c>
      <c r="AA315" s="424">
        <f t="shared" si="77"/>
        <v>0</v>
      </c>
      <c r="AB315" s="424">
        <f t="shared" si="77"/>
        <v>0</v>
      </c>
      <c r="AC315" s="424">
        <f t="shared" si="77"/>
        <v>0</v>
      </c>
      <c r="AD315" s="424">
        <f t="shared" si="77"/>
        <v>0</v>
      </c>
      <c r="AE315" s="424">
        <f t="shared" si="77"/>
        <v>0</v>
      </c>
      <c r="AF315" s="424">
        <f t="shared" si="77"/>
        <v>330000000</v>
      </c>
      <c r="AG315" s="424">
        <f t="shared" si="77"/>
        <v>0</v>
      </c>
      <c r="AH315" s="424">
        <f t="shared" si="77"/>
        <v>0</v>
      </c>
      <c r="AI315" s="424">
        <f t="shared" si="77"/>
        <v>0</v>
      </c>
      <c r="AJ315" s="424">
        <f t="shared" si="77"/>
        <v>0</v>
      </c>
      <c r="AK315" s="424">
        <f t="shared" ref="AK315" si="78">SUM(AK311:AK314)</f>
        <v>330000000</v>
      </c>
    </row>
    <row r="316" spans="1:37" ht="81" customHeight="1" x14ac:dyDescent="0.2">
      <c r="A316" s="39"/>
      <c r="B316" s="39"/>
      <c r="C316" s="677"/>
      <c r="D316" s="679"/>
      <c r="E316" s="54"/>
      <c r="F316" s="54"/>
      <c r="G316" s="657"/>
      <c r="H316" s="188"/>
      <c r="I316" s="679"/>
      <c r="J316" s="54"/>
      <c r="K316" s="216"/>
      <c r="L316" s="238"/>
      <c r="M316" s="662"/>
      <c r="N316" s="662"/>
      <c r="O316" s="662"/>
      <c r="P316" s="54"/>
      <c r="Q316" s="391"/>
      <c r="R316" s="417"/>
      <c r="S316" s="391"/>
      <c r="T316" s="391"/>
      <c r="U316" s="391"/>
      <c r="V316" s="391"/>
      <c r="W316" s="391"/>
      <c r="X316" s="391"/>
      <c r="Y316" s="391"/>
      <c r="Z316" s="391"/>
      <c r="AA316" s="391"/>
      <c r="AB316" s="391"/>
      <c r="AC316" s="391"/>
      <c r="AD316" s="391"/>
      <c r="AE316" s="391"/>
      <c r="AF316" s="394" t="s">
        <v>63</v>
      </c>
      <c r="AG316" s="394"/>
      <c r="AH316" s="393"/>
      <c r="AI316" s="393"/>
      <c r="AJ316" s="393"/>
      <c r="AK316" s="393" t="s">
        <v>63</v>
      </c>
    </row>
    <row r="317" spans="1:37" ht="32.25" customHeight="1" x14ac:dyDescent="0.2">
      <c r="A317" s="39"/>
      <c r="B317" s="39"/>
      <c r="C317" s="661"/>
      <c r="D317" s="655"/>
      <c r="E317" s="661"/>
      <c r="F317" s="661"/>
      <c r="G317" s="235">
        <v>5</v>
      </c>
      <c r="H317" s="239" t="s">
        <v>419</v>
      </c>
      <c r="I317" s="153"/>
      <c r="J317" s="152"/>
      <c r="K317" s="236"/>
      <c r="L317" s="236"/>
      <c r="M317" s="152"/>
      <c r="N317" s="152"/>
      <c r="O317" s="152"/>
      <c r="P317" s="152"/>
      <c r="Q317" s="424"/>
      <c r="R317" s="424"/>
      <c r="S317" s="424"/>
      <c r="T317" s="424"/>
      <c r="U317" s="424"/>
      <c r="V317" s="424"/>
      <c r="W317" s="424"/>
      <c r="X317" s="424"/>
      <c r="Y317" s="424"/>
      <c r="Z317" s="424"/>
      <c r="AA317" s="424"/>
      <c r="AB317" s="424"/>
      <c r="AC317" s="424"/>
      <c r="AD317" s="424"/>
      <c r="AE317" s="424"/>
      <c r="AF317" s="453"/>
      <c r="AG317" s="453"/>
      <c r="AH317" s="453">
        <f>SUM(AH311:AH314)</f>
        <v>0</v>
      </c>
      <c r="AI317" s="453"/>
      <c r="AJ317" s="453"/>
      <c r="AK317" s="453"/>
    </row>
    <row r="318" spans="1:37" ht="120.75" customHeight="1" x14ac:dyDescent="0.2">
      <c r="A318" s="39"/>
      <c r="B318" s="39"/>
      <c r="C318" s="661" t="s">
        <v>1053</v>
      </c>
      <c r="D318" s="655" t="s">
        <v>1052</v>
      </c>
      <c r="E318" s="662" t="s">
        <v>411</v>
      </c>
      <c r="F318" s="662" t="s">
        <v>412</v>
      </c>
      <c r="G318" s="139"/>
      <c r="H318" s="54">
        <v>25</v>
      </c>
      <c r="I318" s="679" t="s">
        <v>420</v>
      </c>
      <c r="J318" s="54" t="s">
        <v>37</v>
      </c>
      <c r="K318" s="165">
        <v>2</v>
      </c>
      <c r="L318" s="784">
        <v>2017003630061</v>
      </c>
      <c r="M318" s="774" t="s">
        <v>96</v>
      </c>
      <c r="N318" s="774" t="s">
        <v>421</v>
      </c>
      <c r="O318" s="774" t="s">
        <v>975</v>
      </c>
      <c r="P318" s="54" t="s">
        <v>61</v>
      </c>
      <c r="Q318" s="391"/>
      <c r="R318" s="391"/>
      <c r="S318" s="391"/>
      <c r="T318" s="391"/>
      <c r="U318" s="391"/>
      <c r="V318" s="391"/>
      <c r="W318" s="391"/>
      <c r="X318" s="391"/>
      <c r="Y318" s="391"/>
      <c r="Z318" s="391"/>
      <c r="AA318" s="391"/>
      <c r="AB318" s="391"/>
      <c r="AC318" s="391"/>
      <c r="AD318" s="391"/>
      <c r="AE318" s="391"/>
      <c r="AF318" s="394">
        <v>150000000</v>
      </c>
      <c r="AG318" s="394"/>
      <c r="AH318" s="391"/>
      <c r="AI318" s="638">
        <f>600000000-600000000</f>
        <v>0</v>
      </c>
      <c r="AJ318" s="393"/>
      <c r="AK318" s="391">
        <f t="shared" ref="AK318:AK323" si="79">Q318+R318+S318+T318+U318+V318+W318+X318+Y318+Z318+AA318+AB318+AC318+AD318+AE318+AF318+AG318+AH318+AI318+AJ318</f>
        <v>150000000</v>
      </c>
    </row>
    <row r="319" spans="1:37" ht="120.75" customHeight="1" x14ac:dyDescent="0.2">
      <c r="A319" s="39"/>
      <c r="B319" s="39"/>
      <c r="C319" s="661" t="s">
        <v>1053</v>
      </c>
      <c r="D319" s="655" t="s">
        <v>1052</v>
      </c>
      <c r="E319" s="54" t="s">
        <v>411</v>
      </c>
      <c r="F319" s="54" t="s">
        <v>412</v>
      </c>
      <c r="G319" s="139"/>
      <c r="H319" s="54">
        <v>26</v>
      </c>
      <c r="I319" s="679" t="s">
        <v>422</v>
      </c>
      <c r="J319" s="54" t="s">
        <v>37</v>
      </c>
      <c r="K319" s="165">
        <v>2</v>
      </c>
      <c r="L319" s="785"/>
      <c r="M319" s="775"/>
      <c r="N319" s="775"/>
      <c r="O319" s="775"/>
      <c r="P319" s="54" t="s">
        <v>61</v>
      </c>
      <c r="Q319" s="391"/>
      <c r="R319" s="391"/>
      <c r="S319" s="391"/>
      <c r="T319" s="391"/>
      <c r="U319" s="391"/>
      <c r="V319" s="391"/>
      <c r="W319" s="391"/>
      <c r="X319" s="391"/>
      <c r="Y319" s="391"/>
      <c r="Z319" s="391"/>
      <c r="AA319" s="391"/>
      <c r="AB319" s="391"/>
      <c r="AC319" s="391"/>
      <c r="AD319" s="391"/>
      <c r="AE319" s="391"/>
      <c r="AF319" s="394">
        <v>28000000</v>
      </c>
      <c r="AG319" s="394"/>
      <c r="AH319" s="391"/>
      <c r="AI319" s="638">
        <f>400000000-400000000</f>
        <v>0</v>
      </c>
      <c r="AJ319" s="393"/>
      <c r="AK319" s="391">
        <f t="shared" si="79"/>
        <v>28000000</v>
      </c>
    </row>
    <row r="320" spans="1:37" ht="120.75" customHeight="1" x14ac:dyDescent="0.2">
      <c r="A320" s="39"/>
      <c r="B320" s="39"/>
      <c r="C320" s="661" t="s">
        <v>1053</v>
      </c>
      <c r="D320" s="655" t="s">
        <v>1052</v>
      </c>
      <c r="E320" s="54" t="s">
        <v>411</v>
      </c>
      <c r="F320" s="54" t="s">
        <v>412</v>
      </c>
      <c r="G320" s="139"/>
      <c r="H320" s="54">
        <v>27</v>
      </c>
      <c r="I320" s="679" t="s">
        <v>423</v>
      </c>
      <c r="J320" s="54">
        <v>0</v>
      </c>
      <c r="K320" s="165">
        <v>2</v>
      </c>
      <c r="L320" s="785"/>
      <c r="M320" s="775"/>
      <c r="N320" s="775"/>
      <c r="O320" s="775"/>
      <c r="P320" s="54" t="s">
        <v>61</v>
      </c>
      <c r="Q320" s="391"/>
      <c r="R320" s="391"/>
      <c r="S320" s="391"/>
      <c r="T320" s="391"/>
      <c r="U320" s="391"/>
      <c r="V320" s="391"/>
      <c r="W320" s="391"/>
      <c r="X320" s="391"/>
      <c r="Y320" s="391"/>
      <c r="Z320" s="391"/>
      <c r="AA320" s="391"/>
      <c r="AB320" s="391"/>
      <c r="AC320" s="391"/>
      <c r="AD320" s="391"/>
      <c r="AE320" s="391"/>
      <c r="AF320" s="394"/>
      <c r="AG320" s="394"/>
      <c r="AH320" s="391"/>
      <c r="AI320" s="393"/>
      <c r="AJ320" s="393"/>
      <c r="AK320" s="391">
        <f t="shared" si="79"/>
        <v>0</v>
      </c>
    </row>
    <row r="321" spans="1:37" ht="120.75" customHeight="1" x14ac:dyDescent="0.2">
      <c r="A321" s="39"/>
      <c r="B321" s="39"/>
      <c r="C321" s="661" t="s">
        <v>1053</v>
      </c>
      <c r="D321" s="655" t="s">
        <v>1052</v>
      </c>
      <c r="E321" s="54" t="s">
        <v>411</v>
      </c>
      <c r="F321" s="54" t="s">
        <v>412</v>
      </c>
      <c r="G321" s="139"/>
      <c r="H321" s="54">
        <v>28</v>
      </c>
      <c r="I321" s="679" t="s">
        <v>424</v>
      </c>
      <c r="J321" s="54" t="s">
        <v>37</v>
      </c>
      <c r="K321" s="165">
        <v>2</v>
      </c>
      <c r="L321" s="786"/>
      <c r="M321" s="775"/>
      <c r="N321" s="776"/>
      <c r="O321" s="776"/>
      <c r="P321" s="54" t="s">
        <v>61</v>
      </c>
      <c r="Q321" s="391"/>
      <c r="R321" s="391"/>
      <c r="S321" s="391"/>
      <c r="T321" s="391"/>
      <c r="U321" s="391"/>
      <c r="V321" s="391"/>
      <c r="W321" s="391"/>
      <c r="X321" s="391"/>
      <c r="Y321" s="391"/>
      <c r="Z321" s="391"/>
      <c r="AA321" s="391"/>
      <c r="AB321" s="391"/>
      <c r="AC321" s="391"/>
      <c r="AD321" s="391"/>
      <c r="AE321" s="391"/>
      <c r="AF321" s="394">
        <v>21000000</v>
      </c>
      <c r="AG321" s="394"/>
      <c r="AH321" s="391"/>
      <c r="AI321" s="393"/>
      <c r="AJ321" s="393"/>
      <c r="AK321" s="391">
        <f t="shared" si="79"/>
        <v>21000000</v>
      </c>
    </row>
    <row r="322" spans="1:37" ht="120.75" customHeight="1" x14ac:dyDescent="0.2">
      <c r="A322" s="39"/>
      <c r="B322" s="39"/>
      <c r="C322" s="661" t="s">
        <v>1053</v>
      </c>
      <c r="D322" s="655" t="s">
        <v>1052</v>
      </c>
      <c r="E322" s="54" t="s">
        <v>411</v>
      </c>
      <c r="F322" s="54" t="s">
        <v>412</v>
      </c>
      <c r="G322" s="139"/>
      <c r="H322" s="54">
        <v>29</v>
      </c>
      <c r="I322" s="679" t="s">
        <v>425</v>
      </c>
      <c r="J322" s="54">
        <v>0</v>
      </c>
      <c r="K322" s="165">
        <v>1</v>
      </c>
      <c r="L322" s="43">
        <v>2017003630076</v>
      </c>
      <c r="M322" s="775"/>
      <c r="N322" s="662" t="s">
        <v>426</v>
      </c>
      <c r="O322" s="662" t="s">
        <v>427</v>
      </c>
      <c r="P322" s="54" t="s">
        <v>46</v>
      </c>
      <c r="Q322" s="391"/>
      <c r="R322" s="391"/>
      <c r="S322" s="391"/>
      <c r="T322" s="391"/>
      <c r="U322" s="391"/>
      <c r="V322" s="391"/>
      <c r="W322" s="391"/>
      <c r="X322" s="391"/>
      <c r="Y322" s="391"/>
      <c r="Z322" s="391"/>
      <c r="AA322" s="391"/>
      <c r="AB322" s="391"/>
      <c r="AC322" s="391"/>
      <c r="AD322" s="391"/>
      <c r="AE322" s="391"/>
      <c r="AF322" s="394">
        <v>14000000</v>
      </c>
      <c r="AG322" s="394"/>
      <c r="AH322" s="391"/>
      <c r="AI322" s="393"/>
      <c r="AJ322" s="393"/>
      <c r="AK322" s="391">
        <f t="shared" si="79"/>
        <v>14000000</v>
      </c>
    </row>
    <row r="323" spans="1:37" ht="132" customHeight="1" x14ac:dyDescent="0.2">
      <c r="A323" s="39"/>
      <c r="B323" s="39"/>
      <c r="C323" s="661" t="s">
        <v>1053</v>
      </c>
      <c r="D323" s="655" t="s">
        <v>1052</v>
      </c>
      <c r="E323" s="661" t="s">
        <v>411</v>
      </c>
      <c r="F323" s="661" t="s">
        <v>412</v>
      </c>
      <c r="G323" s="240"/>
      <c r="H323" s="54">
        <v>30</v>
      </c>
      <c r="I323" s="679" t="s">
        <v>428</v>
      </c>
      <c r="J323" s="54">
        <v>1</v>
      </c>
      <c r="K323" s="165">
        <v>1</v>
      </c>
      <c r="L323" s="43">
        <v>2017003630065</v>
      </c>
      <c r="M323" s="776"/>
      <c r="N323" s="41" t="s">
        <v>429</v>
      </c>
      <c r="O323" s="679" t="s">
        <v>430</v>
      </c>
      <c r="P323" s="54" t="s">
        <v>46</v>
      </c>
      <c r="Q323" s="391"/>
      <c r="R323" s="391"/>
      <c r="S323" s="391"/>
      <c r="T323" s="391"/>
      <c r="U323" s="391"/>
      <c r="V323" s="391"/>
      <c r="W323" s="391"/>
      <c r="X323" s="391"/>
      <c r="Y323" s="391"/>
      <c r="Z323" s="391"/>
      <c r="AA323" s="391"/>
      <c r="AB323" s="391"/>
      <c r="AC323" s="391"/>
      <c r="AD323" s="391"/>
      <c r="AE323" s="391"/>
      <c r="AF323" s="394">
        <f>14000000+50000000</f>
        <v>64000000</v>
      </c>
      <c r="AG323" s="394"/>
      <c r="AH323" s="391"/>
      <c r="AI323" s="391"/>
      <c r="AJ323" s="391"/>
      <c r="AK323" s="391">
        <f t="shared" si="79"/>
        <v>64000000</v>
      </c>
    </row>
    <row r="324" spans="1:37" ht="30" customHeight="1" x14ac:dyDescent="0.2">
      <c r="A324" s="39"/>
      <c r="B324" s="39"/>
      <c r="C324" s="662"/>
      <c r="D324" s="657"/>
      <c r="E324" s="662"/>
      <c r="F324" s="662"/>
      <c r="G324" s="75"/>
      <c r="H324" s="241"/>
      <c r="I324" s="242"/>
      <c r="J324" s="243"/>
      <c r="K324" s="244"/>
      <c r="L324" s="244"/>
      <c r="M324" s="243"/>
      <c r="N324" s="243"/>
      <c r="O324" s="242"/>
      <c r="P324" s="243"/>
      <c r="Q324" s="400">
        <f t="shared" ref="Q324:AJ324" si="80">SUM(Q318:Q323)</f>
        <v>0</v>
      </c>
      <c r="R324" s="400">
        <f t="shared" si="80"/>
        <v>0</v>
      </c>
      <c r="S324" s="400">
        <f t="shared" si="80"/>
        <v>0</v>
      </c>
      <c r="T324" s="400">
        <f t="shared" si="80"/>
        <v>0</v>
      </c>
      <c r="U324" s="400">
        <f t="shared" si="80"/>
        <v>0</v>
      </c>
      <c r="V324" s="400">
        <f t="shared" si="80"/>
        <v>0</v>
      </c>
      <c r="W324" s="400">
        <f t="shared" si="80"/>
        <v>0</v>
      </c>
      <c r="X324" s="400">
        <f t="shared" si="80"/>
        <v>0</v>
      </c>
      <c r="Y324" s="400">
        <f t="shared" si="80"/>
        <v>0</v>
      </c>
      <c r="Z324" s="400">
        <f t="shared" si="80"/>
        <v>0</v>
      </c>
      <c r="AA324" s="400">
        <f t="shared" si="80"/>
        <v>0</v>
      </c>
      <c r="AB324" s="400">
        <f t="shared" si="80"/>
        <v>0</v>
      </c>
      <c r="AC324" s="400">
        <f t="shared" si="80"/>
        <v>0</v>
      </c>
      <c r="AD324" s="400">
        <f t="shared" si="80"/>
        <v>0</v>
      </c>
      <c r="AE324" s="400">
        <f t="shared" si="80"/>
        <v>0</v>
      </c>
      <c r="AF324" s="400">
        <f t="shared" si="80"/>
        <v>277000000</v>
      </c>
      <c r="AG324" s="400">
        <f t="shared" si="80"/>
        <v>0</v>
      </c>
      <c r="AH324" s="400">
        <f t="shared" si="80"/>
        <v>0</v>
      </c>
      <c r="AI324" s="400">
        <f t="shared" si="80"/>
        <v>0</v>
      </c>
      <c r="AJ324" s="400">
        <f t="shared" si="80"/>
        <v>0</v>
      </c>
      <c r="AK324" s="400">
        <f t="shared" ref="AK324" si="81">SUM(AK318:AK323)</f>
        <v>277000000</v>
      </c>
    </row>
    <row r="325" spans="1:37" ht="30" customHeight="1" x14ac:dyDescent="0.2">
      <c r="A325" s="39"/>
      <c r="B325" s="39"/>
      <c r="C325" s="146"/>
      <c r="D325" s="69"/>
      <c r="E325" s="146"/>
      <c r="F325" s="146"/>
      <c r="G325" s="245"/>
      <c r="H325" s="123"/>
      <c r="I325" s="69"/>
      <c r="J325" s="146"/>
      <c r="K325" s="219"/>
      <c r="L325" s="219"/>
      <c r="M325" s="146"/>
      <c r="N325" s="146"/>
      <c r="O325" s="69"/>
      <c r="P325" s="146"/>
      <c r="Q325" s="395"/>
      <c r="R325" s="396"/>
      <c r="S325" s="395"/>
      <c r="T325" s="395"/>
      <c r="U325" s="395"/>
      <c r="V325" s="395"/>
      <c r="W325" s="395"/>
      <c r="X325" s="395"/>
      <c r="Y325" s="395"/>
      <c r="Z325" s="395"/>
      <c r="AA325" s="395"/>
      <c r="AB325" s="395"/>
      <c r="AC325" s="395"/>
      <c r="AD325" s="395"/>
      <c r="AE325" s="395"/>
      <c r="AF325" s="397"/>
      <c r="AG325" s="395"/>
      <c r="AH325" s="395"/>
      <c r="AI325" s="395"/>
      <c r="AJ325" s="396"/>
      <c r="AK325" s="395"/>
    </row>
    <row r="326" spans="1:37" ht="30" customHeight="1" x14ac:dyDescent="0.2">
      <c r="A326" s="39"/>
      <c r="B326" s="39"/>
      <c r="C326" s="661"/>
      <c r="D326" s="655"/>
      <c r="E326" s="661"/>
      <c r="F326" s="661"/>
      <c r="G326" s="136">
        <v>6</v>
      </c>
      <c r="H326" s="137" t="s">
        <v>431</v>
      </c>
      <c r="I326" s="77"/>
      <c r="J326" s="77"/>
      <c r="K326" s="217"/>
      <c r="L326" s="217"/>
      <c r="M326" s="77"/>
      <c r="N326" s="169"/>
      <c r="O326" s="77"/>
      <c r="P326" s="77"/>
      <c r="Q326" s="263"/>
      <c r="R326" s="263"/>
      <c r="S326" s="263"/>
      <c r="T326" s="263"/>
      <c r="U326" s="263"/>
      <c r="V326" s="263"/>
      <c r="W326" s="263"/>
      <c r="X326" s="263"/>
      <c r="Y326" s="263"/>
      <c r="Z326" s="263"/>
      <c r="AA326" s="263"/>
      <c r="AB326" s="263"/>
      <c r="AC326" s="263"/>
      <c r="AD326" s="263"/>
      <c r="AE326" s="263"/>
      <c r="AF326" s="404"/>
      <c r="AG326" s="263"/>
      <c r="AH326" s="263"/>
      <c r="AI326" s="263"/>
      <c r="AJ326" s="263"/>
      <c r="AK326" s="265"/>
    </row>
    <row r="327" spans="1:37" ht="57.75" customHeight="1" x14ac:dyDescent="0.2">
      <c r="A327" s="39"/>
      <c r="B327" s="39"/>
      <c r="C327" s="662">
        <v>5</v>
      </c>
      <c r="D327" s="657" t="s">
        <v>432</v>
      </c>
      <c r="E327" s="662">
        <v>12.9</v>
      </c>
      <c r="F327" s="662">
        <v>8.9</v>
      </c>
      <c r="G327" s="246"/>
      <c r="H327" s="41">
        <v>31</v>
      </c>
      <c r="I327" s="679" t="s">
        <v>433</v>
      </c>
      <c r="J327" s="54" t="s">
        <v>37</v>
      </c>
      <c r="K327" s="578">
        <v>4</v>
      </c>
      <c r="L327" s="784">
        <v>2017003630073</v>
      </c>
      <c r="M327" s="777" t="s">
        <v>96</v>
      </c>
      <c r="N327" s="774" t="s">
        <v>434</v>
      </c>
      <c r="O327" s="777" t="s">
        <v>976</v>
      </c>
      <c r="P327" s="54" t="s">
        <v>46</v>
      </c>
      <c r="Q327" s="391"/>
      <c r="R327" s="391"/>
      <c r="S327" s="391"/>
      <c r="T327" s="391"/>
      <c r="U327" s="391"/>
      <c r="V327" s="391"/>
      <c r="W327" s="391"/>
      <c r="X327" s="391"/>
      <c r="Y327" s="391"/>
      <c r="Z327" s="391"/>
      <c r="AA327" s="391"/>
      <c r="AB327" s="391"/>
      <c r="AC327" s="391"/>
      <c r="AD327" s="391"/>
      <c r="AE327" s="391"/>
      <c r="AF327" s="634">
        <f>60000000+44000000+15000000</f>
        <v>119000000</v>
      </c>
      <c r="AG327" s="392"/>
      <c r="AH327" s="391"/>
      <c r="AI327" s="393"/>
      <c r="AJ327" s="393"/>
      <c r="AK327" s="391">
        <f>Q327+R327+S327+T327+U327+V327+W327+X327+Y327+Z327+AA327+AB327+AC327+AD327+AE327+AF327+AG327+AH327+AI327+AJ327</f>
        <v>119000000</v>
      </c>
    </row>
    <row r="328" spans="1:37" ht="57.75" customHeight="1" x14ac:dyDescent="0.2">
      <c r="A328" s="39"/>
      <c r="B328" s="39"/>
      <c r="C328" s="668">
        <v>6</v>
      </c>
      <c r="D328" s="656" t="s">
        <v>436</v>
      </c>
      <c r="E328" s="650">
        <v>3.4</v>
      </c>
      <c r="F328" s="650">
        <v>4.5999999999999996</v>
      </c>
      <c r="G328" s="246"/>
      <c r="H328" s="41">
        <v>32</v>
      </c>
      <c r="I328" s="679" t="s">
        <v>437</v>
      </c>
      <c r="J328" s="54" t="s">
        <v>37</v>
      </c>
      <c r="K328" s="165">
        <v>30</v>
      </c>
      <c r="L328" s="785"/>
      <c r="M328" s="778"/>
      <c r="N328" s="775"/>
      <c r="O328" s="778"/>
      <c r="P328" s="54" t="s">
        <v>61</v>
      </c>
      <c r="Q328" s="391">
        <v>0</v>
      </c>
      <c r="R328" s="391">
        <v>0</v>
      </c>
      <c r="S328" s="391">
        <v>0</v>
      </c>
      <c r="T328" s="391">
        <v>0</v>
      </c>
      <c r="U328" s="391">
        <v>0</v>
      </c>
      <c r="V328" s="391">
        <v>0</v>
      </c>
      <c r="W328" s="391">
        <v>0</v>
      </c>
      <c r="X328" s="391"/>
      <c r="Y328" s="391"/>
      <c r="Z328" s="391">
        <v>0</v>
      </c>
      <c r="AA328" s="391">
        <v>0</v>
      </c>
      <c r="AB328" s="391"/>
      <c r="AC328" s="391"/>
      <c r="AD328" s="391">
        <v>0</v>
      </c>
      <c r="AE328" s="391">
        <v>0</v>
      </c>
      <c r="AF328" s="634">
        <f>106000000+34000000+30000000+35000000</f>
        <v>205000000</v>
      </c>
      <c r="AG328" s="392"/>
      <c r="AH328" s="391">
        <v>0</v>
      </c>
      <c r="AI328" s="393"/>
      <c r="AJ328" s="393">
        <v>0</v>
      </c>
      <c r="AK328" s="391">
        <f>Q328+R328+S328+T328+U328+V328+W328+X328+Y328+Z328+AA328+AB328+AC328+AD328+AE328+AF328+AG328+AH328+AI328+AJ328</f>
        <v>205000000</v>
      </c>
    </row>
    <row r="329" spans="1:37" ht="57.75" customHeight="1" x14ac:dyDescent="0.2">
      <c r="A329" s="39"/>
      <c r="B329" s="39"/>
      <c r="C329" s="185">
        <v>7</v>
      </c>
      <c r="D329" s="657" t="s">
        <v>438</v>
      </c>
      <c r="E329" s="662">
        <v>31.7</v>
      </c>
      <c r="F329" s="662">
        <v>27</v>
      </c>
      <c r="G329" s="246"/>
      <c r="H329" s="41">
        <v>33</v>
      </c>
      <c r="I329" s="679" t="s">
        <v>439</v>
      </c>
      <c r="J329" s="54" t="s">
        <v>37</v>
      </c>
      <c r="K329" s="165">
        <v>400</v>
      </c>
      <c r="L329" s="785"/>
      <c r="M329" s="778"/>
      <c r="N329" s="775"/>
      <c r="O329" s="778"/>
      <c r="P329" s="54" t="s">
        <v>61</v>
      </c>
      <c r="Q329" s="454">
        <v>0</v>
      </c>
      <c r="R329" s="391">
        <v>0</v>
      </c>
      <c r="S329" s="391">
        <v>0</v>
      </c>
      <c r="T329" s="391">
        <v>0</v>
      </c>
      <c r="U329" s="391">
        <v>0</v>
      </c>
      <c r="V329" s="391">
        <v>0</v>
      </c>
      <c r="W329" s="391">
        <v>0</v>
      </c>
      <c r="X329" s="391"/>
      <c r="Y329" s="391"/>
      <c r="Z329" s="391">
        <v>0</v>
      </c>
      <c r="AA329" s="391">
        <v>0</v>
      </c>
      <c r="AB329" s="391"/>
      <c r="AC329" s="391"/>
      <c r="AD329" s="391">
        <v>0</v>
      </c>
      <c r="AE329" s="391">
        <v>0</v>
      </c>
      <c r="AF329" s="634">
        <f>16000000+12000000</f>
        <v>28000000</v>
      </c>
      <c r="AG329" s="392"/>
      <c r="AH329" s="391">
        <v>0</v>
      </c>
      <c r="AI329" s="393"/>
      <c r="AJ329" s="393">
        <v>0</v>
      </c>
      <c r="AK329" s="391">
        <f>Q329+R329+S329+T329+U329+V329+W329+X329+Y329+Z329+AA329+AB329+AC329+AD329+AE329+AF329+AG329+AH329+AI329+AJ329</f>
        <v>28000000</v>
      </c>
    </row>
    <row r="330" spans="1:37" ht="101.25" customHeight="1" x14ac:dyDescent="0.2">
      <c r="A330" s="39"/>
      <c r="B330" s="39"/>
      <c r="C330" s="661"/>
      <c r="D330" s="655"/>
      <c r="E330" s="661"/>
      <c r="F330" s="661"/>
      <c r="G330" s="247"/>
      <c r="H330" s="41">
        <v>34</v>
      </c>
      <c r="I330" s="679" t="s">
        <v>440</v>
      </c>
      <c r="J330" s="54" t="s">
        <v>37</v>
      </c>
      <c r="K330" s="165">
        <v>600</v>
      </c>
      <c r="L330" s="786"/>
      <c r="M330" s="779"/>
      <c r="N330" s="776"/>
      <c r="O330" s="779"/>
      <c r="P330" s="54" t="s">
        <v>61</v>
      </c>
      <c r="Q330" s="391">
        <v>0</v>
      </c>
      <c r="R330" s="391">
        <v>0</v>
      </c>
      <c r="S330" s="391">
        <v>0</v>
      </c>
      <c r="T330" s="391">
        <v>0</v>
      </c>
      <c r="U330" s="391">
        <v>0</v>
      </c>
      <c r="V330" s="391">
        <v>0</v>
      </c>
      <c r="W330" s="391">
        <v>0</v>
      </c>
      <c r="X330" s="391"/>
      <c r="Y330" s="391"/>
      <c r="Z330" s="391">
        <v>0</v>
      </c>
      <c r="AA330" s="391">
        <v>0</v>
      </c>
      <c r="AB330" s="391"/>
      <c r="AC330" s="391"/>
      <c r="AD330" s="391">
        <v>0</v>
      </c>
      <c r="AE330" s="391">
        <v>0</v>
      </c>
      <c r="AF330" s="634">
        <f>17000000+11000000</f>
        <v>28000000</v>
      </c>
      <c r="AG330" s="392"/>
      <c r="AH330" s="391">
        <v>0</v>
      </c>
      <c r="AI330" s="393"/>
      <c r="AJ330" s="393">
        <v>0</v>
      </c>
      <c r="AK330" s="391">
        <f>Q330+R330+S330+T330+U330+V330+W330+X330+Y330+Z330+AA330+AB330+AC330+AD330+AE330+AF330+AG330+AH330+AI330+AJ330</f>
        <v>28000000</v>
      </c>
    </row>
    <row r="331" spans="1:37" ht="30" customHeight="1" x14ac:dyDescent="0.2">
      <c r="A331" s="39"/>
      <c r="B331" s="39"/>
      <c r="C331" s="90"/>
      <c r="D331" s="90"/>
      <c r="E331" s="90"/>
      <c r="F331" s="90"/>
      <c r="G331" s="184"/>
      <c r="H331" s="57"/>
      <c r="I331" s="184"/>
      <c r="J331" s="184"/>
      <c r="K331" s="577"/>
      <c r="L331" s="184"/>
      <c r="M331" s="184"/>
      <c r="N331" s="57"/>
      <c r="O331" s="184"/>
      <c r="P331" s="57"/>
      <c r="Q331" s="400">
        <f t="shared" ref="Q331:AJ331" si="82">SUM(Q327:Q330)</f>
        <v>0</v>
      </c>
      <c r="R331" s="400">
        <f t="shared" si="82"/>
        <v>0</v>
      </c>
      <c r="S331" s="400">
        <f t="shared" si="82"/>
        <v>0</v>
      </c>
      <c r="T331" s="400">
        <f t="shared" si="82"/>
        <v>0</v>
      </c>
      <c r="U331" s="400">
        <f t="shared" si="82"/>
        <v>0</v>
      </c>
      <c r="V331" s="400">
        <f t="shared" si="82"/>
        <v>0</v>
      </c>
      <c r="W331" s="400">
        <f t="shared" si="82"/>
        <v>0</v>
      </c>
      <c r="X331" s="400">
        <f t="shared" si="82"/>
        <v>0</v>
      </c>
      <c r="Y331" s="400">
        <f t="shared" si="82"/>
        <v>0</v>
      </c>
      <c r="Z331" s="400">
        <f t="shared" si="82"/>
        <v>0</v>
      </c>
      <c r="AA331" s="400">
        <f t="shared" si="82"/>
        <v>0</v>
      </c>
      <c r="AB331" s="400">
        <f t="shared" si="82"/>
        <v>0</v>
      </c>
      <c r="AC331" s="400">
        <f t="shared" si="82"/>
        <v>0</v>
      </c>
      <c r="AD331" s="400">
        <f t="shared" si="82"/>
        <v>0</v>
      </c>
      <c r="AE331" s="400">
        <f t="shared" si="82"/>
        <v>0</v>
      </c>
      <c r="AF331" s="400">
        <f t="shared" si="82"/>
        <v>380000000</v>
      </c>
      <c r="AG331" s="400">
        <f t="shared" si="82"/>
        <v>0</v>
      </c>
      <c r="AH331" s="400">
        <f t="shared" si="82"/>
        <v>0</v>
      </c>
      <c r="AI331" s="400">
        <f t="shared" si="82"/>
        <v>0</v>
      </c>
      <c r="AJ331" s="400">
        <f t="shared" si="82"/>
        <v>0</v>
      </c>
      <c r="AK331" s="400">
        <f t="shared" ref="AK331" si="83">SUM(AK327:AK330)</f>
        <v>380000000</v>
      </c>
    </row>
    <row r="332" spans="1:37" ht="30" customHeight="1" x14ac:dyDescent="0.2">
      <c r="A332" s="39"/>
      <c r="B332" s="39"/>
      <c r="C332" s="146"/>
      <c r="D332" s="146"/>
      <c r="E332" s="146"/>
      <c r="F332" s="146"/>
      <c r="G332" s="87"/>
      <c r="H332" s="70"/>
      <c r="I332" s="87"/>
      <c r="J332" s="87"/>
      <c r="K332" s="87"/>
      <c r="L332" s="87"/>
      <c r="M332" s="87"/>
      <c r="N332" s="70"/>
      <c r="O332" s="87"/>
      <c r="P332" s="70"/>
      <c r="Q332" s="395"/>
      <c r="R332" s="396"/>
      <c r="S332" s="395"/>
      <c r="T332" s="395"/>
      <c r="U332" s="395"/>
      <c r="V332" s="395"/>
      <c r="W332" s="395"/>
      <c r="X332" s="395"/>
      <c r="Y332" s="395"/>
      <c r="Z332" s="395"/>
      <c r="AA332" s="395"/>
      <c r="AB332" s="395"/>
      <c r="AC332" s="395"/>
      <c r="AD332" s="395"/>
      <c r="AE332" s="395"/>
      <c r="AF332" s="397" t="s">
        <v>63</v>
      </c>
      <c r="AG332" s="398"/>
      <c r="AH332" s="395"/>
      <c r="AI332" s="395"/>
      <c r="AJ332" s="396"/>
      <c r="AK332" s="395" t="s">
        <v>63</v>
      </c>
    </row>
    <row r="333" spans="1:37" ht="30" customHeight="1" x14ac:dyDescent="0.2">
      <c r="A333" s="39"/>
      <c r="B333" s="39"/>
      <c r="C333" s="661"/>
      <c r="D333" s="661"/>
      <c r="E333" s="54"/>
      <c r="F333" s="54"/>
      <c r="G333" s="248">
        <v>7</v>
      </c>
      <c r="H333" s="137" t="s">
        <v>441</v>
      </c>
      <c r="I333" s="77"/>
      <c r="J333" s="77"/>
      <c r="K333" s="77"/>
      <c r="L333" s="77"/>
      <c r="M333" s="77"/>
      <c r="N333" s="169"/>
      <c r="O333" s="77"/>
      <c r="P333" s="77"/>
      <c r="Q333" s="263"/>
      <c r="R333" s="263"/>
      <c r="S333" s="263"/>
      <c r="T333" s="263"/>
      <c r="U333" s="263"/>
      <c r="V333" s="263"/>
      <c r="W333" s="263"/>
      <c r="X333" s="263"/>
      <c r="Y333" s="263"/>
      <c r="Z333" s="263"/>
      <c r="AA333" s="263"/>
      <c r="AB333" s="263"/>
      <c r="AC333" s="263"/>
      <c r="AD333" s="263"/>
      <c r="AE333" s="263"/>
      <c r="AF333" s="404"/>
      <c r="AG333" s="263"/>
      <c r="AH333" s="263"/>
      <c r="AI333" s="263"/>
      <c r="AJ333" s="263"/>
      <c r="AK333" s="265"/>
    </row>
    <row r="334" spans="1:37" ht="127.5" customHeight="1" x14ac:dyDescent="0.2">
      <c r="A334" s="39"/>
      <c r="B334" s="39"/>
      <c r="C334" s="661" t="s">
        <v>1053</v>
      </c>
      <c r="D334" s="655" t="s">
        <v>1052</v>
      </c>
      <c r="E334" s="662" t="s">
        <v>411</v>
      </c>
      <c r="F334" s="662" t="s">
        <v>412</v>
      </c>
      <c r="G334" s="46"/>
      <c r="H334" s="54">
        <v>35</v>
      </c>
      <c r="I334" s="679" t="s">
        <v>442</v>
      </c>
      <c r="J334" s="54">
        <v>0</v>
      </c>
      <c r="K334" s="666">
        <v>5</v>
      </c>
      <c r="L334" s="784">
        <v>2017003630074</v>
      </c>
      <c r="M334" s="774" t="s">
        <v>96</v>
      </c>
      <c r="N334" s="774" t="s">
        <v>443</v>
      </c>
      <c r="O334" s="777" t="s">
        <v>444</v>
      </c>
      <c r="P334" s="54" t="s">
        <v>46</v>
      </c>
      <c r="Q334" s="391"/>
      <c r="R334" s="391"/>
      <c r="S334" s="391"/>
      <c r="T334" s="391"/>
      <c r="U334" s="391"/>
      <c r="V334" s="391"/>
      <c r="W334" s="391"/>
      <c r="X334" s="391"/>
      <c r="Y334" s="391"/>
      <c r="Z334" s="391"/>
      <c r="AA334" s="391"/>
      <c r="AB334" s="391"/>
      <c r="AC334" s="391"/>
      <c r="AD334" s="391"/>
      <c r="AE334" s="391"/>
      <c r="AF334" s="392">
        <f>34000000+10000000</f>
        <v>44000000</v>
      </c>
      <c r="AG334" s="392"/>
      <c r="AH334" s="391"/>
      <c r="AI334" s="393"/>
      <c r="AJ334" s="393"/>
      <c r="AK334" s="391">
        <f>Q334+R334+S334+T334+U334+V334+W334+X334+Y334+Z334+AA334+AB334+AC334+AD334+AE334+AF334+AG334+AH334+AI334+AJ334</f>
        <v>44000000</v>
      </c>
    </row>
    <row r="335" spans="1:37" ht="127.5" customHeight="1" x14ac:dyDescent="0.2">
      <c r="A335" s="39"/>
      <c r="B335" s="39"/>
      <c r="C335" s="661" t="s">
        <v>1053</v>
      </c>
      <c r="D335" s="655" t="s">
        <v>1052</v>
      </c>
      <c r="E335" s="54" t="s">
        <v>411</v>
      </c>
      <c r="F335" s="54" t="s">
        <v>412</v>
      </c>
      <c r="G335" s="90"/>
      <c r="H335" s="54">
        <v>36</v>
      </c>
      <c r="I335" s="679" t="s">
        <v>445</v>
      </c>
      <c r="J335" s="54">
        <v>0</v>
      </c>
      <c r="K335" s="105">
        <v>1</v>
      </c>
      <c r="L335" s="785"/>
      <c r="M335" s="775"/>
      <c r="N335" s="775"/>
      <c r="O335" s="778"/>
      <c r="P335" s="54" t="s">
        <v>61</v>
      </c>
      <c r="Q335" s="391">
        <v>0</v>
      </c>
      <c r="R335" s="391">
        <v>0</v>
      </c>
      <c r="S335" s="391">
        <v>0</v>
      </c>
      <c r="T335" s="391">
        <v>0</v>
      </c>
      <c r="U335" s="391">
        <v>0</v>
      </c>
      <c r="V335" s="391">
        <v>0</v>
      </c>
      <c r="W335" s="391">
        <v>0</v>
      </c>
      <c r="X335" s="391"/>
      <c r="Y335" s="391"/>
      <c r="Z335" s="391">
        <v>0</v>
      </c>
      <c r="AA335" s="391">
        <v>0</v>
      </c>
      <c r="AB335" s="391"/>
      <c r="AC335" s="391"/>
      <c r="AD335" s="391">
        <v>0</v>
      </c>
      <c r="AE335" s="391">
        <v>0</v>
      </c>
      <c r="AF335" s="392">
        <f>19000000+10000000</f>
        <v>29000000</v>
      </c>
      <c r="AG335" s="392"/>
      <c r="AH335" s="391">
        <v>0</v>
      </c>
      <c r="AI335" s="393"/>
      <c r="AJ335" s="393"/>
      <c r="AK335" s="391">
        <f>Q335+R335+S335+T335+U335+V335+W335+X335+Y335+Z335+AA335+AB335+AC335+AD335+AE335+AF335+AG335+AH335+AI335+AJ335</f>
        <v>29000000</v>
      </c>
    </row>
    <row r="336" spans="1:37" ht="127.5" customHeight="1" x14ac:dyDescent="0.2">
      <c r="A336" s="39"/>
      <c r="B336" s="39"/>
      <c r="C336" s="661" t="s">
        <v>1053</v>
      </c>
      <c r="D336" s="655" t="s">
        <v>1052</v>
      </c>
      <c r="E336" s="661" t="s">
        <v>411</v>
      </c>
      <c r="F336" s="661" t="s">
        <v>412</v>
      </c>
      <c r="G336" s="90"/>
      <c r="H336" s="54">
        <v>37</v>
      </c>
      <c r="I336" s="679" t="s">
        <v>446</v>
      </c>
      <c r="J336" s="54">
        <v>0</v>
      </c>
      <c r="K336" s="105">
        <v>1</v>
      </c>
      <c r="L336" s="786"/>
      <c r="M336" s="776"/>
      <c r="N336" s="776"/>
      <c r="O336" s="779"/>
      <c r="P336" s="54" t="s">
        <v>46</v>
      </c>
      <c r="Q336" s="391"/>
      <c r="R336" s="391"/>
      <c r="S336" s="391"/>
      <c r="T336" s="391"/>
      <c r="U336" s="391"/>
      <c r="V336" s="391"/>
      <c r="W336" s="391"/>
      <c r="X336" s="391"/>
      <c r="Y336" s="391"/>
      <c r="Z336" s="391"/>
      <c r="AA336" s="391"/>
      <c r="AB336" s="391"/>
      <c r="AC336" s="391"/>
      <c r="AD336" s="391"/>
      <c r="AE336" s="391"/>
      <c r="AF336" s="391">
        <f>15000000+37000000</f>
        <v>52000000</v>
      </c>
      <c r="AG336" s="391"/>
      <c r="AH336" s="391"/>
      <c r="AI336" s="393"/>
      <c r="AJ336" s="393"/>
      <c r="AK336" s="391">
        <f>Q336+R336+S336+T336+U336+V336+W336+X336+Y336+Z336+AA336+AB336+AC336+AD336+AE336+AF336+AG336+AH336+AI336+AJ336</f>
        <v>52000000</v>
      </c>
    </row>
    <row r="337" spans="1:37" ht="30" customHeight="1" x14ac:dyDescent="0.2">
      <c r="A337" s="39"/>
      <c r="B337" s="52"/>
      <c r="C337" s="54"/>
      <c r="D337" s="679"/>
      <c r="E337" s="54"/>
      <c r="F337" s="54"/>
      <c r="G337" s="55"/>
      <c r="H337" s="56"/>
      <c r="I337" s="55"/>
      <c r="J337" s="56"/>
      <c r="K337" s="249"/>
      <c r="L337" s="249"/>
      <c r="M337" s="56"/>
      <c r="N337" s="56"/>
      <c r="O337" s="55"/>
      <c r="P337" s="56"/>
      <c r="Q337" s="400">
        <f t="shared" ref="Q337:AJ337" si="84">SUM(Q334:Q336)</f>
        <v>0</v>
      </c>
      <c r="R337" s="400">
        <f t="shared" si="84"/>
        <v>0</v>
      </c>
      <c r="S337" s="400">
        <f t="shared" si="84"/>
        <v>0</v>
      </c>
      <c r="T337" s="400">
        <f t="shared" si="84"/>
        <v>0</v>
      </c>
      <c r="U337" s="400">
        <f t="shared" si="84"/>
        <v>0</v>
      </c>
      <c r="V337" s="400">
        <f t="shared" si="84"/>
        <v>0</v>
      </c>
      <c r="W337" s="400">
        <f t="shared" si="84"/>
        <v>0</v>
      </c>
      <c r="X337" s="400">
        <f t="shared" si="84"/>
        <v>0</v>
      </c>
      <c r="Y337" s="400">
        <f t="shared" si="84"/>
        <v>0</v>
      </c>
      <c r="Z337" s="400">
        <f t="shared" si="84"/>
        <v>0</v>
      </c>
      <c r="AA337" s="400">
        <f t="shared" si="84"/>
        <v>0</v>
      </c>
      <c r="AB337" s="400">
        <f t="shared" si="84"/>
        <v>0</v>
      </c>
      <c r="AC337" s="400">
        <f t="shared" si="84"/>
        <v>0</v>
      </c>
      <c r="AD337" s="400">
        <f t="shared" si="84"/>
        <v>0</v>
      </c>
      <c r="AE337" s="400">
        <f t="shared" si="84"/>
        <v>0</v>
      </c>
      <c r="AF337" s="400">
        <f t="shared" si="84"/>
        <v>125000000</v>
      </c>
      <c r="AG337" s="400">
        <f t="shared" si="84"/>
        <v>0</v>
      </c>
      <c r="AH337" s="400">
        <f t="shared" si="84"/>
        <v>0</v>
      </c>
      <c r="AI337" s="400">
        <f t="shared" si="84"/>
        <v>0</v>
      </c>
      <c r="AJ337" s="400">
        <f t="shared" si="84"/>
        <v>0</v>
      </c>
      <c r="AK337" s="400">
        <f t="shared" ref="AK337" si="85">SUM(AK334:AK336)</f>
        <v>125000000</v>
      </c>
    </row>
    <row r="338" spans="1:37" ht="30" customHeight="1" x14ac:dyDescent="0.2">
      <c r="A338" s="39"/>
      <c r="B338" s="254"/>
      <c r="C338" s="97"/>
      <c r="D338" s="96"/>
      <c r="E338" s="97"/>
      <c r="F338" s="97" t="s">
        <v>447</v>
      </c>
      <c r="G338" s="96"/>
      <c r="H338" s="97"/>
      <c r="I338" s="96"/>
      <c r="J338" s="97"/>
      <c r="K338" s="255"/>
      <c r="L338" s="255"/>
      <c r="M338" s="97"/>
      <c r="N338" s="97"/>
      <c r="O338" s="96"/>
      <c r="P338" s="97"/>
      <c r="Q338" s="457">
        <f t="shared" ref="Q338:AK338" si="86">Q337+Q331+Q324+Q315</f>
        <v>0</v>
      </c>
      <c r="R338" s="457">
        <f t="shared" si="86"/>
        <v>0</v>
      </c>
      <c r="S338" s="457">
        <f t="shared" si="86"/>
        <v>0</v>
      </c>
      <c r="T338" s="457">
        <f t="shared" si="86"/>
        <v>0</v>
      </c>
      <c r="U338" s="457">
        <f t="shared" si="86"/>
        <v>0</v>
      </c>
      <c r="V338" s="457">
        <f t="shared" si="86"/>
        <v>0</v>
      </c>
      <c r="W338" s="457">
        <f t="shared" si="86"/>
        <v>0</v>
      </c>
      <c r="X338" s="457">
        <f t="shared" si="86"/>
        <v>0</v>
      </c>
      <c r="Y338" s="457">
        <f t="shared" si="86"/>
        <v>0</v>
      </c>
      <c r="Z338" s="457">
        <f t="shared" si="86"/>
        <v>0</v>
      </c>
      <c r="AA338" s="457">
        <f t="shared" si="86"/>
        <v>0</v>
      </c>
      <c r="AB338" s="457">
        <f t="shared" si="86"/>
        <v>0</v>
      </c>
      <c r="AC338" s="457">
        <f t="shared" si="86"/>
        <v>0</v>
      </c>
      <c r="AD338" s="457">
        <f t="shared" si="86"/>
        <v>0</v>
      </c>
      <c r="AE338" s="457">
        <f t="shared" si="86"/>
        <v>0</v>
      </c>
      <c r="AF338" s="457">
        <f t="shared" si="86"/>
        <v>1112000000</v>
      </c>
      <c r="AG338" s="457">
        <f t="shared" si="86"/>
        <v>0</v>
      </c>
      <c r="AH338" s="457">
        <f t="shared" si="86"/>
        <v>0</v>
      </c>
      <c r="AI338" s="457">
        <f t="shared" si="86"/>
        <v>0</v>
      </c>
      <c r="AJ338" s="457">
        <f t="shared" si="86"/>
        <v>0</v>
      </c>
      <c r="AK338" s="457">
        <f t="shared" si="86"/>
        <v>1112000000</v>
      </c>
    </row>
    <row r="339" spans="1:37" s="648" customFormat="1" ht="30" customHeight="1" x14ac:dyDescent="0.25">
      <c r="A339" s="727"/>
      <c r="B339" s="728"/>
      <c r="C339" s="729"/>
      <c r="D339" s="728"/>
      <c r="E339" s="729"/>
      <c r="F339" s="729"/>
      <c r="G339" s="728"/>
      <c r="H339" s="63"/>
      <c r="I339" s="62"/>
      <c r="J339" s="63"/>
      <c r="K339" s="250"/>
      <c r="L339" s="250"/>
      <c r="M339" s="63"/>
      <c r="N339" s="63"/>
      <c r="O339" s="62"/>
      <c r="P339" s="63"/>
      <c r="Q339" s="412">
        <f t="shared" ref="Q339:AK339" si="87">Q338</f>
        <v>0</v>
      </c>
      <c r="R339" s="412">
        <f t="shared" si="87"/>
        <v>0</v>
      </c>
      <c r="S339" s="412">
        <f t="shared" si="87"/>
        <v>0</v>
      </c>
      <c r="T339" s="412">
        <f t="shared" si="87"/>
        <v>0</v>
      </c>
      <c r="U339" s="412">
        <f t="shared" si="87"/>
        <v>0</v>
      </c>
      <c r="V339" s="412">
        <f t="shared" si="87"/>
        <v>0</v>
      </c>
      <c r="W339" s="412">
        <f t="shared" si="87"/>
        <v>0</v>
      </c>
      <c r="X339" s="412">
        <f t="shared" si="87"/>
        <v>0</v>
      </c>
      <c r="Y339" s="412">
        <f t="shared" si="87"/>
        <v>0</v>
      </c>
      <c r="Z339" s="412">
        <f t="shared" si="87"/>
        <v>0</v>
      </c>
      <c r="AA339" s="412">
        <f t="shared" si="87"/>
        <v>0</v>
      </c>
      <c r="AB339" s="412">
        <f t="shared" si="87"/>
        <v>0</v>
      </c>
      <c r="AC339" s="412">
        <f t="shared" si="87"/>
        <v>0</v>
      </c>
      <c r="AD339" s="412">
        <f t="shared" si="87"/>
        <v>0</v>
      </c>
      <c r="AE339" s="412">
        <f t="shared" si="87"/>
        <v>0</v>
      </c>
      <c r="AF339" s="412">
        <f t="shared" si="87"/>
        <v>1112000000</v>
      </c>
      <c r="AG339" s="412">
        <f t="shared" si="87"/>
        <v>0</v>
      </c>
      <c r="AH339" s="412">
        <f t="shared" si="87"/>
        <v>0</v>
      </c>
      <c r="AI339" s="412">
        <f t="shared" si="87"/>
        <v>0</v>
      </c>
      <c r="AJ339" s="412">
        <f t="shared" si="87"/>
        <v>0</v>
      </c>
      <c r="AK339" s="412">
        <f t="shared" si="87"/>
        <v>1112000000</v>
      </c>
    </row>
    <row r="340" spans="1:37" s="2" customFormat="1" ht="30" customHeight="1" x14ac:dyDescent="0.25">
      <c r="A340" s="748"/>
      <c r="B340" s="277"/>
      <c r="C340" s="188"/>
      <c r="D340" s="277"/>
      <c r="E340" s="188"/>
      <c r="F340" s="188"/>
      <c r="G340" s="277"/>
      <c r="H340" s="188"/>
      <c r="I340" s="277"/>
      <c r="J340" s="188"/>
      <c r="K340" s="710"/>
      <c r="L340" s="710"/>
      <c r="M340" s="188"/>
      <c r="N340" s="697"/>
      <c r="O340" s="698"/>
      <c r="P340" s="188"/>
      <c r="Q340" s="430"/>
      <c r="R340" s="479"/>
      <c r="S340" s="430"/>
      <c r="T340" s="430"/>
      <c r="U340" s="430"/>
      <c r="V340" s="430"/>
      <c r="W340" s="430"/>
      <c r="X340" s="430"/>
      <c r="Y340" s="430"/>
      <c r="Z340" s="430"/>
      <c r="AA340" s="430"/>
      <c r="AB340" s="430"/>
      <c r="AC340" s="430"/>
      <c r="AD340" s="430"/>
      <c r="AE340" s="430"/>
      <c r="AF340" s="431"/>
      <c r="AG340" s="430"/>
      <c r="AH340" s="430"/>
      <c r="AI340" s="430"/>
      <c r="AJ340" s="479"/>
      <c r="AK340" s="430"/>
    </row>
    <row r="341" spans="1:37" s="2" customFormat="1" ht="30" customHeight="1" x14ac:dyDescent="0.25">
      <c r="A341" s="738">
        <v>3</v>
      </c>
      <c r="B341" s="31" t="s">
        <v>448</v>
      </c>
      <c r="C341" s="32"/>
      <c r="D341" s="31"/>
      <c r="E341" s="31"/>
      <c r="F341" s="31"/>
      <c r="G341" s="31"/>
      <c r="H341" s="32"/>
      <c r="I341" s="31"/>
      <c r="J341" s="31"/>
      <c r="K341" s="128"/>
      <c r="L341" s="128"/>
      <c r="M341" s="31"/>
      <c r="N341" s="32"/>
      <c r="O341" s="31"/>
      <c r="P341" s="31"/>
      <c r="Q341" s="421"/>
      <c r="R341" s="421"/>
      <c r="S341" s="421"/>
      <c r="T341" s="421"/>
      <c r="U341" s="421"/>
      <c r="V341" s="421"/>
      <c r="W341" s="421"/>
      <c r="X341" s="421"/>
      <c r="Y341" s="421"/>
      <c r="Z341" s="421"/>
      <c r="AA341" s="421"/>
      <c r="AB341" s="421"/>
      <c r="AC341" s="421"/>
      <c r="AD341" s="421"/>
      <c r="AE341" s="421"/>
      <c r="AF341" s="422"/>
      <c r="AG341" s="421"/>
      <c r="AH341" s="421"/>
      <c r="AI341" s="421"/>
      <c r="AJ341" s="421"/>
      <c r="AK341" s="423"/>
    </row>
    <row r="342" spans="1:37" s="2" customFormat="1" ht="30" customHeight="1" x14ac:dyDescent="0.25">
      <c r="A342" s="73"/>
      <c r="B342" s="121">
        <v>11</v>
      </c>
      <c r="C342" s="37" t="s">
        <v>449</v>
      </c>
      <c r="D342" s="36"/>
      <c r="E342" s="36"/>
      <c r="F342" s="36"/>
      <c r="G342" s="36"/>
      <c r="H342" s="37"/>
      <c r="I342" s="36"/>
      <c r="J342" s="36"/>
      <c r="K342" s="88"/>
      <c r="L342" s="88"/>
      <c r="M342" s="36"/>
      <c r="N342" s="37"/>
      <c r="O342" s="36"/>
      <c r="P342" s="36"/>
      <c r="Q342" s="402"/>
      <c r="R342" s="402"/>
      <c r="S342" s="402"/>
      <c r="T342" s="402"/>
      <c r="U342" s="402"/>
      <c r="V342" s="402"/>
      <c r="W342" s="402"/>
      <c r="X342" s="402"/>
      <c r="Y342" s="402"/>
      <c r="Z342" s="402"/>
      <c r="AA342" s="402"/>
      <c r="AB342" s="402"/>
      <c r="AC342" s="402"/>
      <c r="AD342" s="402"/>
      <c r="AE342" s="402"/>
      <c r="AF342" s="403"/>
      <c r="AG342" s="402"/>
      <c r="AH342" s="402"/>
      <c r="AI342" s="402"/>
      <c r="AJ342" s="402"/>
      <c r="AK342" s="407"/>
    </row>
    <row r="343" spans="1:37" s="2" customFormat="1" ht="30" customHeight="1" x14ac:dyDescent="0.25">
      <c r="A343" s="39"/>
      <c r="B343" s="155"/>
      <c r="C343" s="661"/>
      <c r="D343" s="655"/>
      <c r="E343" s="661"/>
      <c r="F343" s="661"/>
      <c r="G343" s="215">
        <v>34</v>
      </c>
      <c r="H343" s="76" t="s">
        <v>450</v>
      </c>
      <c r="I343" s="77"/>
      <c r="J343" s="77"/>
      <c r="K343" s="89"/>
      <c r="L343" s="89"/>
      <c r="M343" s="77"/>
      <c r="N343" s="169"/>
      <c r="O343" s="77"/>
      <c r="P343" s="77"/>
      <c r="Q343" s="263"/>
      <c r="R343" s="263"/>
      <c r="S343" s="263"/>
      <c r="T343" s="263"/>
      <c r="U343" s="263"/>
      <c r="V343" s="263"/>
      <c r="W343" s="263"/>
      <c r="X343" s="263"/>
      <c r="Y343" s="263"/>
      <c r="Z343" s="263"/>
      <c r="AA343" s="263"/>
      <c r="AB343" s="263"/>
      <c r="AC343" s="263"/>
      <c r="AD343" s="263"/>
      <c r="AE343" s="263"/>
      <c r="AF343" s="404"/>
      <c r="AG343" s="263"/>
      <c r="AH343" s="263"/>
      <c r="AI343" s="263"/>
      <c r="AJ343" s="263"/>
      <c r="AK343" s="265"/>
    </row>
    <row r="344" spans="1:37" ht="71.25" customHeight="1" x14ac:dyDescent="0.2">
      <c r="A344" s="39"/>
      <c r="B344" s="201"/>
      <c r="C344" s="662">
        <v>23</v>
      </c>
      <c r="D344" s="657" t="s">
        <v>451</v>
      </c>
      <c r="E344" s="663">
        <v>0.92</v>
      </c>
      <c r="F344" s="663">
        <v>0.85</v>
      </c>
      <c r="G344" s="40"/>
      <c r="H344" s="54">
        <v>122</v>
      </c>
      <c r="I344" s="679" t="s">
        <v>452</v>
      </c>
      <c r="J344" s="54">
        <v>0</v>
      </c>
      <c r="K344" s="105">
        <v>1</v>
      </c>
      <c r="L344" s="784">
        <v>2017003630071</v>
      </c>
      <c r="M344" s="774" t="s">
        <v>453</v>
      </c>
      <c r="N344" s="774" t="s">
        <v>454</v>
      </c>
      <c r="O344" s="777" t="s">
        <v>977</v>
      </c>
      <c r="P344" s="133" t="s">
        <v>46</v>
      </c>
      <c r="Q344" s="391">
        <v>0</v>
      </c>
      <c r="R344" s="391">
        <v>0</v>
      </c>
      <c r="S344" s="391">
        <v>0</v>
      </c>
      <c r="T344" s="391">
        <v>0</v>
      </c>
      <c r="U344" s="391">
        <v>0</v>
      </c>
      <c r="V344" s="391">
        <v>0</v>
      </c>
      <c r="W344" s="391">
        <v>0</v>
      </c>
      <c r="X344" s="391"/>
      <c r="Y344" s="391"/>
      <c r="Z344" s="391">
        <v>0</v>
      </c>
      <c r="AA344" s="391">
        <v>0</v>
      </c>
      <c r="AB344" s="391"/>
      <c r="AC344" s="391"/>
      <c r="AD344" s="391">
        <v>0</v>
      </c>
      <c r="AE344" s="391">
        <v>0</v>
      </c>
      <c r="AF344" s="392">
        <f>6000000+20174667+70000000</f>
        <v>96174667</v>
      </c>
      <c r="AG344" s="392"/>
      <c r="AH344" s="391">
        <v>0</v>
      </c>
      <c r="AI344" s="393"/>
      <c r="AJ344" s="393"/>
      <c r="AK344" s="391">
        <f>Q344+R344+S344+T344+U344+V344+W344+X344+Y344+Z344+AA344+AB344+AC344+AD344+AE344+AF344+AG344+AH344+AI344+AJ344</f>
        <v>96174667</v>
      </c>
    </row>
    <row r="345" spans="1:37" ht="88.5" customHeight="1" x14ac:dyDescent="0.2">
      <c r="A345" s="39"/>
      <c r="B345" s="201"/>
      <c r="C345" s="54"/>
      <c r="D345" s="679"/>
      <c r="E345" s="252"/>
      <c r="F345" s="252"/>
      <c r="G345" s="46"/>
      <c r="H345" s="54">
        <v>123</v>
      </c>
      <c r="I345" s="679" t="s">
        <v>456</v>
      </c>
      <c r="J345" s="54" t="s">
        <v>37</v>
      </c>
      <c r="K345" s="105">
        <v>4</v>
      </c>
      <c r="L345" s="785"/>
      <c r="M345" s="775"/>
      <c r="N345" s="775"/>
      <c r="O345" s="778"/>
      <c r="P345" s="133" t="s">
        <v>46</v>
      </c>
      <c r="Q345" s="428"/>
      <c r="R345" s="428"/>
      <c r="S345" s="428"/>
      <c r="T345" s="428"/>
      <c r="U345" s="428"/>
      <c r="V345" s="428"/>
      <c r="W345" s="428"/>
      <c r="X345" s="428"/>
      <c r="Y345" s="428"/>
      <c r="Z345" s="428"/>
      <c r="AA345" s="428"/>
      <c r="AB345" s="428"/>
      <c r="AC345" s="428"/>
      <c r="AD345" s="428"/>
      <c r="AE345" s="428"/>
      <c r="AF345" s="394">
        <v>12000000</v>
      </c>
      <c r="AG345" s="456"/>
      <c r="AH345" s="428"/>
      <c r="AI345" s="455"/>
      <c r="AJ345" s="455"/>
      <c r="AK345" s="391">
        <f>Q345+R345+S345+T345+U345+V345+W345+X345+Y345+Z345+AA345+AB345+AC345+AD345+AE345+AF345+AG345+AH345+AI345+AJ345</f>
        <v>12000000</v>
      </c>
    </row>
    <row r="346" spans="1:37" ht="71.25" customHeight="1" x14ac:dyDescent="0.2">
      <c r="A346" s="39"/>
      <c r="B346" s="201"/>
      <c r="C346" s="54"/>
      <c r="D346" s="679"/>
      <c r="E346" s="252"/>
      <c r="F346" s="252"/>
      <c r="G346" s="46"/>
      <c r="H346" s="54">
        <v>124</v>
      </c>
      <c r="I346" s="679" t="s">
        <v>457</v>
      </c>
      <c r="J346" s="54">
        <v>40</v>
      </c>
      <c r="K346" s="105">
        <v>200</v>
      </c>
      <c r="L346" s="785"/>
      <c r="M346" s="775"/>
      <c r="N346" s="775"/>
      <c r="O346" s="778"/>
      <c r="P346" s="133" t="s">
        <v>61</v>
      </c>
      <c r="Q346" s="428"/>
      <c r="R346" s="428"/>
      <c r="S346" s="428"/>
      <c r="T346" s="428"/>
      <c r="U346" s="428"/>
      <c r="V346" s="428"/>
      <c r="W346" s="428"/>
      <c r="X346" s="428"/>
      <c r="Y346" s="428"/>
      <c r="Z346" s="428"/>
      <c r="AA346" s="428"/>
      <c r="AB346" s="428"/>
      <c r="AC346" s="428"/>
      <c r="AD346" s="428"/>
      <c r="AE346" s="428"/>
      <c r="AF346" s="394">
        <f>12000000+16000000+30000000</f>
        <v>58000000</v>
      </c>
      <c r="AG346" s="456"/>
      <c r="AH346" s="428"/>
      <c r="AI346" s="455"/>
      <c r="AJ346" s="455"/>
      <c r="AK346" s="391">
        <f>Q346+R346+S346+T346+U346+V346+W346+X346+Y346+Z346+AA346+AB346+AC346+AD346+AE346+AF346+AG346+AH346+AI346+AJ346</f>
        <v>58000000</v>
      </c>
    </row>
    <row r="347" spans="1:37" ht="71.25" customHeight="1" x14ac:dyDescent="0.2">
      <c r="A347" s="39"/>
      <c r="B347" s="201"/>
      <c r="C347" s="54"/>
      <c r="D347" s="679"/>
      <c r="E347" s="252"/>
      <c r="F347" s="252"/>
      <c r="G347" s="46"/>
      <c r="H347" s="54">
        <v>126</v>
      </c>
      <c r="I347" s="679" t="s">
        <v>458</v>
      </c>
      <c r="J347" s="54" t="s">
        <v>37</v>
      </c>
      <c r="K347" s="105">
        <f>1795+1531</f>
        <v>3326</v>
      </c>
      <c r="L347" s="785"/>
      <c r="M347" s="775"/>
      <c r="N347" s="775"/>
      <c r="O347" s="778"/>
      <c r="P347" s="133" t="s">
        <v>46</v>
      </c>
      <c r="Q347" s="428"/>
      <c r="R347" s="428"/>
      <c r="S347" s="428"/>
      <c r="T347" s="428"/>
      <c r="U347" s="428"/>
      <c r="V347" s="428"/>
      <c r="W347" s="428"/>
      <c r="X347" s="428"/>
      <c r="Y347" s="428"/>
      <c r="Z347" s="428"/>
      <c r="AA347" s="428"/>
      <c r="AB347" s="428"/>
      <c r="AC347" s="428"/>
      <c r="AD347" s="428"/>
      <c r="AE347" s="428"/>
      <c r="AF347" s="392">
        <v>6000000</v>
      </c>
      <c r="AG347" s="456"/>
      <c r="AH347" s="428"/>
      <c r="AI347" s="455"/>
      <c r="AJ347" s="455"/>
      <c r="AK347" s="391">
        <f>Q347+R347+S347+T347+U347+V347+W347+X347+Y347+Z347+AA347+AB347+AC347+AD347+AE347+AF347+AG347+AH347+AI347+AJ347</f>
        <v>6000000</v>
      </c>
    </row>
    <row r="348" spans="1:37" ht="71.25" customHeight="1" x14ac:dyDescent="0.2">
      <c r="A348" s="39"/>
      <c r="B348" s="201"/>
      <c r="C348" s="661">
        <v>23</v>
      </c>
      <c r="D348" s="655" t="s">
        <v>451</v>
      </c>
      <c r="E348" s="681">
        <v>0.92</v>
      </c>
      <c r="F348" s="681">
        <v>0.85</v>
      </c>
      <c r="G348" s="90"/>
      <c r="H348" s="54">
        <v>125</v>
      </c>
      <c r="I348" s="679" t="s">
        <v>459</v>
      </c>
      <c r="J348" s="41">
        <v>1200</v>
      </c>
      <c r="K348" s="42">
        <v>761</v>
      </c>
      <c r="L348" s="786"/>
      <c r="M348" s="776"/>
      <c r="N348" s="776"/>
      <c r="O348" s="779"/>
      <c r="P348" s="661" t="s">
        <v>61</v>
      </c>
      <c r="Q348" s="428"/>
      <c r="R348" s="428"/>
      <c r="S348" s="428"/>
      <c r="T348" s="428"/>
      <c r="U348" s="428"/>
      <c r="V348" s="428"/>
      <c r="W348" s="428"/>
      <c r="X348" s="428"/>
      <c r="Y348" s="428"/>
      <c r="Z348" s="428"/>
      <c r="AA348" s="428"/>
      <c r="AB348" s="428"/>
      <c r="AC348" s="428"/>
      <c r="AD348" s="428"/>
      <c r="AE348" s="428"/>
      <c r="AF348" s="394">
        <f>10825324+17000000+9</f>
        <v>27825333</v>
      </c>
      <c r="AG348" s="429"/>
      <c r="AH348" s="428"/>
      <c r="AI348" s="455"/>
      <c r="AJ348" s="455"/>
      <c r="AK348" s="391">
        <f>Q348+R348+S348+T348+U348+V348+W348+X348+Y348+Z348+AA348+AB348+AC348+AD348+AE348+AF348+AG348+AH348+AI348+AJ348</f>
        <v>27825333</v>
      </c>
    </row>
    <row r="349" spans="1:37" ht="30" customHeight="1" x14ac:dyDescent="0.2">
      <c r="A349" s="39"/>
      <c r="B349" s="203"/>
      <c r="C349" s="662"/>
      <c r="D349" s="657"/>
      <c r="E349" s="662"/>
      <c r="F349" s="662"/>
      <c r="G349" s="91"/>
      <c r="H349" s="92"/>
      <c r="I349" s="91"/>
      <c r="J349" s="92"/>
      <c r="K349" s="253"/>
      <c r="L349" s="253"/>
      <c r="M349" s="92"/>
      <c r="N349" s="92"/>
      <c r="O349" s="91"/>
      <c r="P349" s="92"/>
      <c r="Q349" s="438">
        <f t="shared" ref="Q349:AJ349" si="88">SUM(Q344:Q348)</f>
        <v>0</v>
      </c>
      <c r="R349" s="438">
        <f t="shared" si="88"/>
        <v>0</v>
      </c>
      <c r="S349" s="438">
        <f t="shared" si="88"/>
        <v>0</v>
      </c>
      <c r="T349" s="438">
        <f t="shared" si="88"/>
        <v>0</v>
      </c>
      <c r="U349" s="438">
        <f t="shared" si="88"/>
        <v>0</v>
      </c>
      <c r="V349" s="438">
        <f t="shared" si="88"/>
        <v>0</v>
      </c>
      <c r="W349" s="438">
        <f t="shared" si="88"/>
        <v>0</v>
      </c>
      <c r="X349" s="438">
        <f t="shared" si="88"/>
        <v>0</v>
      </c>
      <c r="Y349" s="438">
        <f t="shared" si="88"/>
        <v>0</v>
      </c>
      <c r="Z349" s="438">
        <f t="shared" si="88"/>
        <v>0</v>
      </c>
      <c r="AA349" s="438">
        <f t="shared" si="88"/>
        <v>0</v>
      </c>
      <c r="AB349" s="438">
        <f t="shared" si="88"/>
        <v>0</v>
      </c>
      <c r="AC349" s="438">
        <f t="shared" si="88"/>
        <v>0</v>
      </c>
      <c r="AD349" s="438">
        <f t="shared" si="88"/>
        <v>0</v>
      </c>
      <c r="AE349" s="438">
        <f t="shared" si="88"/>
        <v>0</v>
      </c>
      <c r="AF349" s="438">
        <f t="shared" si="88"/>
        <v>200000000</v>
      </c>
      <c r="AG349" s="438">
        <f t="shared" si="88"/>
        <v>0</v>
      </c>
      <c r="AH349" s="438">
        <f t="shared" si="88"/>
        <v>0</v>
      </c>
      <c r="AI349" s="438">
        <f t="shared" si="88"/>
        <v>0</v>
      </c>
      <c r="AJ349" s="438">
        <f t="shared" si="88"/>
        <v>0</v>
      </c>
      <c r="AK349" s="438">
        <f t="shared" ref="AK349" si="89">SUM(AK344:AK348)</f>
        <v>200000000</v>
      </c>
    </row>
    <row r="350" spans="1:37" ht="30" customHeight="1" x14ac:dyDescent="0.2">
      <c r="A350" s="52"/>
      <c r="B350" s="254"/>
      <c r="C350" s="97"/>
      <c r="D350" s="96"/>
      <c r="E350" s="97"/>
      <c r="F350" s="97"/>
      <c r="G350" s="96"/>
      <c r="H350" s="97"/>
      <c r="I350" s="96"/>
      <c r="J350" s="97"/>
      <c r="K350" s="255"/>
      <c r="L350" s="255"/>
      <c r="M350" s="97"/>
      <c r="N350" s="97"/>
      <c r="O350" s="96"/>
      <c r="P350" s="97"/>
      <c r="Q350" s="457">
        <f t="shared" ref="Q350:AK351" si="90">Q349</f>
        <v>0</v>
      </c>
      <c r="R350" s="457">
        <f t="shared" si="90"/>
        <v>0</v>
      </c>
      <c r="S350" s="457">
        <f t="shared" si="90"/>
        <v>0</v>
      </c>
      <c r="T350" s="457">
        <f t="shared" si="90"/>
        <v>0</v>
      </c>
      <c r="U350" s="457">
        <f t="shared" si="90"/>
        <v>0</v>
      </c>
      <c r="V350" s="457">
        <f t="shared" si="90"/>
        <v>0</v>
      </c>
      <c r="W350" s="457">
        <f t="shared" si="90"/>
        <v>0</v>
      </c>
      <c r="X350" s="457">
        <f t="shared" si="90"/>
        <v>0</v>
      </c>
      <c r="Y350" s="457">
        <f t="shared" si="90"/>
        <v>0</v>
      </c>
      <c r="Z350" s="457">
        <f t="shared" si="90"/>
        <v>0</v>
      </c>
      <c r="AA350" s="457">
        <f t="shared" si="90"/>
        <v>0</v>
      </c>
      <c r="AB350" s="457">
        <f t="shared" si="90"/>
        <v>0</v>
      </c>
      <c r="AC350" s="457">
        <f t="shared" si="90"/>
        <v>0</v>
      </c>
      <c r="AD350" s="457">
        <f t="shared" si="90"/>
        <v>0</v>
      </c>
      <c r="AE350" s="457">
        <f t="shared" si="90"/>
        <v>0</v>
      </c>
      <c r="AF350" s="457">
        <f t="shared" si="90"/>
        <v>200000000</v>
      </c>
      <c r="AG350" s="457">
        <f t="shared" si="90"/>
        <v>0</v>
      </c>
      <c r="AH350" s="457">
        <f t="shared" si="90"/>
        <v>0</v>
      </c>
      <c r="AI350" s="457">
        <f t="shared" si="90"/>
        <v>0</v>
      </c>
      <c r="AJ350" s="457">
        <f t="shared" si="90"/>
        <v>0</v>
      </c>
      <c r="AK350" s="457">
        <f t="shared" si="90"/>
        <v>200000000</v>
      </c>
    </row>
    <row r="351" spans="1:37" ht="30" customHeight="1" x14ac:dyDescent="0.2">
      <c r="A351" s="181"/>
      <c r="B351" s="181"/>
      <c r="C351" s="182"/>
      <c r="D351" s="181"/>
      <c r="E351" s="182"/>
      <c r="F351" s="182"/>
      <c r="G351" s="181"/>
      <c r="H351" s="182"/>
      <c r="I351" s="181"/>
      <c r="J351" s="182"/>
      <c r="K351" s="256"/>
      <c r="L351" s="256"/>
      <c r="M351" s="182"/>
      <c r="N351" s="182"/>
      <c r="O351" s="181"/>
      <c r="P351" s="182"/>
      <c r="Q351" s="458">
        <f t="shared" si="90"/>
        <v>0</v>
      </c>
      <c r="R351" s="458">
        <f t="shared" si="90"/>
        <v>0</v>
      </c>
      <c r="S351" s="458">
        <f t="shared" si="90"/>
        <v>0</v>
      </c>
      <c r="T351" s="458">
        <f t="shared" si="90"/>
        <v>0</v>
      </c>
      <c r="U351" s="458">
        <f t="shared" si="90"/>
        <v>0</v>
      </c>
      <c r="V351" s="458">
        <f t="shared" si="90"/>
        <v>0</v>
      </c>
      <c r="W351" s="458">
        <f t="shared" si="90"/>
        <v>0</v>
      </c>
      <c r="X351" s="458">
        <f t="shared" si="90"/>
        <v>0</v>
      </c>
      <c r="Y351" s="458">
        <f t="shared" si="90"/>
        <v>0</v>
      </c>
      <c r="Z351" s="458">
        <f t="shared" si="90"/>
        <v>0</v>
      </c>
      <c r="AA351" s="458">
        <f t="shared" si="90"/>
        <v>0</v>
      </c>
      <c r="AB351" s="458">
        <f t="shared" si="90"/>
        <v>0</v>
      </c>
      <c r="AC351" s="458">
        <f t="shared" si="90"/>
        <v>0</v>
      </c>
      <c r="AD351" s="458">
        <f t="shared" si="90"/>
        <v>0</v>
      </c>
      <c r="AE351" s="458">
        <f t="shared" si="90"/>
        <v>0</v>
      </c>
      <c r="AF351" s="458">
        <f t="shared" si="90"/>
        <v>200000000</v>
      </c>
      <c r="AG351" s="458">
        <f t="shared" si="90"/>
        <v>0</v>
      </c>
      <c r="AH351" s="458">
        <f t="shared" si="90"/>
        <v>0</v>
      </c>
      <c r="AI351" s="458">
        <f t="shared" si="90"/>
        <v>0</v>
      </c>
      <c r="AJ351" s="458">
        <f t="shared" si="90"/>
        <v>0</v>
      </c>
      <c r="AK351" s="458">
        <f t="shared" si="90"/>
        <v>200000000</v>
      </c>
    </row>
    <row r="352" spans="1:37" ht="30" customHeight="1" x14ac:dyDescent="0.2">
      <c r="A352" s="65"/>
      <c r="B352" s="65"/>
      <c r="C352" s="66"/>
      <c r="D352" s="65"/>
      <c r="E352" s="66"/>
      <c r="F352" s="66"/>
      <c r="G352" s="65"/>
      <c r="H352" s="66"/>
      <c r="I352" s="65"/>
      <c r="J352" s="67"/>
      <c r="K352" s="126"/>
      <c r="L352" s="126"/>
      <c r="M352" s="67"/>
      <c r="N352" s="66"/>
      <c r="O352" s="65"/>
      <c r="P352" s="66"/>
      <c r="Q352" s="413">
        <f t="shared" ref="Q352:AK352" si="91">+Q351+Q339+Q306</f>
        <v>0</v>
      </c>
      <c r="R352" s="413">
        <f t="shared" si="91"/>
        <v>0</v>
      </c>
      <c r="S352" s="413">
        <f t="shared" si="91"/>
        <v>0</v>
      </c>
      <c r="T352" s="413">
        <f t="shared" si="91"/>
        <v>0</v>
      </c>
      <c r="U352" s="413">
        <f t="shared" si="91"/>
        <v>0</v>
      </c>
      <c r="V352" s="413">
        <f t="shared" si="91"/>
        <v>0</v>
      </c>
      <c r="W352" s="413">
        <f t="shared" si="91"/>
        <v>0</v>
      </c>
      <c r="X352" s="413">
        <f t="shared" si="91"/>
        <v>0</v>
      </c>
      <c r="Y352" s="413">
        <f t="shared" si="91"/>
        <v>0</v>
      </c>
      <c r="Z352" s="413">
        <f t="shared" si="91"/>
        <v>0</v>
      </c>
      <c r="AA352" s="413">
        <f t="shared" si="91"/>
        <v>0</v>
      </c>
      <c r="AB352" s="413">
        <f t="shared" si="91"/>
        <v>0</v>
      </c>
      <c r="AC352" s="413">
        <f t="shared" si="91"/>
        <v>0</v>
      </c>
      <c r="AD352" s="413">
        <f t="shared" si="91"/>
        <v>0</v>
      </c>
      <c r="AE352" s="413">
        <f t="shared" si="91"/>
        <v>0</v>
      </c>
      <c r="AF352" s="413">
        <f t="shared" si="91"/>
        <v>2927762444</v>
      </c>
      <c r="AG352" s="413">
        <f t="shared" si="91"/>
        <v>0</v>
      </c>
      <c r="AH352" s="413">
        <f t="shared" si="91"/>
        <v>0</v>
      </c>
      <c r="AI352" s="413">
        <f t="shared" si="91"/>
        <v>0</v>
      </c>
      <c r="AJ352" s="413">
        <f t="shared" si="91"/>
        <v>0</v>
      </c>
      <c r="AK352" s="413">
        <f t="shared" si="91"/>
        <v>2927762444</v>
      </c>
    </row>
    <row r="353" spans="1:37" ht="30" customHeight="1" x14ac:dyDescent="0.2">
      <c r="A353" s="68"/>
      <c r="B353" s="69"/>
      <c r="C353" s="146"/>
      <c r="D353" s="69"/>
      <c r="E353" s="146"/>
      <c r="F353" s="146"/>
      <c r="G353" s="69"/>
      <c r="H353" s="146"/>
      <c r="I353" s="69"/>
      <c r="J353" s="70"/>
      <c r="K353" s="80"/>
      <c r="L353" s="80"/>
      <c r="M353" s="70"/>
      <c r="N353" s="146"/>
      <c r="O353" s="69"/>
      <c r="P353" s="146"/>
      <c r="Q353" s="395"/>
      <c r="R353" s="396"/>
      <c r="S353" s="395"/>
      <c r="T353" s="395"/>
      <c r="U353" s="395"/>
      <c r="V353" s="395"/>
      <c r="W353" s="395"/>
      <c r="X353" s="395"/>
      <c r="Y353" s="395"/>
      <c r="Z353" s="395"/>
      <c r="AA353" s="395"/>
      <c r="AB353" s="395"/>
      <c r="AC353" s="395"/>
      <c r="AD353" s="395"/>
      <c r="AE353" s="395"/>
      <c r="AF353" s="397" t="s">
        <v>63</v>
      </c>
      <c r="AG353" s="395"/>
      <c r="AH353" s="395"/>
      <c r="AI353" s="395"/>
      <c r="AJ353" s="395"/>
      <c r="AK353" s="395" t="s">
        <v>63</v>
      </c>
    </row>
    <row r="354" spans="1:37" ht="30" customHeight="1" x14ac:dyDescent="0.2">
      <c r="A354" s="28" t="s">
        <v>460</v>
      </c>
      <c r="B354" s="29"/>
      <c r="C354" s="30"/>
      <c r="D354" s="29"/>
      <c r="E354" s="29"/>
      <c r="F354" s="29"/>
      <c r="G354" s="29"/>
      <c r="H354" s="30"/>
      <c r="I354" s="29"/>
      <c r="J354" s="29"/>
      <c r="K354" s="127"/>
      <c r="L354" s="127"/>
      <c r="M354" s="29"/>
      <c r="N354" s="30"/>
      <c r="O354" s="29"/>
      <c r="P354" s="30"/>
      <c r="Q354" s="459"/>
      <c r="R354" s="459"/>
      <c r="S354" s="459"/>
      <c r="T354" s="459"/>
      <c r="U354" s="459"/>
      <c r="V354" s="459"/>
      <c r="W354" s="459"/>
      <c r="X354" s="459"/>
      <c r="Y354" s="459"/>
      <c r="Z354" s="459"/>
      <c r="AA354" s="459"/>
      <c r="AB354" s="459"/>
      <c r="AC354" s="459"/>
      <c r="AD354" s="459"/>
      <c r="AE354" s="459"/>
      <c r="AF354" s="460"/>
      <c r="AG354" s="461"/>
      <c r="AH354" s="459"/>
      <c r="AI354" s="459"/>
      <c r="AJ354" s="459"/>
      <c r="AK354" s="462" t="s">
        <v>63</v>
      </c>
    </row>
    <row r="355" spans="1:37" ht="30" customHeight="1" x14ac:dyDescent="0.2">
      <c r="A355" s="738">
        <v>5</v>
      </c>
      <c r="B355" s="31" t="s">
        <v>31</v>
      </c>
      <c r="C355" s="32"/>
      <c r="D355" s="31"/>
      <c r="E355" s="31"/>
      <c r="F355" s="31"/>
      <c r="G355" s="31"/>
      <c r="H355" s="32"/>
      <c r="I355" s="31"/>
      <c r="J355" s="31"/>
      <c r="K355" s="128"/>
      <c r="L355" s="128"/>
      <c r="M355" s="31"/>
      <c r="N355" s="32"/>
      <c r="O355" s="31"/>
      <c r="P355" s="31"/>
      <c r="Q355" s="421"/>
      <c r="R355" s="421"/>
      <c r="S355" s="421"/>
      <c r="T355" s="421"/>
      <c r="U355" s="421"/>
      <c r="V355" s="421"/>
      <c r="W355" s="421"/>
      <c r="X355" s="421"/>
      <c r="Y355" s="421"/>
      <c r="Z355" s="421"/>
      <c r="AA355" s="421"/>
      <c r="AB355" s="421"/>
      <c r="AC355" s="421"/>
      <c r="AD355" s="421"/>
      <c r="AE355" s="421"/>
      <c r="AF355" s="422"/>
      <c r="AG355" s="421"/>
      <c r="AH355" s="421"/>
      <c r="AI355" s="421"/>
      <c r="AJ355" s="421"/>
      <c r="AK355" s="423"/>
    </row>
    <row r="356" spans="1:37" s="2" customFormat="1" ht="30" customHeight="1" x14ac:dyDescent="0.25">
      <c r="A356" s="73"/>
      <c r="B356" s="121">
        <v>26</v>
      </c>
      <c r="C356" s="37" t="s">
        <v>64</v>
      </c>
      <c r="D356" s="36"/>
      <c r="E356" s="36"/>
      <c r="F356" s="36"/>
      <c r="G356" s="36"/>
      <c r="H356" s="37"/>
      <c r="I356" s="36"/>
      <c r="J356" s="36"/>
      <c r="K356" s="88"/>
      <c r="L356" s="88"/>
      <c r="M356" s="36"/>
      <c r="N356" s="37"/>
      <c r="O356" s="36"/>
      <c r="P356" s="36"/>
      <c r="Q356" s="402"/>
      <c r="R356" s="402"/>
      <c r="S356" s="402"/>
      <c r="T356" s="402"/>
      <c r="U356" s="402"/>
      <c r="V356" s="402"/>
      <c r="W356" s="402"/>
      <c r="X356" s="402"/>
      <c r="Y356" s="402"/>
      <c r="Z356" s="402"/>
      <c r="AA356" s="402"/>
      <c r="AB356" s="402"/>
      <c r="AC356" s="402"/>
      <c r="AD356" s="402"/>
      <c r="AE356" s="402"/>
      <c r="AF356" s="403"/>
      <c r="AG356" s="402"/>
      <c r="AH356" s="402"/>
      <c r="AI356" s="402"/>
      <c r="AJ356" s="402"/>
      <c r="AK356" s="407"/>
    </row>
    <row r="357" spans="1:37" s="2" customFormat="1" ht="30" customHeight="1" x14ac:dyDescent="0.25">
      <c r="A357" s="39"/>
      <c r="B357" s="73"/>
      <c r="C357" s="661"/>
      <c r="D357" s="655"/>
      <c r="E357" s="661"/>
      <c r="F357" s="661"/>
      <c r="G357" s="215">
        <v>83</v>
      </c>
      <c r="H357" s="77" t="s">
        <v>65</v>
      </c>
      <c r="I357" s="77"/>
      <c r="J357" s="77"/>
      <c r="K357" s="89"/>
      <c r="L357" s="89"/>
      <c r="M357" s="77"/>
      <c r="N357" s="169"/>
      <c r="O357" s="77"/>
      <c r="P357" s="77"/>
      <c r="Q357" s="263"/>
      <c r="R357" s="263"/>
      <c r="S357" s="263"/>
      <c r="T357" s="263"/>
      <c r="U357" s="263"/>
      <c r="V357" s="263"/>
      <c r="W357" s="263"/>
      <c r="X357" s="263"/>
      <c r="Y357" s="263"/>
      <c r="Z357" s="263"/>
      <c r="AA357" s="263"/>
      <c r="AB357" s="263"/>
      <c r="AC357" s="263"/>
      <c r="AD357" s="263"/>
      <c r="AE357" s="263"/>
      <c r="AF357" s="404"/>
      <c r="AG357" s="263"/>
      <c r="AH357" s="263"/>
      <c r="AI357" s="263"/>
      <c r="AJ357" s="263"/>
      <c r="AK357" s="265"/>
    </row>
    <row r="358" spans="1:37" ht="92.25" customHeight="1" x14ac:dyDescent="0.2">
      <c r="A358" s="39"/>
      <c r="B358" s="39"/>
      <c r="C358" s="662">
        <v>37</v>
      </c>
      <c r="D358" s="657" t="s">
        <v>461</v>
      </c>
      <c r="E358" s="662" t="s">
        <v>462</v>
      </c>
      <c r="F358" s="662">
        <v>60</v>
      </c>
      <c r="G358" s="40"/>
      <c r="H358" s="54">
        <v>244</v>
      </c>
      <c r="I358" s="679" t="s">
        <v>463</v>
      </c>
      <c r="J358" s="41" t="s">
        <v>37</v>
      </c>
      <c r="K358" s="42">
        <v>12</v>
      </c>
      <c r="L358" s="43">
        <v>201700360034</v>
      </c>
      <c r="M358" s="44" t="s">
        <v>464</v>
      </c>
      <c r="N358" s="54" t="s">
        <v>465</v>
      </c>
      <c r="O358" s="679" t="s">
        <v>978</v>
      </c>
      <c r="P358" s="54" t="s">
        <v>61</v>
      </c>
      <c r="Q358" s="391">
        <v>0</v>
      </c>
      <c r="R358" s="391">
        <v>0</v>
      </c>
      <c r="S358" s="391">
        <v>0</v>
      </c>
      <c r="T358" s="391">
        <v>0</v>
      </c>
      <c r="U358" s="391">
        <v>0</v>
      </c>
      <c r="V358" s="391">
        <v>0</v>
      </c>
      <c r="W358" s="391">
        <v>0</v>
      </c>
      <c r="X358" s="391"/>
      <c r="Y358" s="391"/>
      <c r="Z358" s="391">
        <v>0</v>
      </c>
      <c r="AA358" s="391">
        <v>0</v>
      </c>
      <c r="AB358" s="391"/>
      <c r="AC358" s="391"/>
      <c r="AD358" s="391">
        <v>0</v>
      </c>
      <c r="AE358" s="391">
        <v>0</v>
      </c>
      <c r="AF358" s="394">
        <f>567000000+60000000</f>
        <v>627000000</v>
      </c>
      <c r="AG358" s="394"/>
      <c r="AH358" s="391">
        <v>0</v>
      </c>
      <c r="AI358" s="393"/>
      <c r="AJ358" s="393"/>
      <c r="AK358" s="391">
        <f>Q358+R358+S358+T358+U358+V358+W358+X358+Y358+Z358+AA358+AB358+AC358+AD358+AE358+AF358+AG358+AH358+AI358+AJ358</f>
        <v>627000000</v>
      </c>
    </row>
    <row r="359" spans="1:37" ht="69" customHeight="1" x14ac:dyDescent="0.2">
      <c r="A359" s="39"/>
      <c r="B359" s="39"/>
      <c r="C359" s="661">
        <v>37</v>
      </c>
      <c r="D359" s="655" t="s">
        <v>467</v>
      </c>
      <c r="E359" s="661" t="s">
        <v>462</v>
      </c>
      <c r="F359" s="661">
        <v>60</v>
      </c>
      <c r="G359" s="90"/>
      <c r="H359" s="54">
        <v>245</v>
      </c>
      <c r="I359" s="679" t="s">
        <v>468</v>
      </c>
      <c r="J359" s="41" t="s">
        <v>37</v>
      </c>
      <c r="K359" s="42">
        <v>1</v>
      </c>
      <c r="L359" s="43">
        <v>201700360035</v>
      </c>
      <c r="M359" s="44" t="s">
        <v>464</v>
      </c>
      <c r="N359" s="54" t="s">
        <v>469</v>
      </c>
      <c r="O359" s="679" t="s">
        <v>470</v>
      </c>
      <c r="P359" s="54" t="s">
        <v>46</v>
      </c>
      <c r="Q359" s="391">
        <v>0</v>
      </c>
      <c r="R359" s="391">
        <v>0</v>
      </c>
      <c r="S359" s="391">
        <v>0</v>
      </c>
      <c r="T359" s="391">
        <v>0</v>
      </c>
      <c r="U359" s="391">
        <v>0</v>
      </c>
      <c r="V359" s="391">
        <v>0</v>
      </c>
      <c r="W359" s="391">
        <v>0</v>
      </c>
      <c r="X359" s="391"/>
      <c r="Y359" s="391"/>
      <c r="Z359" s="391">
        <v>0</v>
      </c>
      <c r="AA359" s="391">
        <v>0</v>
      </c>
      <c r="AB359" s="391"/>
      <c r="AC359" s="391"/>
      <c r="AD359" s="391">
        <v>0</v>
      </c>
      <c r="AE359" s="391">
        <v>0</v>
      </c>
      <c r="AF359" s="394">
        <v>60000000</v>
      </c>
      <c r="AG359" s="394"/>
      <c r="AH359" s="391">
        <v>0</v>
      </c>
      <c r="AI359" s="393"/>
      <c r="AJ359" s="393"/>
      <c r="AK359" s="391">
        <f>Q359+R359+S359+T359+U359+V359+W359+X359+Y359+Z359+AA359+AB359+AC359+AD359+AE359+AF359+AG359+AH359+AI359+AJ359</f>
        <v>60000000</v>
      </c>
    </row>
    <row r="360" spans="1:37" ht="30" customHeight="1" x14ac:dyDescent="0.2">
      <c r="A360" s="39"/>
      <c r="B360" s="52"/>
      <c r="C360" s="662"/>
      <c r="D360" s="657"/>
      <c r="E360" s="662"/>
      <c r="F360" s="662"/>
      <c r="G360" s="55"/>
      <c r="H360" s="56"/>
      <c r="I360" s="55"/>
      <c r="J360" s="57"/>
      <c r="K360" s="109"/>
      <c r="L360" s="109"/>
      <c r="M360" s="57"/>
      <c r="N360" s="56"/>
      <c r="O360" s="55"/>
      <c r="P360" s="56"/>
      <c r="Q360" s="400">
        <f t="shared" ref="Q360:AJ360" si="92">SUM(Q358:Q359)</f>
        <v>0</v>
      </c>
      <c r="R360" s="400">
        <f t="shared" si="92"/>
        <v>0</v>
      </c>
      <c r="S360" s="400">
        <f t="shared" si="92"/>
        <v>0</v>
      </c>
      <c r="T360" s="400">
        <f t="shared" si="92"/>
        <v>0</v>
      </c>
      <c r="U360" s="400">
        <f t="shared" si="92"/>
        <v>0</v>
      </c>
      <c r="V360" s="400">
        <f t="shared" si="92"/>
        <v>0</v>
      </c>
      <c r="W360" s="400">
        <f t="shared" si="92"/>
        <v>0</v>
      </c>
      <c r="X360" s="400">
        <f t="shared" si="92"/>
        <v>0</v>
      </c>
      <c r="Y360" s="400">
        <f t="shared" si="92"/>
        <v>0</v>
      </c>
      <c r="Z360" s="400">
        <f t="shared" si="92"/>
        <v>0</v>
      </c>
      <c r="AA360" s="400">
        <f t="shared" si="92"/>
        <v>0</v>
      </c>
      <c r="AB360" s="400">
        <f t="shared" si="92"/>
        <v>0</v>
      </c>
      <c r="AC360" s="400">
        <f t="shared" si="92"/>
        <v>0</v>
      </c>
      <c r="AD360" s="400">
        <f t="shared" si="92"/>
        <v>0</v>
      </c>
      <c r="AE360" s="400">
        <f t="shared" si="92"/>
        <v>0</v>
      </c>
      <c r="AF360" s="400">
        <f t="shared" si="92"/>
        <v>687000000</v>
      </c>
      <c r="AG360" s="400">
        <f t="shared" si="92"/>
        <v>0</v>
      </c>
      <c r="AH360" s="400">
        <f t="shared" si="92"/>
        <v>0</v>
      </c>
      <c r="AI360" s="400">
        <f t="shared" si="92"/>
        <v>0</v>
      </c>
      <c r="AJ360" s="400">
        <f t="shared" si="92"/>
        <v>0</v>
      </c>
      <c r="AK360" s="400">
        <f>SUM(AK358:AK359)</f>
        <v>687000000</v>
      </c>
    </row>
    <row r="361" spans="1:37" ht="30" customHeight="1" x14ac:dyDescent="0.2">
      <c r="A361" s="39"/>
      <c r="B361" s="93"/>
      <c r="C361" s="60"/>
      <c r="D361" s="59"/>
      <c r="E361" s="60"/>
      <c r="F361" s="60"/>
      <c r="G361" s="59"/>
      <c r="H361" s="60"/>
      <c r="I361" s="59"/>
      <c r="J361" s="61"/>
      <c r="K361" s="111"/>
      <c r="L361" s="111"/>
      <c r="M361" s="61"/>
      <c r="N361" s="60"/>
      <c r="O361" s="59"/>
      <c r="P361" s="60"/>
      <c r="Q361" s="406">
        <f t="shared" ref="Q361:AK361" si="93">Q360</f>
        <v>0</v>
      </c>
      <c r="R361" s="406">
        <f t="shared" si="93"/>
        <v>0</v>
      </c>
      <c r="S361" s="406">
        <f t="shared" si="93"/>
        <v>0</v>
      </c>
      <c r="T361" s="406">
        <f t="shared" si="93"/>
        <v>0</v>
      </c>
      <c r="U361" s="406">
        <f t="shared" si="93"/>
        <v>0</v>
      </c>
      <c r="V361" s="406">
        <f t="shared" si="93"/>
        <v>0</v>
      </c>
      <c r="W361" s="406">
        <f t="shared" si="93"/>
        <v>0</v>
      </c>
      <c r="X361" s="406">
        <f t="shared" si="93"/>
        <v>0</v>
      </c>
      <c r="Y361" s="406">
        <f t="shared" si="93"/>
        <v>0</v>
      </c>
      <c r="Z361" s="406">
        <f t="shared" si="93"/>
        <v>0</v>
      </c>
      <c r="AA361" s="406">
        <f t="shared" si="93"/>
        <v>0</v>
      </c>
      <c r="AB361" s="406">
        <f t="shared" si="93"/>
        <v>0</v>
      </c>
      <c r="AC361" s="406">
        <f t="shared" si="93"/>
        <v>0</v>
      </c>
      <c r="AD361" s="406">
        <f t="shared" si="93"/>
        <v>0</v>
      </c>
      <c r="AE361" s="406">
        <f t="shared" si="93"/>
        <v>0</v>
      </c>
      <c r="AF361" s="406">
        <f t="shared" si="93"/>
        <v>687000000</v>
      </c>
      <c r="AG361" s="406">
        <f t="shared" si="93"/>
        <v>0</v>
      </c>
      <c r="AH361" s="406">
        <f t="shared" si="93"/>
        <v>0</v>
      </c>
      <c r="AI361" s="406">
        <f t="shared" si="93"/>
        <v>0</v>
      </c>
      <c r="AJ361" s="406">
        <f t="shared" si="93"/>
        <v>0</v>
      </c>
      <c r="AK361" s="406">
        <f t="shared" si="93"/>
        <v>687000000</v>
      </c>
    </row>
    <row r="362" spans="1:37" ht="30" customHeight="1" x14ac:dyDescent="0.2">
      <c r="A362" s="39"/>
      <c r="B362" s="69"/>
      <c r="C362" s="146"/>
      <c r="D362" s="69"/>
      <c r="E362" s="146"/>
      <c r="F362" s="146"/>
      <c r="G362" s="69"/>
      <c r="H362" s="146"/>
      <c r="I362" s="69"/>
      <c r="J362" s="70"/>
      <c r="K362" s="257"/>
      <c r="L362" s="257"/>
      <c r="M362" s="70"/>
      <c r="N362" s="146"/>
      <c r="O362" s="69"/>
      <c r="P362" s="146"/>
      <c r="Q362" s="395"/>
      <c r="R362" s="395"/>
      <c r="S362" s="395"/>
      <c r="T362" s="395"/>
      <c r="U362" s="395"/>
      <c r="V362" s="395"/>
      <c r="W362" s="395"/>
      <c r="X362" s="395"/>
      <c r="Y362" s="395"/>
      <c r="Z362" s="395"/>
      <c r="AA362" s="395"/>
      <c r="AB362" s="395"/>
      <c r="AC362" s="395"/>
      <c r="AD362" s="395"/>
      <c r="AE362" s="395"/>
      <c r="AF362" s="397"/>
      <c r="AG362" s="398"/>
      <c r="AH362" s="395"/>
      <c r="AI362" s="395"/>
      <c r="AJ362" s="395"/>
      <c r="AK362" s="399"/>
    </row>
    <row r="363" spans="1:37" ht="30" customHeight="1" x14ac:dyDescent="0.2">
      <c r="A363" s="39"/>
      <c r="B363" s="121">
        <v>28</v>
      </c>
      <c r="C363" s="37" t="s">
        <v>32</v>
      </c>
      <c r="D363" s="36"/>
      <c r="E363" s="36"/>
      <c r="F363" s="36"/>
      <c r="G363" s="36"/>
      <c r="H363" s="37"/>
      <c r="I363" s="36"/>
      <c r="J363" s="36"/>
      <c r="K363" s="122"/>
      <c r="L363" s="122"/>
      <c r="M363" s="36"/>
      <c r="N363" s="37"/>
      <c r="O363" s="36"/>
      <c r="P363" s="36"/>
      <c r="Q363" s="402"/>
      <c r="R363" s="402"/>
      <c r="S363" s="402"/>
      <c r="T363" s="402"/>
      <c r="U363" s="402"/>
      <c r="V363" s="402"/>
      <c r="W363" s="402"/>
      <c r="X363" s="402"/>
      <c r="Y363" s="402"/>
      <c r="Z363" s="402"/>
      <c r="AA363" s="402"/>
      <c r="AB363" s="402"/>
      <c r="AC363" s="402"/>
      <c r="AD363" s="402"/>
      <c r="AE363" s="402"/>
      <c r="AF363" s="403"/>
      <c r="AG363" s="402"/>
      <c r="AH363" s="402"/>
      <c r="AI363" s="402"/>
      <c r="AJ363" s="402"/>
      <c r="AK363" s="407"/>
    </row>
    <row r="364" spans="1:37" ht="30" customHeight="1" x14ac:dyDescent="0.2">
      <c r="A364" s="39"/>
      <c r="B364" s="73"/>
      <c r="C364" s="661"/>
      <c r="D364" s="655"/>
      <c r="E364" s="661"/>
      <c r="F364" s="661"/>
      <c r="G364" s="215">
        <v>89</v>
      </c>
      <c r="H364" s="77" t="s">
        <v>33</v>
      </c>
      <c r="I364" s="77"/>
      <c r="J364" s="77"/>
      <c r="K364" s="124"/>
      <c r="L364" s="124"/>
      <c r="M364" s="77"/>
      <c r="N364" s="169"/>
      <c r="O364" s="77"/>
      <c r="P364" s="77"/>
      <c r="Q364" s="263"/>
      <c r="R364" s="263"/>
      <c r="S364" s="263"/>
      <c r="T364" s="263"/>
      <c r="U364" s="263"/>
      <c r="V364" s="263"/>
      <c r="W364" s="263"/>
      <c r="X364" s="263"/>
      <c r="Y364" s="263"/>
      <c r="Z364" s="263"/>
      <c r="AA364" s="263"/>
      <c r="AB364" s="263"/>
      <c r="AC364" s="263"/>
      <c r="AD364" s="263"/>
      <c r="AE364" s="263"/>
      <c r="AF364" s="404"/>
      <c r="AG364" s="263"/>
      <c r="AH364" s="263"/>
      <c r="AI364" s="263"/>
      <c r="AJ364" s="263"/>
      <c r="AK364" s="265"/>
    </row>
    <row r="365" spans="1:37" ht="87.75" customHeight="1" x14ac:dyDescent="0.2">
      <c r="A365" s="39"/>
      <c r="B365" s="39"/>
      <c r="C365" s="661">
        <v>37</v>
      </c>
      <c r="D365" s="655" t="s">
        <v>461</v>
      </c>
      <c r="E365" s="661" t="s">
        <v>462</v>
      </c>
      <c r="F365" s="661">
        <v>60</v>
      </c>
      <c r="G365" s="679"/>
      <c r="H365" s="54">
        <v>288</v>
      </c>
      <c r="I365" s="679" t="s">
        <v>471</v>
      </c>
      <c r="J365" s="41">
        <v>1</v>
      </c>
      <c r="K365" s="42">
        <v>1</v>
      </c>
      <c r="L365" s="43">
        <v>201700360033</v>
      </c>
      <c r="M365" s="44" t="s">
        <v>464</v>
      </c>
      <c r="N365" s="54" t="s">
        <v>472</v>
      </c>
      <c r="O365" s="679" t="s">
        <v>979</v>
      </c>
      <c r="P365" s="54" t="s">
        <v>46</v>
      </c>
      <c r="Q365" s="391"/>
      <c r="R365" s="391"/>
      <c r="S365" s="391"/>
      <c r="T365" s="391"/>
      <c r="U365" s="391"/>
      <c r="V365" s="391"/>
      <c r="W365" s="391"/>
      <c r="X365" s="391"/>
      <c r="Y365" s="391"/>
      <c r="Z365" s="391"/>
      <c r="AA365" s="391"/>
      <c r="AB365" s="391"/>
      <c r="AC365" s="391"/>
      <c r="AD365" s="391"/>
      <c r="AE365" s="391"/>
      <c r="AF365" s="392">
        <f>617000000+200000000</f>
        <v>817000000</v>
      </c>
      <c r="AG365" s="392"/>
      <c r="AH365" s="391"/>
      <c r="AI365" s="393"/>
      <c r="AJ365" s="393"/>
      <c r="AK365" s="391">
        <f>Q365+R365+S365+T365+U365+V365+W365+X365+Y365+Z365+AA365+AB365+AC365+AD365+AE365+AF365+AG365+AH365+AI365+AJ365</f>
        <v>817000000</v>
      </c>
    </row>
    <row r="366" spans="1:37" ht="30" customHeight="1" x14ac:dyDescent="0.2">
      <c r="A366" s="39"/>
      <c r="B366" s="52"/>
      <c r="C366" s="662"/>
      <c r="D366" s="657"/>
      <c r="E366" s="662"/>
      <c r="F366" s="662"/>
      <c r="G366" s="55"/>
      <c r="H366" s="56"/>
      <c r="I366" s="55"/>
      <c r="J366" s="57"/>
      <c r="K366" s="109"/>
      <c r="L366" s="109"/>
      <c r="M366" s="57"/>
      <c r="N366" s="56"/>
      <c r="O366" s="55"/>
      <c r="P366" s="56"/>
      <c r="Q366" s="463">
        <f t="shared" ref="Q366:AJ366" si="94">SUM(Q365)</f>
        <v>0</v>
      </c>
      <c r="R366" s="463">
        <f t="shared" si="94"/>
        <v>0</v>
      </c>
      <c r="S366" s="463">
        <f t="shared" si="94"/>
        <v>0</v>
      </c>
      <c r="T366" s="463">
        <f t="shared" si="94"/>
        <v>0</v>
      </c>
      <c r="U366" s="463">
        <f t="shared" si="94"/>
        <v>0</v>
      </c>
      <c r="V366" s="463">
        <f t="shared" si="94"/>
        <v>0</v>
      </c>
      <c r="W366" s="463">
        <f t="shared" si="94"/>
        <v>0</v>
      </c>
      <c r="X366" s="463">
        <f t="shared" si="94"/>
        <v>0</v>
      </c>
      <c r="Y366" s="463">
        <f t="shared" si="94"/>
        <v>0</v>
      </c>
      <c r="Z366" s="463">
        <f t="shared" si="94"/>
        <v>0</v>
      </c>
      <c r="AA366" s="463">
        <f t="shared" si="94"/>
        <v>0</v>
      </c>
      <c r="AB366" s="463">
        <f t="shared" si="94"/>
        <v>0</v>
      </c>
      <c r="AC366" s="463">
        <f t="shared" si="94"/>
        <v>0</v>
      </c>
      <c r="AD366" s="463">
        <f t="shared" si="94"/>
        <v>0</v>
      </c>
      <c r="AE366" s="463">
        <f t="shared" si="94"/>
        <v>0</v>
      </c>
      <c r="AF366" s="463">
        <f t="shared" si="94"/>
        <v>817000000</v>
      </c>
      <c r="AG366" s="463">
        <f t="shared" si="94"/>
        <v>0</v>
      </c>
      <c r="AH366" s="463">
        <f t="shared" si="94"/>
        <v>0</v>
      </c>
      <c r="AI366" s="463">
        <f t="shared" si="94"/>
        <v>0</v>
      </c>
      <c r="AJ366" s="463">
        <f t="shared" si="94"/>
        <v>0</v>
      </c>
      <c r="AK366" s="463">
        <f>SUM(AK365)</f>
        <v>817000000</v>
      </c>
    </row>
    <row r="367" spans="1:37" ht="30" customHeight="1" x14ac:dyDescent="0.2">
      <c r="A367" s="52"/>
      <c r="B367" s="93"/>
      <c r="C367" s="60"/>
      <c r="D367" s="59"/>
      <c r="E367" s="60"/>
      <c r="F367" s="60"/>
      <c r="G367" s="59"/>
      <c r="H367" s="60"/>
      <c r="I367" s="59"/>
      <c r="J367" s="61"/>
      <c r="K367" s="111"/>
      <c r="L367" s="111"/>
      <c r="M367" s="61"/>
      <c r="N367" s="60"/>
      <c r="O367" s="59"/>
      <c r="P367" s="60"/>
      <c r="Q367" s="464">
        <f t="shared" ref="Q367:AJ367" si="95">Q366</f>
        <v>0</v>
      </c>
      <c r="R367" s="464">
        <f t="shared" si="95"/>
        <v>0</v>
      </c>
      <c r="S367" s="464">
        <f t="shared" si="95"/>
        <v>0</v>
      </c>
      <c r="T367" s="464">
        <f t="shared" si="95"/>
        <v>0</v>
      </c>
      <c r="U367" s="464">
        <f t="shared" si="95"/>
        <v>0</v>
      </c>
      <c r="V367" s="464">
        <f t="shared" si="95"/>
        <v>0</v>
      </c>
      <c r="W367" s="464">
        <f t="shared" si="95"/>
        <v>0</v>
      </c>
      <c r="X367" s="464">
        <f t="shared" si="95"/>
        <v>0</v>
      </c>
      <c r="Y367" s="464">
        <f t="shared" si="95"/>
        <v>0</v>
      </c>
      <c r="Z367" s="464">
        <f t="shared" si="95"/>
        <v>0</v>
      </c>
      <c r="AA367" s="464">
        <f t="shared" si="95"/>
        <v>0</v>
      </c>
      <c r="AB367" s="464">
        <f t="shared" si="95"/>
        <v>0</v>
      </c>
      <c r="AC367" s="464">
        <f t="shared" si="95"/>
        <v>0</v>
      </c>
      <c r="AD367" s="464">
        <f t="shared" si="95"/>
        <v>0</v>
      </c>
      <c r="AE367" s="464">
        <f t="shared" si="95"/>
        <v>0</v>
      </c>
      <c r="AF367" s="464">
        <f t="shared" si="95"/>
        <v>817000000</v>
      </c>
      <c r="AG367" s="464">
        <f t="shared" si="95"/>
        <v>0</v>
      </c>
      <c r="AH367" s="464">
        <f t="shared" si="95"/>
        <v>0</v>
      </c>
      <c r="AI367" s="464">
        <f t="shared" si="95"/>
        <v>0</v>
      </c>
      <c r="AJ367" s="464">
        <f t="shared" si="95"/>
        <v>0</v>
      </c>
      <c r="AK367" s="464">
        <f>AK366</f>
        <v>817000000</v>
      </c>
    </row>
    <row r="368" spans="1:37" ht="30" customHeight="1" x14ac:dyDescent="0.2">
      <c r="A368" s="62"/>
      <c r="B368" s="62"/>
      <c r="C368" s="63"/>
      <c r="D368" s="62"/>
      <c r="E368" s="63"/>
      <c r="F368" s="63"/>
      <c r="G368" s="62"/>
      <c r="H368" s="63"/>
      <c r="I368" s="62"/>
      <c r="J368" s="64"/>
      <c r="K368" s="112"/>
      <c r="L368" s="112"/>
      <c r="M368" s="64"/>
      <c r="N368" s="63"/>
      <c r="O368" s="62"/>
      <c r="P368" s="63"/>
      <c r="Q368" s="465">
        <f t="shared" ref="Q368:AJ368" si="96">Q367+Q361</f>
        <v>0</v>
      </c>
      <c r="R368" s="465">
        <f t="shared" si="96"/>
        <v>0</v>
      </c>
      <c r="S368" s="465">
        <f t="shared" si="96"/>
        <v>0</v>
      </c>
      <c r="T368" s="465">
        <f t="shared" si="96"/>
        <v>0</v>
      </c>
      <c r="U368" s="465">
        <f t="shared" si="96"/>
        <v>0</v>
      </c>
      <c r="V368" s="465">
        <f t="shared" si="96"/>
        <v>0</v>
      </c>
      <c r="W368" s="465">
        <f t="shared" si="96"/>
        <v>0</v>
      </c>
      <c r="X368" s="465">
        <f t="shared" si="96"/>
        <v>0</v>
      </c>
      <c r="Y368" s="465">
        <f t="shared" si="96"/>
        <v>0</v>
      </c>
      <c r="Z368" s="465">
        <f t="shared" si="96"/>
        <v>0</v>
      </c>
      <c r="AA368" s="465">
        <f t="shared" si="96"/>
        <v>0</v>
      </c>
      <c r="AB368" s="465">
        <f t="shared" si="96"/>
        <v>0</v>
      </c>
      <c r="AC368" s="465">
        <f t="shared" si="96"/>
        <v>0</v>
      </c>
      <c r="AD368" s="465">
        <f t="shared" si="96"/>
        <v>0</v>
      </c>
      <c r="AE368" s="465">
        <f t="shared" si="96"/>
        <v>0</v>
      </c>
      <c r="AF368" s="465">
        <f t="shared" si="96"/>
        <v>1504000000</v>
      </c>
      <c r="AG368" s="465">
        <f t="shared" si="96"/>
        <v>0</v>
      </c>
      <c r="AH368" s="465">
        <f t="shared" si="96"/>
        <v>0</v>
      </c>
      <c r="AI368" s="465">
        <f t="shared" si="96"/>
        <v>0</v>
      </c>
      <c r="AJ368" s="465">
        <f t="shared" si="96"/>
        <v>0</v>
      </c>
      <c r="AK368" s="465">
        <f>AK367+AK361</f>
        <v>1504000000</v>
      </c>
    </row>
    <row r="369" spans="1:37" ht="30" customHeight="1" x14ac:dyDescent="0.2">
      <c r="A369" s="65"/>
      <c r="B369" s="65"/>
      <c r="C369" s="66"/>
      <c r="D369" s="65"/>
      <c r="E369" s="66"/>
      <c r="F369" s="66"/>
      <c r="G369" s="65"/>
      <c r="H369" s="66"/>
      <c r="I369" s="65"/>
      <c r="J369" s="67"/>
      <c r="K369" s="113"/>
      <c r="L369" s="113"/>
      <c r="M369" s="67"/>
      <c r="N369" s="66"/>
      <c r="O369" s="65"/>
      <c r="P369" s="66"/>
      <c r="Q369" s="466">
        <f t="shared" ref="Q369:AJ369" si="97">Q368</f>
        <v>0</v>
      </c>
      <c r="R369" s="466">
        <f t="shared" si="97"/>
        <v>0</v>
      </c>
      <c r="S369" s="466">
        <f t="shared" si="97"/>
        <v>0</v>
      </c>
      <c r="T369" s="466">
        <f t="shared" si="97"/>
        <v>0</v>
      </c>
      <c r="U369" s="466">
        <f t="shared" si="97"/>
        <v>0</v>
      </c>
      <c r="V369" s="466">
        <f t="shared" si="97"/>
        <v>0</v>
      </c>
      <c r="W369" s="466">
        <f t="shared" si="97"/>
        <v>0</v>
      </c>
      <c r="X369" s="466">
        <f t="shared" si="97"/>
        <v>0</v>
      </c>
      <c r="Y369" s="466">
        <f t="shared" si="97"/>
        <v>0</v>
      </c>
      <c r="Z369" s="466">
        <f t="shared" si="97"/>
        <v>0</v>
      </c>
      <c r="AA369" s="466">
        <f t="shared" si="97"/>
        <v>0</v>
      </c>
      <c r="AB369" s="466">
        <f t="shared" si="97"/>
        <v>0</v>
      </c>
      <c r="AC369" s="466">
        <f t="shared" si="97"/>
        <v>0</v>
      </c>
      <c r="AD369" s="466">
        <f t="shared" si="97"/>
        <v>0</v>
      </c>
      <c r="AE369" s="466">
        <f t="shared" si="97"/>
        <v>0</v>
      </c>
      <c r="AF369" s="466">
        <f t="shared" si="97"/>
        <v>1504000000</v>
      </c>
      <c r="AG369" s="466">
        <f t="shared" si="97"/>
        <v>0</v>
      </c>
      <c r="AH369" s="466">
        <f t="shared" si="97"/>
        <v>0</v>
      </c>
      <c r="AI369" s="466">
        <f t="shared" si="97"/>
        <v>0</v>
      </c>
      <c r="AJ369" s="466">
        <f t="shared" si="97"/>
        <v>0</v>
      </c>
      <c r="AK369" s="466">
        <f>AK368</f>
        <v>1504000000</v>
      </c>
    </row>
    <row r="370" spans="1:37" ht="30" customHeight="1" x14ac:dyDescent="0.2">
      <c r="A370" s="68"/>
      <c r="B370" s="69"/>
      <c r="C370" s="146"/>
      <c r="D370" s="69"/>
      <c r="E370" s="146"/>
      <c r="F370" s="146"/>
      <c r="G370" s="69"/>
      <c r="H370" s="146"/>
      <c r="I370" s="69"/>
      <c r="J370" s="70"/>
      <c r="K370" s="257"/>
      <c r="L370" s="257"/>
      <c r="M370" s="70"/>
      <c r="N370" s="146"/>
      <c r="O370" s="69"/>
      <c r="P370" s="146"/>
      <c r="Q370" s="395"/>
      <c r="R370" s="395"/>
      <c r="S370" s="395"/>
      <c r="T370" s="395"/>
      <c r="U370" s="395"/>
      <c r="V370" s="395"/>
      <c r="W370" s="395"/>
      <c r="X370" s="395"/>
      <c r="Y370" s="395"/>
      <c r="Z370" s="395"/>
      <c r="AA370" s="395"/>
      <c r="AB370" s="396"/>
      <c r="AC370" s="396"/>
      <c r="AD370" s="395"/>
      <c r="AE370" s="395"/>
      <c r="AF370" s="397"/>
      <c r="AG370" s="398"/>
      <c r="AH370" s="395"/>
      <c r="AI370" s="395"/>
      <c r="AJ370" s="395"/>
      <c r="AK370" s="395"/>
    </row>
    <row r="371" spans="1:37" ht="30" customHeight="1" x14ac:dyDescent="0.2">
      <c r="A371" s="28" t="s">
        <v>474</v>
      </c>
      <c r="B371" s="29"/>
      <c r="C371" s="30"/>
      <c r="D371" s="29"/>
      <c r="E371" s="29"/>
      <c r="F371" s="29"/>
      <c r="G371" s="29"/>
      <c r="H371" s="30"/>
      <c r="I371" s="29"/>
      <c r="J371" s="29"/>
      <c r="K371" s="258"/>
      <c r="L371" s="258"/>
      <c r="M371" s="29"/>
      <c r="N371" s="30"/>
      <c r="O371" s="29"/>
      <c r="P371" s="30"/>
      <c r="Q371" s="459"/>
      <c r="R371" s="459"/>
      <c r="S371" s="459"/>
      <c r="T371" s="459"/>
      <c r="U371" s="459"/>
      <c r="V371" s="459"/>
      <c r="W371" s="459"/>
      <c r="X371" s="459"/>
      <c r="Y371" s="459"/>
      <c r="Z371" s="459"/>
      <c r="AA371" s="459"/>
      <c r="AB371" s="459"/>
      <c r="AC371" s="459"/>
      <c r="AD371" s="459"/>
      <c r="AE371" s="459"/>
      <c r="AF371" s="460"/>
      <c r="AG371" s="461"/>
      <c r="AH371" s="459"/>
      <c r="AI371" s="459"/>
      <c r="AJ371" s="459"/>
      <c r="AK371" s="459" t="s">
        <v>63</v>
      </c>
    </row>
    <row r="372" spans="1:37" ht="30" customHeight="1" x14ac:dyDescent="0.2">
      <c r="A372" s="738">
        <v>3</v>
      </c>
      <c r="B372" s="31" t="s">
        <v>264</v>
      </c>
      <c r="C372" s="32"/>
      <c r="D372" s="31"/>
      <c r="E372" s="31"/>
      <c r="F372" s="31"/>
      <c r="G372" s="31"/>
      <c r="H372" s="32"/>
      <c r="I372" s="31"/>
      <c r="J372" s="31"/>
      <c r="K372" s="120"/>
      <c r="L372" s="120"/>
      <c r="M372" s="31"/>
      <c r="N372" s="32"/>
      <c r="O372" s="31"/>
      <c r="P372" s="31"/>
      <c r="Q372" s="421"/>
      <c r="R372" s="421"/>
      <c r="S372" s="421"/>
      <c r="T372" s="421"/>
      <c r="U372" s="421"/>
      <c r="V372" s="421"/>
      <c r="W372" s="421"/>
      <c r="X372" s="421"/>
      <c r="Y372" s="421"/>
      <c r="Z372" s="421"/>
      <c r="AA372" s="421"/>
      <c r="AB372" s="421"/>
      <c r="AC372" s="421"/>
      <c r="AD372" s="421"/>
      <c r="AE372" s="421"/>
      <c r="AF372" s="422"/>
      <c r="AG372" s="421"/>
      <c r="AH372" s="421"/>
      <c r="AI372" s="421"/>
      <c r="AJ372" s="421"/>
      <c r="AK372" s="421"/>
    </row>
    <row r="373" spans="1:37" ht="30" customHeight="1" x14ac:dyDescent="0.2">
      <c r="A373" s="73"/>
      <c r="B373" s="121">
        <v>5</v>
      </c>
      <c r="C373" s="35" t="s">
        <v>475</v>
      </c>
      <c r="D373" s="36"/>
      <c r="E373" s="36"/>
      <c r="F373" s="36"/>
      <c r="G373" s="36"/>
      <c r="H373" s="37"/>
      <c r="I373" s="36"/>
      <c r="J373" s="36"/>
      <c r="K373" s="122"/>
      <c r="L373" s="122"/>
      <c r="M373" s="36"/>
      <c r="N373" s="37"/>
      <c r="O373" s="36"/>
      <c r="P373" s="36"/>
      <c r="Q373" s="402"/>
      <c r="R373" s="402"/>
      <c r="S373" s="402"/>
      <c r="T373" s="402"/>
      <c r="U373" s="402"/>
      <c r="V373" s="402"/>
      <c r="W373" s="402"/>
      <c r="X373" s="402"/>
      <c r="Y373" s="402"/>
      <c r="Z373" s="402"/>
      <c r="AA373" s="402"/>
      <c r="AB373" s="402"/>
      <c r="AC373" s="402"/>
      <c r="AD373" s="402"/>
      <c r="AE373" s="402"/>
      <c r="AF373" s="403"/>
      <c r="AG373" s="402"/>
      <c r="AH373" s="402"/>
      <c r="AI373" s="402"/>
      <c r="AJ373" s="402"/>
      <c r="AK373" s="402"/>
    </row>
    <row r="374" spans="1:37" ht="30" customHeight="1" x14ac:dyDescent="0.2">
      <c r="A374" s="39"/>
      <c r="B374" s="73"/>
      <c r="C374" s="661"/>
      <c r="D374" s="655"/>
      <c r="E374" s="661"/>
      <c r="F374" s="661"/>
      <c r="G374" s="215">
        <v>16</v>
      </c>
      <c r="H374" s="77" t="s">
        <v>476</v>
      </c>
      <c r="I374" s="77"/>
      <c r="J374" s="77"/>
      <c r="K374" s="124"/>
      <c r="L374" s="124"/>
      <c r="M374" s="77"/>
      <c r="N374" s="169"/>
      <c r="O374" s="77"/>
      <c r="P374" s="77"/>
      <c r="Q374" s="263"/>
      <c r="R374" s="263"/>
      <c r="S374" s="263"/>
      <c r="T374" s="263"/>
      <c r="U374" s="263"/>
      <c r="V374" s="263"/>
      <c r="W374" s="263"/>
      <c r="X374" s="263"/>
      <c r="Y374" s="263"/>
      <c r="Z374" s="263"/>
      <c r="AA374" s="263"/>
      <c r="AB374" s="263"/>
      <c r="AC374" s="263"/>
      <c r="AD374" s="263"/>
      <c r="AE374" s="263"/>
      <c r="AF374" s="404"/>
      <c r="AG374" s="263"/>
      <c r="AH374" s="263"/>
      <c r="AI374" s="263"/>
      <c r="AJ374" s="263"/>
      <c r="AK374" s="263"/>
    </row>
    <row r="375" spans="1:37" ht="61.5" customHeight="1" x14ac:dyDescent="0.2">
      <c r="A375" s="39"/>
      <c r="B375" s="39"/>
      <c r="C375" s="662">
        <v>15</v>
      </c>
      <c r="D375" s="657" t="s">
        <v>477</v>
      </c>
      <c r="E375" s="284">
        <v>0.73229999999999995</v>
      </c>
      <c r="F375" s="284">
        <v>0.78</v>
      </c>
      <c r="G375" s="40"/>
      <c r="H375" s="54">
        <v>65</v>
      </c>
      <c r="I375" s="679" t="s">
        <v>478</v>
      </c>
      <c r="J375" s="165">
        <v>1</v>
      </c>
      <c r="K375" s="105">
        <v>1</v>
      </c>
      <c r="L375" s="784">
        <v>2017003630002</v>
      </c>
      <c r="M375" s="803" t="s">
        <v>479</v>
      </c>
      <c r="N375" s="774" t="s">
        <v>480</v>
      </c>
      <c r="O375" s="777" t="s">
        <v>980</v>
      </c>
      <c r="P375" s="54" t="s">
        <v>46</v>
      </c>
      <c r="Q375" s="391">
        <v>0</v>
      </c>
      <c r="R375" s="391">
        <v>0</v>
      </c>
      <c r="S375" s="391">
        <v>0</v>
      </c>
      <c r="T375" s="391">
        <v>0</v>
      </c>
      <c r="U375" s="391">
        <v>0</v>
      </c>
      <c r="V375" s="391">
        <v>0</v>
      </c>
      <c r="W375" s="467">
        <f>2640000000</f>
        <v>2640000000</v>
      </c>
      <c r="X375" s="391"/>
      <c r="Y375" s="391"/>
      <c r="Z375" s="391">
        <v>0</v>
      </c>
      <c r="AA375" s="391">
        <v>0</v>
      </c>
      <c r="AB375" s="391"/>
      <c r="AC375" s="391"/>
      <c r="AD375" s="391"/>
      <c r="AE375" s="391">
        <v>0</v>
      </c>
      <c r="AF375" s="576">
        <f>1250000000+97827540+1000000000-584035436</f>
        <v>1763792104</v>
      </c>
      <c r="AG375" s="394"/>
      <c r="AH375" s="391">
        <v>79557</v>
      </c>
      <c r="AI375" s="468"/>
      <c r="AJ375" s="468"/>
      <c r="AK375" s="391">
        <f>Q375+R375+S375+T375+U375+V375+W375+X375+Y375+Z375+AA375+AB375+AC375+AD375+AE375+AF375+AG375+AH375+AI375+AJ375</f>
        <v>4403871661</v>
      </c>
    </row>
    <row r="376" spans="1:37" ht="61.5" customHeight="1" x14ac:dyDescent="0.2">
      <c r="A376" s="39"/>
      <c r="B376" s="39"/>
      <c r="C376" s="677">
        <v>19</v>
      </c>
      <c r="D376" s="679" t="s">
        <v>482</v>
      </c>
      <c r="E376" s="259" t="s">
        <v>483</v>
      </c>
      <c r="F376" s="259" t="s">
        <v>484</v>
      </c>
      <c r="G376" s="46"/>
      <c r="H376" s="54">
        <v>66</v>
      </c>
      <c r="I376" s="679" t="s">
        <v>485</v>
      </c>
      <c r="J376" s="165">
        <v>1</v>
      </c>
      <c r="K376" s="105">
        <v>1</v>
      </c>
      <c r="L376" s="785"/>
      <c r="M376" s="804"/>
      <c r="N376" s="775"/>
      <c r="O376" s="778"/>
      <c r="P376" s="54" t="s">
        <v>46</v>
      </c>
      <c r="Q376" s="391"/>
      <c r="R376" s="391"/>
      <c r="S376" s="391"/>
      <c r="T376" s="391"/>
      <c r="U376" s="391"/>
      <c r="V376" s="391"/>
      <c r="W376" s="642">
        <f>740763200-373504909</f>
        <v>367258291</v>
      </c>
      <c r="X376" s="391"/>
      <c r="Y376" s="391"/>
      <c r="Z376" s="391"/>
      <c r="AA376" s="391"/>
      <c r="AB376" s="469">
        <f>35181428-35181428</f>
        <v>0</v>
      </c>
      <c r="AC376" s="391"/>
      <c r="AD376" s="638">
        <f>7780000000+622078305+643761133+35181428+454906981</f>
        <v>9535927847</v>
      </c>
      <c r="AE376" s="391"/>
      <c r="AF376" s="470">
        <f>287000000+1977067+30000000-30000000</f>
        <v>288977067</v>
      </c>
      <c r="AG376" s="394"/>
      <c r="AH376" s="391"/>
      <c r="AI376" s="393"/>
      <c r="AJ376" s="638">
        <v>709732517</v>
      </c>
      <c r="AK376" s="391">
        <f>Q376+R376+S376+T376+U376+V376+W376+X376+Y376+Z376+AA376+AB376+AC376+AD376+AE376+AF376+AG376+AH376+AI376+AJ376</f>
        <v>10901895722</v>
      </c>
    </row>
    <row r="377" spans="1:37" ht="61.5" customHeight="1" x14ac:dyDescent="0.2">
      <c r="A377" s="39"/>
      <c r="B377" s="39"/>
      <c r="C377" s="661">
        <v>14</v>
      </c>
      <c r="D377" s="40" t="s">
        <v>486</v>
      </c>
      <c r="E377" s="682">
        <v>6.2E-2</v>
      </c>
      <c r="F377" s="682">
        <v>0.03</v>
      </c>
      <c r="G377" s="46"/>
      <c r="H377" s="54">
        <v>67</v>
      </c>
      <c r="I377" s="679" t="s">
        <v>487</v>
      </c>
      <c r="J377" s="165">
        <v>1</v>
      </c>
      <c r="K377" s="105">
        <v>1</v>
      </c>
      <c r="L377" s="786"/>
      <c r="M377" s="805"/>
      <c r="N377" s="776"/>
      <c r="O377" s="779"/>
      <c r="P377" s="54" t="s">
        <v>46</v>
      </c>
      <c r="Q377" s="391"/>
      <c r="R377" s="391"/>
      <c r="S377" s="391"/>
      <c r="T377" s="391"/>
      <c r="U377" s="391"/>
      <c r="V377" s="391"/>
      <c r="W377" s="467">
        <f>114133362+76666638</f>
        <v>190800000</v>
      </c>
      <c r="X377" s="391"/>
      <c r="Y377" s="391"/>
      <c r="Z377" s="391"/>
      <c r="AA377" s="391"/>
      <c r="AB377" s="391"/>
      <c r="AC377" s="391"/>
      <c r="AD377" s="391"/>
      <c r="AE377" s="391"/>
      <c r="AF377" s="470">
        <v>900000000</v>
      </c>
      <c r="AG377" s="394"/>
      <c r="AH377" s="391"/>
      <c r="AI377" s="393"/>
      <c r="AJ377" s="393"/>
      <c r="AK377" s="391">
        <f>Q377+R377+S377+T377+U377+V377+W377+X377+Y377+Z377+AA377+AB377+AC377+AD377+AE377+AF377+AG377+AH377+AI377+AJ377</f>
        <v>1090800000</v>
      </c>
    </row>
    <row r="378" spans="1:37" ht="30" customHeight="1" x14ac:dyDescent="0.2">
      <c r="A378" s="39"/>
      <c r="B378" s="39"/>
      <c r="C378" s="662"/>
      <c r="D378" s="657"/>
      <c r="E378" s="662"/>
      <c r="F378" s="662"/>
      <c r="G378" s="55"/>
      <c r="H378" s="56"/>
      <c r="I378" s="55"/>
      <c r="J378" s="187"/>
      <c r="K378" s="132"/>
      <c r="L378" s="132"/>
      <c r="M378" s="187"/>
      <c r="N378" s="56"/>
      <c r="O378" s="55"/>
      <c r="P378" s="56"/>
      <c r="Q378" s="471">
        <f t="shared" ref="Q378:AI378" si="98">SUM(Q375:Q377)</f>
        <v>0</v>
      </c>
      <c r="R378" s="471">
        <f t="shared" si="98"/>
        <v>0</v>
      </c>
      <c r="S378" s="471">
        <f t="shared" si="98"/>
        <v>0</v>
      </c>
      <c r="T378" s="471">
        <f t="shared" si="98"/>
        <v>0</v>
      </c>
      <c r="U378" s="471">
        <f t="shared" si="98"/>
        <v>0</v>
      </c>
      <c r="V378" s="471">
        <f t="shared" si="98"/>
        <v>0</v>
      </c>
      <c r="W378" s="471">
        <f t="shared" si="98"/>
        <v>3198058291</v>
      </c>
      <c r="X378" s="471">
        <f t="shared" si="98"/>
        <v>0</v>
      </c>
      <c r="Y378" s="471">
        <f t="shared" si="98"/>
        <v>0</v>
      </c>
      <c r="Z378" s="471">
        <f t="shared" si="98"/>
        <v>0</v>
      </c>
      <c r="AA378" s="471">
        <f t="shared" si="98"/>
        <v>0</v>
      </c>
      <c r="AB378" s="471">
        <f t="shared" si="98"/>
        <v>0</v>
      </c>
      <c r="AC378" s="471">
        <f t="shared" si="98"/>
        <v>0</v>
      </c>
      <c r="AD378" s="471">
        <f t="shared" si="98"/>
        <v>9535927847</v>
      </c>
      <c r="AE378" s="471">
        <f t="shared" si="98"/>
        <v>0</v>
      </c>
      <c r="AF378" s="471">
        <f t="shared" si="98"/>
        <v>2952769171</v>
      </c>
      <c r="AG378" s="471">
        <f t="shared" si="98"/>
        <v>0</v>
      </c>
      <c r="AH378" s="471">
        <f t="shared" si="98"/>
        <v>79557</v>
      </c>
      <c r="AI378" s="471">
        <f t="shared" si="98"/>
        <v>0</v>
      </c>
      <c r="AJ378" s="471">
        <f>SUM(AJ375:AJ377)</f>
        <v>709732517</v>
      </c>
      <c r="AK378" s="471">
        <f>SUM(AK375:AK377)</f>
        <v>16396567383</v>
      </c>
    </row>
    <row r="379" spans="1:37" ht="30" customHeight="1" x14ac:dyDescent="0.2">
      <c r="A379" s="39"/>
      <c r="B379" s="39"/>
      <c r="C379" s="146"/>
      <c r="D379" s="69"/>
      <c r="E379" s="260"/>
      <c r="F379" s="260"/>
      <c r="G379" s="69"/>
      <c r="H379" s="146"/>
      <c r="I379" s="69"/>
      <c r="J379" s="191"/>
      <c r="K379" s="147"/>
      <c r="L379" s="261"/>
      <c r="M379" s="262"/>
      <c r="N379" s="390"/>
      <c r="O379" s="99"/>
      <c r="P379" s="146"/>
      <c r="Q379" s="395"/>
      <c r="R379" s="396"/>
      <c r="S379" s="395"/>
      <c r="T379" s="395"/>
      <c r="U379" s="395"/>
      <c r="V379" s="395"/>
      <c r="W379" s="395"/>
      <c r="X379" s="395"/>
      <c r="Y379" s="395"/>
      <c r="Z379" s="395"/>
      <c r="AA379" s="395"/>
      <c r="AB379" s="396"/>
      <c r="AC379" s="396"/>
      <c r="AD379" s="395"/>
      <c r="AE379" s="395"/>
      <c r="AF379" s="749" t="s">
        <v>63</v>
      </c>
      <c r="AG379" s="398"/>
      <c r="AH379" s="395"/>
      <c r="AI379" s="395"/>
      <c r="AJ379" s="395"/>
      <c r="AK379" s="395"/>
    </row>
    <row r="380" spans="1:37" ht="30" customHeight="1" x14ac:dyDescent="0.2">
      <c r="A380" s="39"/>
      <c r="B380" s="39"/>
      <c r="C380" s="661"/>
      <c r="D380" s="655"/>
      <c r="E380" s="661"/>
      <c r="F380" s="661"/>
      <c r="G380" s="215">
        <v>17</v>
      </c>
      <c r="H380" s="77" t="s">
        <v>488</v>
      </c>
      <c r="I380" s="77"/>
      <c r="J380" s="77"/>
      <c r="K380" s="124"/>
      <c r="L380" s="124"/>
      <c r="M380" s="77"/>
      <c r="N380" s="169"/>
      <c r="O380" s="77"/>
      <c r="P380" s="77"/>
      <c r="Q380" s="263"/>
      <c r="R380" s="263"/>
      <c r="S380" s="263"/>
      <c r="T380" s="263"/>
      <c r="U380" s="263"/>
      <c r="V380" s="263"/>
      <c r="W380" s="263"/>
      <c r="X380" s="263"/>
      <c r="Y380" s="263"/>
      <c r="Z380" s="263"/>
      <c r="AA380" s="263"/>
      <c r="AB380" s="263"/>
      <c r="AC380" s="263"/>
      <c r="AD380" s="263"/>
      <c r="AE380" s="263"/>
      <c r="AF380" s="404"/>
      <c r="AG380" s="263"/>
      <c r="AH380" s="263"/>
      <c r="AI380" s="263"/>
      <c r="AJ380" s="263"/>
      <c r="AK380" s="265"/>
    </row>
    <row r="381" spans="1:37" ht="95.25" customHeight="1" x14ac:dyDescent="0.2">
      <c r="A381" s="39"/>
      <c r="B381" s="39"/>
      <c r="C381" s="662">
        <v>14</v>
      </c>
      <c r="D381" s="90" t="s">
        <v>486</v>
      </c>
      <c r="E381" s="284">
        <v>6.2E-2</v>
      </c>
      <c r="F381" s="284">
        <v>0.03</v>
      </c>
      <c r="G381" s="40"/>
      <c r="H381" s="54">
        <v>68</v>
      </c>
      <c r="I381" s="679" t="s">
        <v>489</v>
      </c>
      <c r="J381" s="165">
        <v>4357</v>
      </c>
      <c r="K381" s="42">
        <v>4500</v>
      </c>
      <c r="L381" s="784">
        <v>2017003630001</v>
      </c>
      <c r="M381" s="806" t="s">
        <v>479</v>
      </c>
      <c r="N381" s="774" t="s">
        <v>490</v>
      </c>
      <c r="O381" s="777" t="s">
        <v>981</v>
      </c>
      <c r="P381" s="54" t="s">
        <v>46</v>
      </c>
      <c r="Q381" s="391">
        <v>0</v>
      </c>
      <c r="R381" s="391">
        <v>0</v>
      </c>
      <c r="S381" s="391">
        <v>0</v>
      </c>
      <c r="T381" s="391">
        <v>0</v>
      </c>
      <c r="U381" s="391">
        <v>0</v>
      </c>
      <c r="V381" s="391">
        <v>0</v>
      </c>
      <c r="W381" s="391">
        <v>0</v>
      </c>
      <c r="X381" s="391"/>
      <c r="Y381" s="391"/>
      <c r="Z381" s="391">
        <v>0</v>
      </c>
      <c r="AA381" s="391">
        <v>0</v>
      </c>
      <c r="AB381" s="419"/>
      <c r="AC381" s="419"/>
      <c r="AD381" s="391">
        <v>0</v>
      </c>
      <c r="AE381" s="391">
        <v>0</v>
      </c>
      <c r="AF381" s="470">
        <v>7200000</v>
      </c>
      <c r="AG381" s="405"/>
      <c r="AH381" s="391">
        <v>0</v>
      </c>
      <c r="AI381" s="393"/>
      <c r="AJ381" s="393">
        <v>0</v>
      </c>
      <c r="AK381" s="391">
        <f t="shared" ref="AK381:AK386" si="99">Q381+R381+S381+T381+U381+V381+W381+X381+Y381+Z381+AA381+AB381+AC381+AD381+AE381+AF381+AG381+AH381+AI381+AJ381</f>
        <v>7200000</v>
      </c>
    </row>
    <row r="382" spans="1:37" ht="95.25" customHeight="1" x14ac:dyDescent="0.2">
      <c r="A382" s="39"/>
      <c r="B382" s="39"/>
      <c r="C382" s="677">
        <v>15</v>
      </c>
      <c r="D382" s="679" t="s">
        <v>477</v>
      </c>
      <c r="E382" s="259">
        <v>0.73229999999999995</v>
      </c>
      <c r="F382" s="259">
        <v>0.78</v>
      </c>
      <c r="G382" s="46"/>
      <c r="H382" s="54">
        <v>69</v>
      </c>
      <c r="I382" s="679" t="s">
        <v>492</v>
      </c>
      <c r="J382" s="259" t="s">
        <v>37</v>
      </c>
      <c r="K382" s="42">
        <v>1</v>
      </c>
      <c r="L382" s="785"/>
      <c r="M382" s="807"/>
      <c r="N382" s="775"/>
      <c r="O382" s="778"/>
      <c r="P382" s="54" t="s">
        <v>46</v>
      </c>
      <c r="Q382" s="391">
        <v>0</v>
      </c>
      <c r="R382" s="391">
        <v>0</v>
      </c>
      <c r="S382" s="391">
        <v>0</v>
      </c>
      <c r="T382" s="391">
        <v>0</v>
      </c>
      <c r="U382" s="391">
        <v>0</v>
      </c>
      <c r="V382" s="391">
        <v>0</v>
      </c>
      <c r="W382" s="391">
        <v>0</v>
      </c>
      <c r="X382" s="391"/>
      <c r="Y382" s="391"/>
      <c r="Z382" s="391">
        <v>0</v>
      </c>
      <c r="AA382" s="391">
        <v>0</v>
      </c>
      <c r="AB382" s="419"/>
      <c r="AC382" s="419"/>
      <c r="AD382" s="391">
        <v>0</v>
      </c>
      <c r="AE382" s="391">
        <v>0</v>
      </c>
      <c r="AF382" s="470">
        <v>7200000</v>
      </c>
      <c r="AG382" s="405"/>
      <c r="AH382" s="391">
        <v>0</v>
      </c>
      <c r="AI382" s="393"/>
      <c r="AJ382" s="393">
        <v>0</v>
      </c>
      <c r="AK382" s="391">
        <f t="shared" si="99"/>
        <v>7200000</v>
      </c>
    </row>
    <row r="383" spans="1:37" ht="95.25" customHeight="1" x14ac:dyDescent="0.2">
      <c r="A383" s="39"/>
      <c r="B383" s="39"/>
      <c r="C383" s="677">
        <v>19</v>
      </c>
      <c r="D383" s="679" t="s">
        <v>482</v>
      </c>
      <c r="E383" s="259" t="s">
        <v>493</v>
      </c>
      <c r="F383" s="259" t="s">
        <v>494</v>
      </c>
      <c r="G383" s="46"/>
      <c r="H383" s="54">
        <v>70</v>
      </c>
      <c r="I383" s="679" t="s">
        <v>495</v>
      </c>
      <c r="J383" s="165">
        <v>322</v>
      </c>
      <c r="K383" s="42">
        <v>469</v>
      </c>
      <c r="L383" s="785"/>
      <c r="M383" s="807"/>
      <c r="N383" s="775"/>
      <c r="O383" s="778"/>
      <c r="P383" s="54" t="s">
        <v>61</v>
      </c>
      <c r="Q383" s="391">
        <v>0</v>
      </c>
      <c r="R383" s="391">
        <v>0</v>
      </c>
      <c r="S383" s="391">
        <v>0</v>
      </c>
      <c r="T383" s="391">
        <v>0</v>
      </c>
      <c r="U383" s="391">
        <v>0</v>
      </c>
      <c r="V383" s="391">
        <v>0</v>
      </c>
      <c r="W383" s="391">
        <v>0</v>
      </c>
      <c r="X383" s="391"/>
      <c r="Y383" s="391"/>
      <c r="Z383" s="391">
        <v>0</v>
      </c>
      <c r="AA383" s="391">
        <v>0</v>
      </c>
      <c r="AB383" s="391"/>
      <c r="AC383" s="391"/>
      <c r="AD383" s="391">
        <v>0</v>
      </c>
      <c r="AE383" s="391">
        <v>0</v>
      </c>
      <c r="AF383" s="470">
        <v>14400000</v>
      </c>
      <c r="AG383" s="405"/>
      <c r="AH383" s="391">
        <v>0</v>
      </c>
      <c r="AI383" s="393"/>
      <c r="AJ383" s="393">
        <v>0</v>
      </c>
      <c r="AK383" s="391">
        <f t="shared" si="99"/>
        <v>14400000</v>
      </c>
    </row>
    <row r="384" spans="1:37" ht="95.25" customHeight="1" x14ac:dyDescent="0.2">
      <c r="A384" s="39"/>
      <c r="B384" s="39"/>
      <c r="C384" s="677">
        <v>35</v>
      </c>
      <c r="D384" s="140" t="s">
        <v>496</v>
      </c>
      <c r="E384" s="165">
        <v>23000</v>
      </c>
      <c r="F384" s="165">
        <v>24000</v>
      </c>
      <c r="G384" s="46"/>
      <c r="H384" s="54">
        <v>71</v>
      </c>
      <c r="I384" s="679" t="s">
        <v>497</v>
      </c>
      <c r="J384" s="165">
        <v>1762</v>
      </c>
      <c r="K384" s="42">
        <v>2469</v>
      </c>
      <c r="L384" s="785"/>
      <c r="M384" s="807"/>
      <c r="N384" s="775"/>
      <c r="O384" s="778"/>
      <c r="P384" s="54" t="s">
        <v>61</v>
      </c>
      <c r="Q384" s="391">
        <v>0</v>
      </c>
      <c r="R384" s="391">
        <v>0</v>
      </c>
      <c r="S384" s="391">
        <v>0</v>
      </c>
      <c r="T384" s="391">
        <v>0</v>
      </c>
      <c r="U384" s="391">
        <v>0</v>
      </c>
      <c r="V384" s="391">
        <v>0</v>
      </c>
      <c r="W384" s="391">
        <v>0</v>
      </c>
      <c r="X384" s="391"/>
      <c r="Y384" s="391"/>
      <c r="Z384" s="391">
        <v>0</v>
      </c>
      <c r="AA384" s="391">
        <v>0</v>
      </c>
      <c r="AB384" s="391"/>
      <c r="AC384" s="391"/>
      <c r="AD384" s="391">
        <v>0</v>
      </c>
      <c r="AE384" s="391">
        <v>0</v>
      </c>
      <c r="AF384" s="470"/>
      <c r="AG384" s="419"/>
      <c r="AH384" s="391">
        <v>0</v>
      </c>
      <c r="AI384" s="393"/>
      <c r="AJ384" s="393">
        <v>0</v>
      </c>
      <c r="AK384" s="391">
        <f t="shared" si="99"/>
        <v>0</v>
      </c>
    </row>
    <row r="385" spans="1:37" ht="95.25" customHeight="1" x14ac:dyDescent="0.2">
      <c r="A385" s="39"/>
      <c r="B385" s="39"/>
      <c r="C385" s="677"/>
      <c r="D385" s="140"/>
      <c r="E385" s="264"/>
      <c r="F385" s="264"/>
      <c r="G385" s="46"/>
      <c r="H385" s="54">
        <v>72</v>
      </c>
      <c r="I385" s="679" t="s">
        <v>498</v>
      </c>
      <c r="J385" s="165">
        <v>455</v>
      </c>
      <c r="K385" s="42">
        <v>455</v>
      </c>
      <c r="L385" s="785"/>
      <c r="M385" s="807"/>
      <c r="N385" s="775"/>
      <c r="O385" s="778"/>
      <c r="P385" s="54" t="s">
        <v>46</v>
      </c>
      <c r="Q385" s="391">
        <v>0</v>
      </c>
      <c r="R385" s="391">
        <v>0</v>
      </c>
      <c r="S385" s="391">
        <v>0</v>
      </c>
      <c r="T385" s="391">
        <v>0</v>
      </c>
      <c r="U385" s="391">
        <v>0</v>
      </c>
      <c r="V385" s="391">
        <v>0</v>
      </c>
      <c r="W385" s="391">
        <v>0</v>
      </c>
      <c r="X385" s="391"/>
      <c r="Y385" s="391"/>
      <c r="Z385" s="391">
        <v>0</v>
      </c>
      <c r="AA385" s="391">
        <v>0</v>
      </c>
      <c r="AB385" s="391"/>
      <c r="AC385" s="391"/>
      <c r="AD385" s="391">
        <v>0</v>
      </c>
      <c r="AE385" s="391">
        <v>0</v>
      </c>
      <c r="AF385" s="470">
        <v>7200000</v>
      </c>
      <c r="AG385" s="405"/>
      <c r="AH385" s="391">
        <v>0</v>
      </c>
      <c r="AI385" s="393"/>
      <c r="AJ385" s="393">
        <v>0</v>
      </c>
      <c r="AK385" s="391">
        <f t="shared" si="99"/>
        <v>7200000</v>
      </c>
    </row>
    <row r="386" spans="1:37" ht="95.25" customHeight="1" x14ac:dyDescent="0.2">
      <c r="A386" s="39"/>
      <c r="B386" s="39"/>
      <c r="C386" s="661"/>
      <c r="D386" s="40"/>
      <c r="E386" s="528"/>
      <c r="F386" s="682" t="s">
        <v>63</v>
      </c>
      <c r="G386" s="90"/>
      <c r="H386" s="54">
        <v>73</v>
      </c>
      <c r="I386" s="679" t="s">
        <v>499</v>
      </c>
      <c r="J386" s="165" t="s">
        <v>37</v>
      </c>
      <c r="K386" s="42">
        <v>1</v>
      </c>
      <c r="L386" s="786"/>
      <c r="M386" s="808"/>
      <c r="N386" s="776"/>
      <c r="O386" s="779"/>
      <c r="P386" s="54" t="s">
        <v>46</v>
      </c>
      <c r="Q386" s="391">
        <v>0</v>
      </c>
      <c r="R386" s="391">
        <v>0</v>
      </c>
      <c r="S386" s="391">
        <v>0</v>
      </c>
      <c r="T386" s="391">
        <v>0</v>
      </c>
      <c r="U386" s="391">
        <v>0</v>
      </c>
      <c r="V386" s="391">
        <v>0</v>
      </c>
      <c r="W386" s="391">
        <v>0</v>
      </c>
      <c r="X386" s="391"/>
      <c r="Y386" s="391"/>
      <c r="Z386" s="391">
        <v>0</v>
      </c>
      <c r="AA386" s="391">
        <v>0</v>
      </c>
      <c r="AB386" s="643">
        <f>1500000000-103368513</f>
        <v>1396631487</v>
      </c>
      <c r="AC386" s="467"/>
      <c r="AD386" s="391">
        <v>0</v>
      </c>
      <c r="AE386" s="391">
        <v>0</v>
      </c>
      <c r="AF386" s="470"/>
      <c r="AG386" s="405"/>
      <c r="AH386" s="391">
        <v>0</v>
      </c>
      <c r="AI386" s="393"/>
      <c r="AJ386" s="393">
        <v>0</v>
      </c>
      <c r="AK386" s="391">
        <f t="shared" si="99"/>
        <v>1396631487</v>
      </c>
    </row>
    <row r="387" spans="1:37" ht="30" customHeight="1" x14ac:dyDescent="0.2">
      <c r="A387" s="39"/>
      <c r="B387" s="39"/>
      <c r="C387" s="662"/>
      <c r="D387" s="657"/>
      <c r="E387" s="662"/>
      <c r="F387" s="662"/>
      <c r="G387" s="55"/>
      <c r="H387" s="56"/>
      <c r="I387" s="55"/>
      <c r="J387" s="187"/>
      <c r="K387" s="132"/>
      <c r="L387" s="132"/>
      <c r="M387" s="187"/>
      <c r="N387" s="56"/>
      <c r="O387" s="55"/>
      <c r="P387" s="56"/>
      <c r="Q387" s="400">
        <f t="shared" ref="Q387:AJ387" si="100">SUM(Q381:Q386)</f>
        <v>0</v>
      </c>
      <c r="R387" s="400">
        <f t="shared" si="100"/>
        <v>0</v>
      </c>
      <c r="S387" s="400">
        <f t="shared" si="100"/>
        <v>0</v>
      </c>
      <c r="T387" s="400">
        <f t="shared" si="100"/>
        <v>0</v>
      </c>
      <c r="U387" s="400">
        <f t="shared" si="100"/>
        <v>0</v>
      </c>
      <c r="V387" s="400">
        <f t="shared" si="100"/>
        <v>0</v>
      </c>
      <c r="W387" s="400">
        <f t="shared" si="100"/>
        <v>0</v>
      </c>
      <c r="X387" s="400">
        <f t="shared" si="100"/>
        <v>0</v>
      </c>
      <c r="Y387" s="400">
        <f t="shared" si="100"/>
        <v>0</v>
      </c>
      <c r="Z387" s="400">
        <f t="shared" si="100"/>
        <v>0</v>
      </c>
      <c r="AA387" s="400">
        <f t="shared" si="100"/>
        <v>0</v>
      </c>
      <c r="AB387" s="400">
        <f t="shared" si="100"/>
        <v>1396631487</v>
      </c>
      <c r="AC387" s="400">
        <f t="shared" si="100"/>
        <v>0</v>
      </c>
      <c r="AD387" s="400">
        <f t="shared" si="100"/>
        <v>0</v>
      </c>
      <c r="AE387" s="400">
        <f t="shared" si="100"/>
        <v>0</v>
      </c>
      <c r="AF387" s="400">
        <f>SUM(AF381:AF386)</f>
        <v>36000000</v>
      </c>
      <c r="AG387" s="400">
        <f t="shared" si="100"/>
        <v>0</v>
      </c>
      <c r="AH387" s="400">
        <f t="shared" si="100"/>
        <v>0</v>
      </c>
      <c r="AI387" s="400">
        <f t="shared" si="100"/>
        <v>0</v>
      </c>
      <c r="AJ387" s="400">
        <f t="shared" si="100"/>
        <v>0</v>
      </c>
      <c r="AK387" s="400">
        <f>SUM(AK381:AK386)</f>
        <v>1432631487</v>
      </c>
    </row>
    <row r="388" spans="1:37" ht="30" customHeight="1" x14ac:dyDescent="0.2">
      <c r="A388" s="39"/>
      <c r="B388" s="39"/>
      <c r="C388" s="146"/>
      <c r="D388" s="69"/>
      <c r="E388" s="260"/>
      <c r="F388" s="260"/>
      <c r="G388" s="69"/>
      <c r="H388" s="146"/>
      <c r="I388" s="69"/>
      <c r="J388" s="191"/>
      <c r="K388" s="147"/>
      <c r="L388" s="147"/>
      <c r="M388" s="191"/>
      <c r="N388" s="146"/>
      <c r="O388" s="69"/>
      <c r="P388" s="146"/>
      <c r="Q388" s="395"/>
      <c r="R388" s="396"/>
      <c r="S388" s="395"/>
      <c r="T388" s="395"/>
      <c r="U388" s="395"/>
      <c r="V388" s="395"/>
      <c r="W388" s="395"/>
      <c r="X388" s="395"/>
      <c r="Y388" s="395"/>
      <c r="Z388" s="395"/>
      <c r="AA388" s="395"/>
      <c r="AB388" s="396" t="s">
        <v>63</v>
      </c>
      <c r="AC388" s="396" t="s">
        <v>63</v>
      </c>
      <c r="AD388" s="395"/>
      <c r="AE388" s="395"/>
      <c r="AF388" s="749" t="s">
        <v>63</v>
      </c>
      <c r="AG388" s="395"/>
      <c r="AH388" s="395"/>
      <c r="AI388" s="395"/>
      <c r="AJ388" s="395"/>
      <c r="AK388" s="395"/>
    </row>
    <row r="389" spans="1:37" ht="30" customHeight="1" x14ac:dyDescent="0.2">
      <c r="A389" s="39"/>
      <c r="B389" s="39"/>
      <c r="C389" s="661"/>
      <c r="D389" s="655"/>
      <c r="E389" s="661"/>
      <c r="F389" s="661"/>
      <c r="G389" s="136">
        <v>18</v>
      </c>
      <c r="H389" s="168" t="s">
        <v>500</v>
      </c>
      <c r="I389" s="77"/>
      <c r="J389" s="77"/>
      <c r="K389" s="124"/>
      <c r="L389" s="124"/>
      <c r="M389" s="77"/>
      <c r="N389" s="169"/>
      <c r="O389" s="77"/>
      <c r="P389" s="77"/>
      <c r="Q389" s="263"/>
      <c r="R389" s="263"/>
      <c r="S389" s="263"/>
      <c r="T389" s="263"/>
      <c r="U389" s="263"/>
      <c r="V389" s="263"/>
      <c r="W389" s="263"/>
      <c r="X389" s="263"/>
      <c r="Y389" s="263"/>
      <c r="Z389" s="263"/>
      <c r="AA389" s="263"/>
      <c r="AB389" s="263"/>
      <c r="AC389" s="263"/>
      <c r="AD389" s="263"/>
      <c r="AE389" s="263"/>
      <c r="AF389" s="404"/>
      <c r="AG389" s="263"/>
      <c r="AH389" s="263"/>
      <c r="AI389" s="263"/>
      <c r="AJ389" s="263"/>
      <c r="AK389" s="265"/>
    </row>
    <row r="390" spans="1:37" ht="132.75" customHeight="1" x14ac:dyDescent="0.2">
      <c r="A390" s="39"/>
      <c r="B390" s="39"/>
      <c r="C390" s="650" t="s">
        <v>1055</v>
      </c>
      <c r="D390" s="656" t="s">
        <v>1054</v>
      </c>
      <c r="E390" s="664" t="s">
        <v>503</v>
      </c>
      <c r="F390" s="664" t="s">
        <v>504</v>
      </c>
      <c r="G390" s="40"/>
      <c r="H390" s="54">
        <v>74</v>
      </c>
      <c r="I390" s="679" t="s">
        <v>505</v>
      </c>
      <c r="J390" s="165">
        <v>2232</v>
      </c>
      <c r="K390" s="105">
        <v>2232</v>
      </c>
      <c r="L390" s="42">
        <v>2017003630083</v>
      </c>
      <c r="M390" s="266" t="s">
        <v>479</v>
      </c>
      <c r="N390" s="54" t="s">
        <v>506</v>
      </c>
      <c r="O390" s="679" t="s">
        <v>507</v>
      </c>
      <c r="P390" s="54" t="s">
        <v>46</v>
      </c>
      <c r="Q390" s="391">
        <v>0</v>
      </c>
      <c r="R390" s="391">
        <v>0</v>
      </c>
      <c r="S390" s="391">
        <v>0</v>
      </c>
      <c r="T390" s="391">
        <v>0</v>
      </c>
      <c r="U390" s="391">
        <v>0</v>
      </c>
      <c r="V390" s="391">
        <v>0</v>
      </c>
      <c r="W390" s="391">
        <v>0</v>
      </c>
      <c r="X390" s="391"/>
      <c r="Y390" s="391"/>
      <c r="Z390" s="391">
        <v>0</v>
      </c>
      <c r="AA390" s="391">
        <v>0</v>
      </c>
      <c r="AB390" s="643">
        <f>109931000000+3011938055+68294779+12066482925+14751506</f>
        <v>125092467265</v>
      </c>
      <c r="AC390" s="405">
        <f>19000000000+815000000+66000000+6400000000</f>
        <v>26281000000</v>
      </c>
      <c r="AD390" s="391">
        <v>0</v>
      </c>
      <c r="AE390" s="391">
        <v>0</v>
      </c>
      <c r="AF390" s="634">
        <v>15000000</v>
      </c>
      <c r="AG390" s="405"/>
      <c r="AH390" s="391">
        <v>0</v>
      </c>
      <c r="AI390" s="393"/>
      <c r="AJ390" s="393"/>
      <c r="AK390" s="391">
        <f>Q390+R390+S390+T390+U390+V390+W390+X390+Y390+Z390+AA390+AB390+AC390+AD390+AE390+AF390+AG390+AH390+AI390+AJ390</f>
        <v>151388467265</v>
      </c>
    </row>
    <row r="391" spans="1:37" ht="30" customHeight="1" x14ac:dyDescent="0.2">
      <c r="A391" s="39"/>
      <c r="B391" s="52"/>
      <c r="C391" s="662"/>
      <c r="D391" s="657"/>
      <c r="E391" s="662"/>
      <c r="F391" s="662"/>
      <c r="G391" s="55"/>
      <c r="H391" s="56"/>
      <c r="I391" s="55"/>
      <c r="J391" s="187"/>
      <c r="K391" s="218"/>
      <c r="L391" s="218"/>
      <c r="M391" s="187"/>
      <c r="N391" s="56"/>
      <c r="O391" s="56"/>
      <c r="P391" s="56"/>
      <c r="Q391" s="400">
        <f t="shared" ref="Q391:AK391" si="101">SUM(Q390:Q390)</f>
        <v>0</v>
      </c>
      <c r="R391" s="400">
        <f t="shared" si="101"/>
        <v>0</v>
      </c>
      <c r="S391" s="400">
        <f t="shared" si="101"/>
        <v>0</v>
      </c>
      <c r="T391" s="400">
        <f t="shared" si="101"/>
        <v>0</v>
      </c>
      <c r="U391" s="400">
        <f t="shared" si="101"/>
        <v>0</v>
      </c>
      <c r="V391" s="400">
        <f t="shared" si="101"/>
        <v>0</v>
      </c>
      <c r="W391" s="400">
        <f t="shared" si="101"/>
        <v>0</v>
      </c>
      <c r="X391" s="400">
        <f t="shared" si="101"/>
        <v>0</v>
      </c>
      <c r="Y391" s="400">
        <f t="shared" si="101"/>
        <v>0</v>
      </c>
      <c r="Z391" s="400">
        <f t="shared" si="101"/>
        <v>0</v>
      </c>
      <c r="AA391" s="400">
        <f t="shared" si="101"/>
        <v>0</v>
      </c>
      <c r="AB391" s="400">
        <f t="shared" si="101"/>
        <v>125092467265</v>
      </c>
      <c r="AC391" s="400">
        <f t="shared" si="101"/>
        <v>26281000000</v>
      </c>
      <c r="AD391" s="400">
        <f t="shared" si="101"/>
        <v>0</v>
      </c>
      <c r="AE391" s="400">
        <f t="shared" si="101"/>
        <v>0</v>
      </c>
      <c r="AF391" s="400">
        <f t="shared" si="101"/>
        <v>15000000</v>
      </c>
      <c r="AG391" s="400">
        <f t="shared" si="101"/>
        <v>0</v>
      </c>
      <c r="AH391" s="400">
        <f t="shared" si="101"/>
        <v>0</v>
      </c>
      <c r="AI391" s="400">
        <f t="shared" si="101"/>
        <v>0</v>
      </c>
      <c r="AJ391" s="400">
        <f t="shared" si="101"/>
        <v>0</v>
      </c>
      <c r="AK391" s="400">
        <f t="shared" si="101"/>
        <v>151388467265</v>
      </c>
    </row>
    <row r="392" spans="1:37" ht="30" customHeight="1" x14ac:dyDescent="0.2">
      <c r="A392" s="39"/>
      <c r="B392" s="93"/>
      <c r="C392" s="60"/>
      <c r="D392" s="59"/>
      <c r="E392" s="267"/>
      <c r="F392" s="267"/>
      <c r="G392" s="59"/>
      <c r="H392" s="60"/>
      <c r="I392" s="59"/>
      <c r="J392" s="204"/>
      <c r="K392" s="220"/>
      <c r="L392" s="220"/>
      <c r="M392" s="204"/>
      <c r="N392" s="60"/>
      <c r="O392" s="59"/>
      <c r="P392" s="60"/>
      <c r="Q392" s="406">
        <f t="shared" ref="Q392:AK392" si="102">Q391+Q387+Q378</f>
        <v>0</v>
      </c>
      <c r="R392" s="406">
        <f t="shared" si="102"/>
        <v>0</v>
      </c>
      <c r="S392" s="406">
        <f t="shared" si="102"/>
        <v>0</v>
      </c>
      <c r="T392" s="406">
        <f t="shared" si="102"/>
        <v>0</v>
      </c>
      <c r="U392" s="406">
        <f t="shared" si="102"/>
        <v>0</v>
      </c>
      <c r="V392" s="406">
        <f t="shared" si="102"/>
        <v>0</v>
      </c>
      <c r="W392" s="406">
        <f t="shared" si="102"/>
        <v>3198058291</v>
      </c>
      <c r="X392" s="406">
        <f t="shared" si="102"/>
        <v>0</v>
      </c>
      <c r="Y392" s="406">
        <f t="shared" si="102"/>
        <v>0</v>
      </c>
      <c r="Z392" s="406">
        <f t="shared" si="102"/>
        <v>0</v>
      </c>
      <c r="AA392" s="406">
        <f t="shared" si="102"/>
        <v>0</v>
      </c>
      <c r="AB392" s="406">
        <f t="shared" si="102"/>
        <v>126489098752</v>
      </c>
      <c r="AC392" s="406">
        <f t="shared" si="102"/>
        <v>26281000000</v>
      </c>
      <c r="AD392" s="406">
        <f t="shared" si="102"/>
        <v>9535927847</v>
      </c>
      <c r="AE392" s="406">
        <f t="shared" si="102"/>
        <v>0</v>
      </c>
      <c r="AF392" s="406">
        <f t="shared" si="102"/>
        <v>3003769171</v>
      </c>
      <c r="AG392" s="406">
        <f t="shared" si="102"/>
        <v>0</v>
      </c>
      <c r="AH392" s="406">
        <f t="shared" si="102"/>
        <v>79557</v>
      </c>
      <c r="AI392" s="406">
        <f t="shared" si="102"/>
        <v>0</v>
      </c>
      <c r="AJ392" s="406">
        <f t="shared" si="102"/>
        <v>709732517</v>
      </c>
      <c r="AK392" s="406">
        <f t="shared" si="102"/>
        <v>169217666135</v>
      </c>
    </row>
    <row r="393" spans="1:37" ht="30" customHeight="1" x14ac:dyDescent="0.2">
      <c r="A393" s="39"/>
      <c r="B393" s="69"/>
      <c r="C393" s="146"/>
      <c r="D393" s="69"/>
      <c r="E393" s="260"/>
      <c r="F393" s="260"/>
      <c r="G393" s="69"/>
      <c r="H393" s="146"/>
      <c r="I393" s="69"/>
      <c r="J393" s="191"/>
      <c r="K393" s="219"/>
      <c r="L393" s="268"/>
      <c r="M393" s="262"/>
      <c r="N393" s="390"/>
      <c r="O393" s="99"/>
      <c r="P393" s="146"/>
      <c r="Q393" s="395"/>
      <c r="R393" s="395"/>
      <c r="S393" s="395"/>
      <c r="T393" s="395"/>
      <c r="U393" s="395"/>
      <c r="V393" s="395"/>
      <c r="W393" s="742"/>
      <c r="X393" s="395"/>
      <c r="Y393" s="395"/>
      <c r="Z393" s="395"/>
      <c r="AA393" s="395"/>
      <c r="AB393" s="396"/>
      <c r="AC393" s="396"/>
      <c r="AD393" s="395"/>
      <c r="AE393" s="395"/>
      <c r="AF393" s="744"/>
      <c r="AG393" s="742"/>
      <c r="AH393" s="395"/>
      <c r="AI393" s="395"/>
      <c r="AJ393" s="395"/>
      <c r="AK393" s="395"/>
    </row>
    <row r="394" spans="1:37" ht="30" customHeight="1" x14ac:dyDescent="0.2">
      <c r="A394" s="39"/>
      <c r="B394" s="121">
        <v>6</v>
      </c>
      <c r="C394" s="35" t="s">
        <v>508</v>
      </c>
      <c r="D394" s="36"/>
      <c r="E394" s="36"/>
      <c r="F394" s="36"/>
      <c r="G394" s="36"/>
      <c r="H394" s="37"/>
      <c r="I394" s="36"/>
      <c r="J394" s="36"/>
      <c r="K394" s="221"/>
      <c r="L394" s="221"/>
      <c r="M394" s="36"/>
      <c r="N394" s="37"/>
      <c r="O394" s="36"/>
      <c r="P394" s="36"/>
      <c r="Q394" s="402"/>
      <c r="R394" s="402"/>
      <c r="S394" s="402"/>
      <c r="T394" s="402"/>
      <c r="U394" s="402"/>
      <c r="V394" s="402"/>
      <c r="W394" s="402"/>
      <c r="X394" s="402"/>
      <c r="Y394" s="402"/>
      <c r="Z394" s="402"/>
      <c r="AA394" s="402"/>
      <c r="AB394" s="402"/>
      <c r="AC394" s="402"/>
      <c r="AD394" s="402"/>
      <c r="AE394" s="402"/>
      <c r="AF394" s="403"/>
      <c r="AG394" s="402"/>
      <c r="AH394" s="402"/>
      <c r="AI394" s="402"/>
      <c r="AJ394" s="402"/>
      <c r="AK394" s="407"/>
    </row>
    <row r="395" spans="1:37" ht="30" customHeight="1" x14ac:dyDescent="0.2">
      <c r="A395" s="39"/>
      <c r="B395" s="73"/>
      <c r="C395" s="661"/>
      <c r="D395" s="655"/>
      <c r="E395" s="661"/>
      <c r="F395" s="661"/>
      <c r="G395" s="269">
        <v>19</v>
      </c>
      <c r="H395" s="77" t="s">
        <v>509</v>
      </c>
      <c r="I395" s="77"/>
      <c r="J395" s="77"/>
      <c r="K395" s="217"/>
      <c r="L395" s="217"/>
      <c r="M395" s="158"/>
      <c r="N395" s="383"/>
      <c r="O395" s="77"/>
      <c r="P395" s="77"/>
      <c r="Q395" s="263"/>
      <c r="R395" s="263"/>
      <c r="S395" s="263"/>
      <c r="T395" s="263"/>
      <c r="U395" s="263"/>
      <c r="V395" s="263"/>
      <c r="W395" s="263"/>
      <c r="X395" s="263"/>
      <c r="Y395" s="263"/>
      <c r="Z395" s="263"/>
      <c r="AA395" s="263"/>
      <c r="AB395" s="263"/>
      <c r="AC395" s="263"/>
      <c r="AD395" s="263"/>
      <c r="AE395" s="263"/>
      <c r="AF395" s="404"/>
      <c r="AG395" s="263"/>
      <c r="AH395" s="263"/>
      <c r="AI395" s="263"/>
      <c r="AJ395" s="263"/>
      <c r="AK395" s="265"/>
    </row>
    <row r="396" spans="1:37" ht="71.25" customHeight="1" x14ac:dyDescent="0.2">
      <c r="A396" s="39"/>
      <c r="B396" s="201"/>
      <c r="C396" s="662"/>
      <c r="D396" s="657"/>
      <c r="E396" s="662"/>
      <c r="F396" s="662"/>
      <c r="G396" s="40"/>
      <c r="H396" s="54">
        <v>75</v>
      </c>
      <c r="I396" s="679" t="s">
        <v>510</v>
      </c>
      <c r="J396" s="165">
        <v>18</v>
      </c>
      <c r="K396" s="186">
        <v>28</v>
      </c>
      <c r="L396" s="812">
        <v>2017003630098</v>
      </c>
      <c r="M396" s="815" t="s">
        <v>479</v>
      </c>
      <c r="N396" s="816" t="s">
        <v>511</v>
      </c>
      <c r="O396" s="817" t="s">
        <v>982</v>
      </c>
      <c r="P396" s="54" t="s">
        <v>61</v>
      </c>
      <c r="Q396" s="391">
        <v>0</v>
      </c>
      <c r="R396" s="391">
        <v>0</v>
      </c>
      <c r="S396" s="391">
        <v>0</v>
      </c>
      <c r="T396" s="391">
        <v>0</v>
      </c>
      <c r="U396" s="391">
        <v>0</v>
      </c>
      <c r="V396" s="391">
        <v>0</v>
      </c>
      <c r="W396" s="750"/>
      <c r="X396" s="391"/>
      <c r="Y396" s="391"/>
      <c r="Z396" s="391">
        <v>0</v>
      </c>
      <c r="AA396" s="391">
        <v>0</v>
      </c>
      <c r="AB396" s="391"/>
      <c r="AC396" s="391"/>
      <c r="AD396" s="391">
        <v>0</v>
      </c>
      <c r="AE396" s="391">
        <v>0</v>
      </c>
      <c r="AF396" s="473"/>
      <c r="AG396" s="474"/>
      <c r="AH396" s="391">
        <v>0</v>
      </c>
      <c r="AI396" s="393"/>
      <c r="AJ396" s="393"/>
      <c r="AK396" s="391">
        <f t="shared" ref="AK396:AK403" si="103">Q396+R396+S396+T396+U396+V396+W396+X396+Y396+Z396+AA396+AB396+AC396+AD396+AE396+AF396+AG396+AH396+AI396+AJ396</f>
        <v>0</v>
      </c>
    </row>
    <row r="397" spans="1:37" ht="71.25" customHeight="1" x14ac:dyDescent="0.2">
      <c r="A397" s="39"/>
      <c r="B397" s="201"/>
      <c r="C397" s="650"/>
      <c r="D397" s="678"/>
      <c r="E397" s="271"/>
      <c r="F397" s="664"/>
      <c r="G397" s="46"/>
      <c r="H397" s="54">
        <v>76</v>
      </c>
      <c r="I397" s="679" t="s">
        <v>512</v>
      </c>
      <c r="J397" s="165">
        <v>0</v>
      </c>
      <c r="K397" s="186">
        <v>1050</v>
      </c>
      <c r="L397" s="813"/>
      <c r="M397" s="815"/>
      <c r="N397" s="816"/>
      <c r="O397" s="818"/>
      <c r="P397" s="54" t="s">
        <v>61</v>
      </c>
      <c r="Q397" s="391">
        <v>0</v>
      </c>
      <c r="R397" s="391">
        <v>0</v>
      </c>
      <c r="S397" s="391">
        <v>0</v>
      </c>
      <c r="T397" s="391">
        <v>0</v>
      </c>
      <c r="U397" s="391">
        <v>0</v>
      </c>
      <c r="V397" s="391">
        <v>0</v>
      </c>
      <c r="W397" s="467"/>
      <c r="X397" s="391"/>
      <c r="Y397" s="391"/>
      <c r="Z397" s="391">
        <v>0</v>
      </c>
      <c r="AA397" s="391">
        <v>0</v>
      </c>
      <c r="AB397" s="391"/>
      <c r="AC397" s="391"/>
      <c r="AD397" s="391">
        <v>0</v>
      </c>
      <c r="AE397" s="391">
        <v>0</v>
      </c>
      <c r="AF397" s="634">
        <f>30000000+150000000+64825000-12459655</f>
        <v>232365345</v>
      </c>
      <c r="AG397" s="405"/>
      <c r="AH397" s="391">
        <v>0</v>
      </c>
      <c r="AI397" s="393">
        <v>0</v>
      </c>
      <c r="AJ397" s="393"/>
      <c r="AK397" s="391">
        <f t="shared" si="103"/>
        <v>232365345</v>
      </c>
    </row>
    <row r="398" spans="1:37" ht="71.25" customHeight="1" x14ac:dyDescent="0.2">
      <c r="A398" s="39"/>
      <c r="B398" s="201"/>
      <c r="C398" s="650">
        <v>16</v>
      </c>
      <c r="D398" s="678" t="s">
        <v>513</v>
      </c>
      <c r="E398" s="668">
        <v>45</v>
      </c>
      <c r="F398" s="650">
        <v>90</v>
      </c>
      <c r="G398" s="46"/>
      <c r="H398" s="54">
        <v>77</v>
      </c>
      <c r="I398" s="679" t="s">
        <v>514</v>
      </c>
      <c r="J398" s="165">
        <v>20</v>
      </c>
      <c r="K398" s="186">
        <v>73</v>
      </c>
      <c r="L398" s="813"/>
      <c r="M398" s="815"/>
      <c r="N398" s="816"/>
      <c r="O398" s="818"/>
      <c r="P398" s="54" t="s">
        <v>61</v>
      </c>
      <c r="Q398" s="391">
        <v>0</v>
      </c>
      <c r="R398" s="391">
        <v>0</v>
      </c>
      <c r="S398" s="391">
        <v>0</v>
      </c>
      <c r="T398" s="391">
        <v>0</v>
      </c>
      <c r="U398" s="391">
        <v>0</v>
      </c>
      <c r="V398" s="391">
        <v>0</v>
      </c>
      <c r="W398" s="391">
        <v>0</v>
      </c>
      <c r="X398" s="391"/>
      <c r="Y398" s="391"/>
      <c r="Z398" s="391">
        <v>0</v>
      </c>
      <c r="AA398" s="391">
        <v>0</v>
      </c>
      <c r="AB398" s="391"/>
      <c r="AC398" s="391"/>
      <c r="AD398" s="391">
        <v>0</v>
      </c>
      <c r="AE398" s="391">
        <v>0</v>
      </c>
      <c r="AF398" s="392">
        <v>0</v>
      </c>
      <c r="AG398" s="405"/>
      <c r="AH398" s="391">
        <v>0</v>
      </c>
      <c r="AI398" s="393"/>
      <c r="AJ398" s="393"/>
      <c r="AK398" s="391">
        <f t="shared" si="103"/>
        <v>0</v>
      </c>
    </row>
    <row r="399" spans="1:37" ht="71.25" customHeight="1" x14ac:dyDescent="0.2">
      <c r="A399" s="39"/>
      <c r="B399" s="201"/>
      <c r="C399" s="650"/>
      <c r="D399" s="678"/>
      <c r="E399" s="271"/>
      <c r="F399" s="664"/>
      <c r="G399" s="46"/>
      <c r="H399" s="54">
        <v>78</v>
      </c>
      <c r="I399" s="679" t="s">
        <v>515</v>
      </c>
      <c r="J399" s="165">
        <v>7</v>
      </c>
      <c r="K399" s="186">
        <v>14</v>
      </c>
      <c r="L399" s="813"/>
      <c r="M399" s="815"/>
      <c r="N399" s="816"/>
      <c r="O399" s="818"/>
      <c r="P399" s="54" t="s">
        <v>61</v>
      </c>
      <c r="Q399" s="391">
        <v>0</v>
      </c>
      <c r="R399" s="391">
        <v>0</v>
      </c>
      <c r="S399" s="391">
        <v>0</v>
      </c>
      <c r="T399" s="391">
        <v>0</v>
      </c>
      <c r="U399" s="391">
        <v>0</v>
      </c>
      <c r="V399" s="391">
        <v>0</v>
      </c>
      <c r="W399" s="391">
        <v>0</v>
      </c>
      <c r="X399" s="391"/>
      <c r="Y399" s="391"/>
      <c r="Z399" s="391">
        <v>0</v>
      </c>
      <c r="AA399" s="391">
        <v>0</v>
      </c>
      <c r="AB399" s="391"/>
      <c r="AC399" s="391"/>
      <c r="AD399" s="391">
        <v>0</v>
      </c>
      <c r="AE399" s="391">
        <v>0</v>
      </c>
      <c r="AF399" s="392">
        <v>0</v>
      </c>
      <c r="AG399" s="405"/>
      <c r="AH399" s="391">
        <v>0</v>
      </c>
      <c r="AI399" s="393"/>
      <c r="AJ399" s="393"/>
      <c r="AK399" s="391">
        <f t="shared" si="103"/>
        <v>0</v>
      </c>
    </row>
    <row r="400" spans="1:37" ht="71.25" customHeight="1" x14ac:dyDescent="0.2">
      <c r="A400" s="39"/>
      <c r="B400" s="201"/>
      <c r="C400" s="650">
        <v>17</v>
      </c>
      <c r="D400" s="678" t="s">
        <v>516</v>
      </c>
      <c r="E400" s="271">
        <v>0.63270000000000004</v>
      </c>
      <c r="F400" s="660">
        <v>0.5</v>
      </c>
      <c r="G400" s="46"/>
      <c r="H400" s="54">
        <v>79</v>
      </c>
      <c r="I400" s="679" t="s">
        <v>517</v>
      </c>
      <c r="J400" s="165">
        <v>96</v>
      </c>
      <c r="K400" s="186">
        <v>213</v>
      </c>
      <c r="L400" s="813"/>
      <c r="M400" s="815"/>
      <c r="N400" s="816"/>
      <c r="O400" s="818"/>
      <c r="P400" s="54" t="s">
        <v>61</v>
      </c>
      <c r="Q400" s="391">
        <v>0</v>
      </c>
      <c r="R400" s="391">
        <v>0</v>
      </c>
      <c r="S400" s="391">
        <v>0</v>
      </c>
      <c r="T400" s="391">
        <v>0</v>
      </c>
      <c r="U400" s="391">
        <v>0</v>
      </c>
      <c r="V400" s="391">
        <v>0</v>
      </c>
      <c r="W400" s="391">
        <v>0</v>
      </c>
      <c r="X400" s="391"/>
      <c r="Y400" s="391"/>
      <c r="Z400" s="391">
        <v>0</v>
      </c>
      <c r="AA400" s="391">
        <v>0</v>
      </c>
      <c r="AB400" s="391"/>
      <c r="AC400" s="391"/>
      <c r="AD400" s="391">
        <v>0</v>
      </c>
      <c r="AE400" s="391">
        <v>0</v>
      </c>
      <c r="AF400" s="644">
        <v>15800000</v>
      </c>
      <c r="AG400" s="405"/>
      <c r="AH400" s="391">
        <v>0</v>
      </c>
      <c r="AI400" s="393"/>
      <c r="AJ400" s="393"/>
      <c r="AK400" s="391">
        <f t="shared" si="103"/>
        <v>15800000</v>
      </c>
    </row>
    <row r="401" spans="1:37" ht="71.25" customHeight="1" x14ac:dyDescent="0.2">
      <c r="A401" s="39"/>
      <c r="B401" s="201"/>
      <c r="C401" s="650"/>
      <c r="D401" s="678"/>
      <c r="E401" s="271"/>
      <c r="F401" s="664"/>
      <c r="G401" s="46"/>
      <c r="H401" s="54">
        <v>80</v>
      </c>
      <c r="I401" s="679" t="s">
        <v>518</v>
      </c>
      <c r="J401" s="165">
        <v>2906</v>
      </c>
      <c r="K401" s="186">
        <v>4476</v>
      </c>
      <c r="L401" s="813"/>
      <c r="M401" s="815"/>
      <c r="N401" s="816"/>
      <c r="O401" s="818"/>
      <c r="P401" s="54" t="s">
        <v>61</v>
      </c>
      <c r="Q401" s="391">
        <v>0</v>
      </c>
      <c r="R401" s="391">
        <v>0</v>
      </c>
      <c r="S401" s="391">
        <v>0</v>
      </c>
      <c r="T401" s="391">
        <v>0</v>
      </c>
      <c r="U401" s="391">
        <v>0</v>
      </c>
      <c r="V401" s="391">
        <v>0</v>
      </c>
      <c r="W401" s="391">
        <v>0</v>
      </c>
      <c r="X401" s="391"/>
      <c r="Y401" s="391"/>
      <c r="Z401" s="391">
        <v>0</v>
      </c>
      <c r="AA401" s="391">
        <v>0</v>
      </c>
      <c r="AB401" s="391"/>
      <c r="AC401" s="391"/>
      <c r="AD401" s="391">
        <v>0</v>
      </c>
      <c r="AE401" s="391">
        <v>0</v>
      </c>
      <c r="AF401" s="392">
        <v>0</v>
      </c>
      <c r="AG401" s="405"/>
      <c r="AH401" s="391">
        <v>0</v>
      </c>
      <c r="AI401" s="393"/>
      <c r="AJ401" s="393"/>
      <c r="AK401" s="391">
        <f t="shared" si="103"/>
        <v>0</v>
      </c>
    </row>
    <row r="402" spans="1:37" ht="71.25" customHeight="1" x14ac:dyDescent="0.2">
      <c r="A402" s="39"/>
      <c r="B402" s="201"/>
      <c r="C402" s="650"/>
      <c r="D402" s="656" t="s">
        <v>63</v>
      </c>
      <c r="E402" s="271"/>
      <c r="F402" s="664"/>
      <c r="G402" s="46"/>
      <c r="H402" s="54">
        <v>81</v>
      </c>
      <c r="I402" s="679" t="s">
        <v>519</v>
      </c>
      <c r="J402" s="41">
        <v>13</v>
      </c>
      <c r="K402" s="186">
        <v>32</v>
      </c>
      <c r="L402" s="813"/>
      <c r="M402" s="815"/>
      <c r="N402" s="816"/>
      <c r="O402" s="818"/>
      <c r="P402" s="54" t="s">
        <v>61</v>
      </c>
      <c r="Q402" s="391">
        <v>0</v>
      </c>
      <c r="R402" s="391">
        <v>0</v>
      </c>
      <c r="S402" s="391">
        <v>0</v>
      </c>
      <c r="T402" s="391">
        <v>0</v>
      </c>
      <c r="U402" s="391">
        <v>0</v>
      </c>
      <c r="V402" s="391">
        <v>0</v>
      </c>
      <c r="W402" s="391">
        <v>0</v>
      </c>
      <c r="X402" s="391"/>
      <c r="Y402" s="391"/>
      <c r="Z402" s="391">
        <v>0</v>
      </c>
      <c r="AA402" s="391">
        <v>0</v>
      </c>
      <c r="AB402" s="391"/>
      <c r="AC402" s="391"/>
      <c r="AD402" s="391">
        <v>0</v>
      </c>
      <c r="AE402" s="391">
        <v>0</v>
      </c>
      <c r="AF402" s="392">
        <v>0</v>
      </c>
      <c r="AG402" s="405"/>
      <c r="AH402" s="391">
        <v>0</v>
      </c>
      <c r="AI402" s="393"/>
      <c r="AJ402" s="393"/>
      <c r="AK402" s="391">
        <f t="shared" si="103"/>
        <v>0</v>
      </c>
    </row>
    <row r="403" spans="1:37" ht="71.25" customHeight="1" x14ac:dyDescent="0.2">
      <c r="A403" s="39"/>
      <c r="B403" s="201"/>
      <c r="C403" s="650"/>
      <c r="D403" s="656" t="s">
        <v>63</v>
      </c>
      <c r="E403" s="664"/>
      <c r="F403" s="664"/>
      <c r="G403" s="90"/>
      <c r="H403" s="54">
        <v>82</v>
      </c>
      <c r="I403" s="679" t="s">
        <v>520</v>
      </c>
      <c r="J403" s="41">
        <v>14</v>
      </c>
      <c r="K403" s="186">
        <v>32</v>
      </c>
      <c r="L403" s="814"/>
      <c r="M403" s="815"/>
      <c r="N403" s="816"/>
      <c r="O403" s="819"/>
      <c r="P403" s="54" t="s">
        <v>61</v>
      </c>
      <c r="Q403" s="391">
        <v>0</v>
      </c>
      <c r="R403" s="391">
        <v>0</v>
      </c>
      <c r="S403" s="391">
        <v>0</v>
      </c>
      <c r="T403" s="391">
        <v>0</v>
      </c>
      <c r="U403" s="391">
        <v>0</v>
      </c>
      <c r="V403" s="391">
        <v>0</v>
      </c>
      <c r="W403" s="391">
        <v>0</v>
      </c>
      <c r="X403" s="391"/>
      <c r="Y403" s="391"/>
      <c r="Z403" s="391">
        <v>0</v>
      </c>
      <c r="AA403" s="391">
        <v>0</v>
      </c>
      <c r="AB403" s="391"/>
      <c r="AC403" s="391"/>
      <c r="AD403" s="391">
        <v>0</v>
      </c>
      <c r="AE403" s="391">
        <v>0</v>
      </c>
      <c r="AF403" s="392">
        <v>0</v>
      </c>
      <c r="AG403" s="405"/>
      <c r="AH403" s="391">
        <v>0</v>
      </c>
      <c r="AI403" s="393"/>
      <c r="AJ403" s="393"/>
      <c r="AK403" s="391">
        <f t="shared" si="103"/>
        <v>0</v>
      </c>
    </row>
    <row r="404" spans="1:37" ht="30" customHeight="1" x14ac:dyDescent="0.2">
      <c r="A404" s="39"/>
      <c r="B404" s="201"/>
      <c r="C404" s="650"/>
      <c r="D404" s="656"/>
      <c r="E404" s="650"/>
      <c r="F404" s="650"/>
      <c r="G404" s="272"/>
      <c r="H404" s="56"/>
      <c r="I404" s="55"/>
      <c r="J404" s="57"/>
      <c r="K404" s="192"/>
      <c r="L404" s="192"/>
      <c r="M404" s="273"/>
      <c r="N404" s="286"/>
      <c r="O404" s="55"/>
      <c r="P404" s="56"/>
      <c r="Q404" s="400">
        <f t="shared" ref="Q404:AK404" si="104">SUM(Q396:Q403)</f>
        <v>0</v>
      </c>
      <c r="R404" s="400">
        <f t="shared" si="104"/>
        <v>0</v>
      </c>
      <c r="S404" s="400">
        <f t="shared" si="104"/>
        <v>0</v>
      </c>
      <c r="T404" s="400">
        <f t="shared" si="104"/>
        <v>0</v>
      </c>
      <c r="U404" s="400">
        <f t="shared" si="104"/>
        <v>0</v>
      </c>
      <c r="V404" s="400">
        <f t="shared" si="104"/>
        <v>0</v>
      </c>
      <c r="W404" s="400">
        <f t="shared" si="104"/>
        <v>0</v>
      </c>
      <c r="X404" s="400">
        <f t="shared" si="104"/>
        <v>0</v>
      </c>
      <c r="Y404" s="400">
        <f t="shared" si="104"/>
        <v>0</v>
      </c>
      <c r="Z404" s="400">
        <f t="shared" si="104"/>
        <v>0</v>
      </c>
      <c r="AA404" s="400">
        <f t="shared" si="104"/>
        <v>0</v>
      </c>
      <c r="AB404" s="400">
        <f t="shared" si="104"/>
        <v>0</v>
      </c>
      <c r="AC404" s="400">
        <f t="shared" si="104"/>
        <v>0</v>
      </c>
      <c r="AD404" s="400">
        <f t="shared" si="104"/>
        <v>0</v>
      </c>
      <c r="AE404" s="400">
        <f t="shared" si="104"/>
        <v>0</v>
      </c>
      <c r="AF404" s="400">
        <f t="shared" si="104"/>
        <v>248165345</v>
      </c>
      <c r="AG404" s="400">
        <f t="shared" si="104"/>
        <v>0</v>
      </c>
      <c r="AH404" s="400">
        <f t="shared" si="104"/>
        <v>0</v>
      </c>
      <c r="AI404" s="400">
        <f t="shared" si="104"/>
        <v>0</v>
      </c>
      <c r="AJ404" s="400">
        <f t="shared" si="104"/>
        <v>0</v>
      </c>
      <c r="AK404" s="400">
        <f t="shared" si="104"/>
        <v>248165345</v>
      </c>
    </row>
    <row r="405" spans="1:37" ht="30" customHeight="1" x14ac:dyDescent="0.2">
      <c r="A405" s="39"/>
      <c r="B405" s="39"/>
      <c r="C405" s="133"/>
      <c r="D405" s="69"/>
      <c r="E405" s="260"/>
      <c r="F405" s="260"/>
      <c r="G405" s="69"/>
      <c r="H405" s="146"/>
      <c r="I405" s="69"/>
      <c r="J405" s="70"/>
      <c r="K405" s="274"/>
      <c r="L405" s="275"/>
      <c r="M405" s="115"/>
      <c r="N405" s="390"/>
      <c r="O405" s="99"/>
      <c r="P405" s="146"/>
      <c r="Q405" s="395"/>
      <c r="R405" s="395"/>
      <c r="S405" s="395"/>
      <c r="T405" s="395"/>
      <c r="U405" s="395"/>
      <c r="V405" s="395"/>
      <c r="W405" s="395"/>
      <c r="X405" s="395"/>
      <c r="Y405" s="395"/>
      <c r="Z405" s="395"/>
      <c r="AA405" s="395"/>
      <c r="AB405" s="395"/>
      <c r="AC405" s="395"/>
      <c r="AD405" s="395"/>
      <c r="AE405" s="395"/>
      <c r="AF405" s="397"/>
      <c r="AG405" s="395"/>
      <c r="AH405" s="395"/>
      <c r="AI405" s="395"/>
      <c r="AJ405" s="395"/>
      <c r="AK405" s="399"/>
    </row>
    <row r="406" spans="1:37" ht="30" customHeight="1" x14ac:dyDescent="0.2">
      <c r="A406" s="39"/>
      <c r="B406" s="39"/>
      <c r="C406" s="133"/>
      <c r="D406" s="69"/>
      <c r="E406" s="146"/>
      <c r="F406" s="677"/>
      <c r="G406" s="156">
        <v>20</v>
      </c>
      <c r="H406" s="168" t="s">
        <v>521</v>
      </c>
      <c r="I406" s="77"/>
      <c r="J406" s="77"/>
      <c r="K406" s="217"/>
      <c r="L406" s="217"/>
      <c r="M406" s="77"/>
      <c r="N406" s="169"/>
      <c r="O406" s="77"/>
      <c r="P406" s="77"/>
      <c r="Q406" s="263"/>
      <c r="R406" s="263"/>
      <c r="S406" s="263"/>
      <c r="T406" s="263"/>
      <c r="U406" s="263"/>
      <c r="V406" s="263"/>
      <c r="W406" s="263"/>
      <c r="X406" s="263"/>
      <c r="Y406" s="263"/>
      <c r="Z406" s="263"/>
      <c r="AA406" s="263"/>
      <c r="AB406" s="263"/>
      <c r="AC406" s="263"/>
      <c r="AD406" s="263"/>
      <c r="AE406" s="263"/>
      <c r="AF406" s="404"/>
      <c r="AG406" s="263"/>
      <c r="AH406" s="263"/>
      <c r="AI406" s="263"/>
      <c r="AJ406" s="263"/>
      <c r="AK406" s="265"/>
    </row>
    <row r="407" spans="1:37" ht="69" customHeight="1" x14ac:dyDescent="0.2">
      <c r="A407" s="39"/>
      <c r="B407" s="201"/>
      <c r="C407" s="370"/>
      <c r="D407" s="371"/>
      <c r="E407" s="371"/>
      <c r="F407" s="371"/>
      <c r="G407" s="161"/>
      <c r="H407" s="54">
        <v>83</v>
      </c>
      <c r="I407" s="679" t="s">
        <v>522</v>
      </c>
      <c r="J407" s="165">
        <v>0</v>
      </c>
      <c r="K407" s="186">
        <v>47</v>
      </c>
      <c r="L407" s="784">
        <v>2017003630099</v>
      </c>
      <c r="M407" s="809" t="s">
        <v>479</v>
      </c>
      <c r="N407" s="774" t="s">
        <v>523</v>
      </c>
      <c r="O407" s="777" t="s">
        <v>983</v>
      </c>
      <c r="P407" s="54" t="s">
        <v>61</v>
      </c>
      <c r="Q407" s="391">
        <v>0</v>
      </c>
      <c r="R407" s="391">
        <v>0</v>
      </c>
      <c r="S407" s="391">
        <v>0</v>
      </c>
      <c r="T407" s="391">
        <v>0</v>
      </c>
      <c r="U407" s="391">
        <v>0</v>
      </c>
      <c r="V407" s="391">
        <v>0</v>
      </c>
      <c r="W407" s="391">
        <v>0</v>
      </c>
      <c r="X407" s="391"/>
      <c r="Y407" s="391"/>
      <c r="Z407" s="391">
        <v>0</v>
      </c>
      <c r="AA407" s="391">
        <v>0</v>
      </c>
      <c r="AB407" s="391"/>
      <c r="AC407" s="391"/>
      <c r="AD407" s="391">
        <v>0</v>
      </c>
      <c r="AE407" s="391">
        <v>0</v>
      </c>
      <c r="AF407" s="392">
        <f>0+80000000+32100000</f>
        <v>112100000</v>
      </c>
      <c r="AG407" s="405"/>
      <c r="AH407" s="391">
        <v>0</v>
      </c>
      <c r="AI407" s="393"/>
      <c r="AJ407" s="393"/>
      <c r="AK407" s="391">
        <f t="shared" ref="AK407:AK416" si="105">Q407+R407+S407+T407+U407+V407+W407+X407+Y407+Z407+AA407+AB407+AC407+AD407+AE407+AF407+AG407+AH407+AI407+AJ407</f>
        <v>112100000</v>
      </c>
    </row>
    <row r="408" spans="1:37" ht="69" customHeight="1" x14ac:dyDescent="0.2">
      <c r="A408" s="39"/>
      <c r="B408" s="201"/>
      <c r="C408" s="370"/>
      <c r="D408" s="371"/>
      <c r="E408" s="371"/>
      <c r="F408" s="371"/>
      <c r="G408" s="48"/>
      <c r="H408" s="54">
        <v>84</v>
      </c>
      <c r="I408" s="679" t="s">
        <v>525</v>
      </c>
      <c r="J408" s="165">
        <v>0</v>
      </c>
      <c r="K408" s="186">
        <v>26</v>
      </c>
      <c r="L408" s="785"/>
      <c r="M408" s="810"/>
      <c r="N408" s="775"/>
      <c r="O408" s="778"/>
      <c r="P408" s="54" t="s">
        <v>61</v>
      </c>
      <c r="Q408" s="391">
        <v>0</v>
      </c>
      <c r="R408" s="391">
        <v>0</v>
      </c>
      <c r="S408" s="391">
        <v>0</v>
      </c>
      <c r="T408" s="391">
        <v>0</v>
      </c>
      <c r="U408" s="391">
        <v>0</v>
      </c>
      <c r="V408" s="391">
        <v>0</v>
      </c>
      <c r="W408" s="391">
        <v>0</v>
      </c>
      <c r="X408" s="391"/>
      <c r="Y408" s="391"/>
      <c r="Z408" s="391">
        <v>0</v>
      </c>
      <c r="AA408" s="391">
        <v>0</v>
      </c>
      <c r="AB408" s="391"/>
      <c r="AC408" s="391"/>
      <c r="AD408" s="391">
        <v>0</v>
      </c>
      <c r="AE408" s="391">
        <v>0</v>
      </c>
      <c r="AF408" s="392"/>
      <c r="AG408" s="405"/>
      <c r="AH408" s="391">
        <v>0</v>
      </c>
      <c r="AI408" s="393"/>
      <c r="AJ408" s="393"/>
      <c r="AK408" s="391">
        <f t="shared" si="105"/>
        <v>0</v>
      </c>
    </row>
    <row r="409" spans="1:37" ht="69" customHeight="1" x14ac:dyDescent="0.2">
      <c r="A409" s="39"/>
      <c r="B409" s="201"/>
      <c r="C409" s="370"/>
      <c r="D409" s="371"/>
      <c r="E409" s="371"/>
      <c r="F409" s="371"/>
      <c r="G409" s="48"/>
      <c r="H409" s="54">
        <v>85</v>
      </c>
      <c r="I409" s="679" t="s">
        <v>526</v>
      </c>
      <c r="J409" s="165">
        <v>0</v>
      </c>
      <c r="K409" s="186">
        <v>26</v>
      </c>
      <c r="L409" s="785"/>
      <c r="M409" s="810"/>
      <c r="N409" s="775"/>
      <c r="O409" s="778"/>
      <c r="P409" s="54" t="s">
        <v>61</v>
      </c>
      <c r="Q409" s="391">
        <v>0</v>
      </c>
      <c r="R409" s="391">
        <v>0</v>
      </c>
      <c r="S409" s="391">
        <v>0</v>
      </c>
      <c r="T409" s="391">
        <v>0</v>
      </c>
      <c r="U409" s="391">
        <v>0</v>
      </c>
      <c r="V409" s="391">
        <v>0</v>
      </c>
      <c r="W409" s="391">
        <v>0</v>
      </c>
      <c r="X409" s="391"/>
      <c r="Y409" s="391"/>
      <c r="Z409" s="391">
        <v>0</v>
      </c>
      <c r="AA409" s="391">
        <v>0</v>
      </c>
      <c r="AB409" s="391"/>
      <c r="AC409" s="391"/>
      <c r="AD409" s="391">
        <v>0</v>
      </c>
      <c r="AE409" s="391">
        <v>0</v>
      </c>
      <c r="AF409" s="634">
        <f>16050000-16050000</f>
        <v>0</v>
      </c>
      <c r="AG409" s="405"/>
      <c r="AH409" s="391">
        <v>0</v>
      </c>
      <c r="AI409" s="393"/>
      <c r="AJ409" s="393"/>
      <c r="AK409" s="391">
        <f t="shared" si="105"/>
        <v>0</v>
      </c>
    </row>
    <row r="410" spans="1:37" ht="69" customHeight="1" x14ac:dyDescent="0.2">
      <c r="A410" s="39"/>
      <c r="B410" s="201"/>
      <c r="C410" s="650">
        <v>14</v>
      </c>
      <c r="D410" s="46" t="s">
        <v>486</v>
      </c>
      <c r="E410" s="664">
        <v>6.2E-2</v>
      </c>
      <c r="F410" s="664">
        <v>0.03</v>
      </c>
      <c r="G410" s="48"/>
      <c r="H410" s="54">
        <v>87</v>
      </c>
      <c r="I410" s="679" t="s">
        <v>527</v>
      </c>
      <c r="J410" s="165">
        <v>0</v>
      </c>
      <c r="K410" s="186">
        <v>30</v>
      </c>
      <c r="L410" s="785"/>
      <c r="M410" s="810"/>
      <c r="N410" s="775"/>
      <c r="O410" s="778"/>
      <c r="P410" s="54" t="s">
        <v>46</v>
      </c>
      <c r="Q410" s="391">
        <v>0</v>
      </c>
      <c r="R410" s="391">
        <v>0</v>
      </c>
      <c r="S410" s="391">
        <v>0</v>
      </c>
      <c r="T410" s="391">
        <v>0</v>
      </c>
      <c r="U410" s="391">
        <v>0</v>
      </c>
      <c r="V410" s="391">
        <v>0</v>
      </c>
      <c r="W410" s="391">
        <v>0</v>
      </c>
      <c r="X410" s="391"/>
      <c r="Y410" s="391"/>
      <c r="Z410" s="391">
        <v>0</v>
      </c>
      <c r="AA410" s="391">
        <v>0</v>
      </c>
      <c r="AB410" s="391">
        <v>0</v>
      </c>
      <c r="AC410" s="391"/>
      <c r="AD410" s="391">
        <v>0</v>
      </c>
      <c r="AE410" s="391">
        <v>0</v>
      </c>
      <c r="AF410" s="645">
        <f>20000000+30000000</f>
        <v>50000000</v>
      </c>
      <c r="AG410" s="405"/>
      <c r="AH410" s="391">
        <v>0</v>
      </c>
      <c r="AI410" s="393"/>
      <c r="AJ410" s="393"/>
      <c r="AK410" s="391">
        <f t="shared" si="105"/>
        <v>50000000</v>
      </c>
    </row>
    <row r="411" spans="1:37" ht="69" customHeight="1" x14ac:dyDescent="0.2">
      <c r="A411" s="39"/>
      <c r="B411" s="201"/>
      <c r="C411" s="650">
        <v>15</v>
      </c>
      <c r="D411" s="656" t="s">
        <v>477</v>
      </c>
      <c r="E411" s="664">
        <v>0.73229999999999995</v>
      </c>
      <c r="F411" s="664">
        <v>0.78</v>
      </c>
      <c r="G411" s="48"/>
      <c r="H411" s="54">
        <v>88</v>
      </c>
      <c r="I411" s="679" t="s">
        <v>528</v>
      </c>
      <c r="J411" s="165">
        <v>21</v>
      </c>
      <c r="K411" s="186">
        <v>34</v>
      </c>
      <c r="L411" s="785"/>
      <c r="M411" s="810"/>
      <c r="N411" s="775"/>
      <c r="O411" s="778"/>
      <c r="P411" s="54" t="s">
        <v>61</v>
      </c>
      <c r="Q411" s="391">
        <v>0</v>
      </c>
      <c r="R411" s="391">
        <v>0</v>
      </c>
      <c r="S411" s="391">
        <v>0</v>
      </c>
      <c r="T411" s="391">
        <v>0</v>
      </c>
      <c r="U411" s="391">
        <v>0</v>
      </c>
      <c r="V411" s="391">
        <v>0</v>
      </c>
      <c r="W411" s="391">
        <v>0</v>
      </c>
      <c r="X411" s="391"/>
      <c r="Y411" s="391"/>
      <c r="Z411" s="391">
        <v>0</v>
      </c>
      <c r="AA411" s="391">
        <v>0</v>
      </c>
      <c r="AB411" s="391"/>
      <c r="AC411" s="391"/>
      <c r="AD411" s="391">
        <v>0</v>
      </c>
      <c r="AE411" s="391">
        <v>0</v>
      </c>
      <c r="AF411" s="392">
        <f>53000000+16050000</f>
        <v>69050000</v>
      </c>
      <c r="AG411" s="405"/>
      <c r="AH411" s="391">
        <v>0</v>
      </c>
      <c r="AI411" s="393"/>
      <c r="AJ411" s="393"/>
      <c r="AK411" s="391">
        <f t="shared" si="105"/>
        <v>69050000</v>
      </c>
    </row>
    <row r="412" spans="1:37" ht="69" customHeight="1" x14ac:dyDescent="0.2">
      <c r="A412" s="39"/>
      <c r="B412" s="201"/>
      <c r="C412" s="650">
        <v>19</v>
      </c>
      <c r="D412" s="656" t="s">
        <v>482</v>
      </c>
      <c r="E412" s="664" t="s">
        <v>529</v>
      </c>
      <c r="F412" s="664" t="s">
        <v>494</v>
      </c>
      <c r="G412" s="48"/>
      <c r="H412" s="54">
        <v>86</v>
      </c>
      <c r="I412" s="679" t="s">
        <v>530</v>
      </c>
      <c r="J412" s="165">
        <v>0</v>
      </c>
      <c r="K412" s="186">
        <v>3</v>
      </c>
      <c r="L412" s="785"/>
      <c r="M412" s="810"/>
      <c r="N412" s="775"/>
      <c r="O412" s="778"/>
      <c r="P412" s="54" t="s">
        <v>61</v>
      </c>
      <c r="Q412" s="391"/>
      <c r="R412" s="391"/>
      <c r="S412" s="391"/>
      <c r="T412" s="391"/>
      <c r="U412" s="391"/>
      <c r="V412" s="391"/>
      <c r="W412" s="475"/>
      <c r="X412" s="391"/>
      <c r="Y412" s="391"/>
      <c r="Z412" s="391"/>
      <c r="AA412" s="391"/>
      <c r="AB412" s="391"/>
      <c r="AC412" s="391"/>
      <c r="AD412" s="391"/>
      <c r="AE412" s="391"/>
      <c r="AF412" s="392"/>
      <c r="AG412" s="405"/>
      <c r="AH412" s="391"/>
      <c r="AI412" s="393"/>
      <c r="AJ412" s="393"/>
      <c r="AK412" s="391">
        <f t="shared" si="105"/>
        <v>0</v>
      </c>
    </row>
    <row r="413" spans="1:37" ht="69" customHeight="1" x14ac:dyDescent="0.2">
      <c r="A413" s="39"/>
      <c r="B413" s="201"/>
      <c r="C413" s="650"/>
      <c r="D413" s="46"/>
      <c r="E413" s="276"/>
      <c r="F413" s="276"/>
      <c r="G413" s="48"/>
      <c r="H413" s="54">
        <v>89</v>
      </c>
      <c r="I413" s="679" t="s">
        <v>531</v>
      </c>
      <c r="J413" s="165" t="s">
        <v>37</v>
      </c>
      <c r="K413" s="186">
        <v>17500</v>
      </c>
      <c r="L413" s="785"/>
      <c r="M413" s="810"/>
      <c r="N413" s="775"/>
      <c r="O413" s="778"/>
      <c r="P413" s="54" t="s">
        <v>61</v>
      </c>
      <c r="Q413" s="391">
        <v>0</v>
      </c>
      <c r="R413" s="391">
        <v>0</v>
      </c>
      <c r="S413" s="391">
        <v>0</v>
      </c>
      <c r="T413" s="391">
        <v>0</v>
      </c>
      <c r="U413" s="391">
        <v>0</v>
      </c>
      <c r="V413" s="391">
        <v>0</v>
      </c>
      <c r="W413" s="391"/>
      <c r="X413" s="391"/>
      <c r="Y413" s="391"/>
      <c r="Z413" s="391">
        <v>0</v>
      </c>
      <c r="AA413" s="391">
        <v>0</v>
      </c>
      <c r="AB413" s="391"/>
      <c r="AC413" s="391"/>
      <c r="AD413" s="391">
        <v>0</v>
      </c>
      <c r="AE413" s="391">
        <v>0</v>
      </c>
      <c r="AF413" s="392"/>
      <c r="AG413" s="405"/>
      <c r="AH413" s="391">
        <v>0</v>
      </c>
      <c r="AI413" s="393"/>
      <c r="AJ413" s="393"/>
      <c r="AK413" s="391">
        <f t="shared" si="105"/>
        <v>0</v>
      </c>
    </row>
    <row r="414" spans="1:37" ht="69" customHeight="1" x14ac:dyDescent="0.2">
      <c r="A414" s="39"/>
      <c r="B414" s="201"/>
      <c r="C414" s="650"/>
      <c r="D414" s="46"/>
      <c r="E414" s="276"/>
      <c r="F414" s="276"/>
      <c r="G414" s="48"/>
      <c r="H414" s="54">
        <v>90</v>
      </c>
      <c r="I414" s="679" t="s">
        <v>532</v>
      </c>
      <c r="J414" s="165">
        <v>100</v>
      </c>
      <c r="K414" s="186">
        <v>126</v>
      </c>
      <c r="L414" s="785"/>
      <c r="M414" s="810"/>
      <c r="N414" s="775"/>
      <c r="O414" s="778"/>
      <c r="P414" s="54" t="s">
        <v>61</v>
      </c>
      <c r="Q414" s="391">
        <v>0</v>
      </c>
      <c r="R414" s="391">
        <v>0</v>
      </c>
      <c r="S414" s="391">
        <v>0</v>
      </c>
      <c r="T414" s="391">
        <v>0</v>
      </c>
      <c r="U414" s="391">
        <v>0</v>
      </c>
      <c r="V414" s="391">
        <v>0</v>
      </c>
      <c r="W414" s="476"/>
      <c r="X414" s="391"/>
      <c r="Y414" s="391"/>
      <c r="Z414" s="391">
        <v>0</v>
      </c>
      <c r="AA414" s="391">
        <v>0</v>
      </c>
      <c r="AB414" s="391"/>
      <c r="AC414" s="391"/>
      <c r="AD414" s="391">
        <v>0</v>
      </c>
      <c r="AE414" s="391">
        <v>0</v>
      </c>
      <c r="AF414" s="634">
        <f>20000000+20000000</f>
        <v>40000000</v>
      </c>
      <c r="AG414" s="405"/>
      <c r="AH414" s="391">
        <v>0</v>
      </c>
      <c r="AI414" s="393"/>
      <c r="AJ414" s="393"/>
      <c r="AK414" s="391">
        <f t="shared" si="105"/>
        <v>40000000</v>
      </c>
    </row>
    <row r="415" spans="1:37" ht="69" customHeight="1" x14ac:dyDescent="0.2">
      <c r="A415" s="39"/>
      <c r="B415" s="201"/>
      <c r="C415" s="650"/>
      <c r="D415" s="46"/>
      <c r="E415" s="276"/>
      <c r="F415" s="276"/>
      <c r="G415" s="48"/>
      <c r="H415" s="54">
        <v>91</v>
      </c>
      <c r="I415" s="679" t="s">
        <v>533</v>
      </c>
      <c r="J415" s="165">
        <v>0</v>
      </c>
      <c r="K415" s="186">
        <v>54</v>
      </c>
      <c r="L415" s="785"/>
      <c r="M415" s="810"/>
      <c r="N415" s="775"/>
      <c r="O415" s="778"/>
      <c r="P415" s="54" t="s">
        <v>46</v>
      </c>
      <c r="Q415" s="391">
        <v>0</v>
      </c>
      <c r="R415" s="391">
        <v>0</v>
      </c>
      <c r="S415" s="391">
        <v>0</v>
      </c>
      <c r="T415" s="391">
        <v>0</v>
      </c>
      <c r="U415" s="391">
        <v>0</v>
      </c>
      <c r="V415" s="391">
        <v>0</v>
      </c>
      <c r="W415" s="391"/>
      <c r="X415" s="391"/>
      <c r="Y415" s="391"/>
      <c r="Z415" s="391">
        <v>0</v>
      </c>
      <c r="AA415" s="391">
        <v>0</v>
      </c>
      <c r="AB415" s="642">
        <f>0+2296502</f>
        <v>2296502</v>
      </c>
      <c r="AC415" s="391"/>
      <c r="AD415" s="391">
        <v>0</v>
      </c>
      <c r="AE415" s="391">
        <v>0</v>
      </c>
      <c r="AF415" s="634">
        <f>20000000+74000000-64000000</f>
        <v>30000000</v>
      </c>
      <c r="AG415" s="405"/>
      <c r="AH415" s="391">
        <v>0</v>
      </c>
      <c r="AI415" s="393"/>
      <c r="AJ415" s="393"/>
      <c r="AK415" s="391">
        <f t="shared" si="105"/>
        <v>32296502</v>
      </c>
    </row>
    <row r="416" spans="1:37" ht="69" customHeight="1" x14ac:dyDescent="0.2">
      <c r="A416" s="39"/>
      <c r="B416" s="201"/>
      <c r="C416" s="650"/>
      <c r="D416" s="656"/>
      <c r="E416" s="664"/>
      <c r="F416" s="664"/>
      <c r="G416" s="50"/>
      <c r="H416" s="54">
        <v>92</v>
      </c>
      <c r="I416" s="679" t="s">
        <v>534</v>
      </c>
      <c r="J416" s="165">
        <v>0</v>
      </c>
      <c r="K416" s="186">
        <v>2</v>
      </c>
      <c r="L416" s="786"/>
      <c r="M416" s="811"/>
      <c r="N416" s="776"/>
      <c r="O416" s="779"/>
      <c r="P416" s="54" t="s">
        <v>61</v>
      </c>
      <c r="Q416" s="391"/>
      <c r="R416" s="391"/>
      <c r="S416" s="391"/>
      <c r="T416" s="391"/>
      <c r="U416" s="391"/>
      <c r="V416" s="391"/>
      <c r="W416" s="391"/>
      <c r="X416" s="391"/>
      <c r="Y416" s="391"/>
      <c r="Z416" s="391"/>
      <c r="AA416" s="391"/>
      <c r="AB416" s="391"/>
      <c r="AC416" s="391"/>
      <c r="AD416" s="391"/>
      <c r="AE416" s="391"/>
      <c r="AF416" s="634">
        <v>30050000</v>
      </c>
      <c r="AG416" s="405"/>
      <c r="AH416" s="391"/>
      <c r="AI416" s="393"/>
      <c r="AJ416" s="393"/>
      <c r="AK416" s="391">
        <f t="shared" si="105"/>
        <v>30050000</v>
      </c>
    </row>
    <row r="417" spans="1:37" ht="30" customHeight="1" x14ac:dyDescent="0.2">
      <c r="A417" s="39"/>
      <c r="B417" s="201"/>
      <c r="C417" s="662"/>
      <c r="D417" s="657"/>
      <c r="E417" s="662"/>
      <c r="F417" s="662"/>
      <c r="G417" s="272"/>
      <c r="H417" s="56"/>
      <c r="I417" s="55"/>
      <c r="J417" s="187"/>
      <c r="K417" s="192"/>
      <c r="L417" s="192"/>
      <c r="M417" s="192"/>
      <c r="N417" s="56"/>
      <c r="O417" s="55"/>
      <c r="P417" s="56"/>
      <c r="Q417" s="400">
        <f t="shared" ref="Q417:AJ417" si="106">SUM(Q407:Q416)</f>
        <v>0</v>
      </c>
      <c r="R417" s="400">
        <f t="shared" si="106"/>
        <v>0</v>
      </c>
      <c r="S417" s="400">
        <f t="shared" si="106"/>
        <v>0</v>
      </c>
      <c r="T417" s="400">
        <f t="shared" si="106"/>
        <v>0</v>
      </c>
      <c r="U417" s="400">
        <f t="shared" si="106"/>
        <v>0</v>
      </c>
      <c r="V417" s="400">
        <f t="shared" si="106"/>
        <v>0</v>
      </c>
      <c r="W417" s="400">
        <f t="shared" si="106"/>
        <v>0</v>
      </c>
      <c r="X417" s="400">
        <f t="shared" si="106"/>
        <v>0</v>
      </c>
      <c r="Y417" s="400">
        <f t="shared" si="106"/>
        <v>0</v>
      </c>
      <c r="Z417" s="400">
        <f t="shared" si="106"/>
        <v>0</v>
      </c>
      <c r="AA417" s="400">
        <f t="shared" si="106"/>
        <v>0</v>
      </c>
      <c r="AB417" s="400">
        <f t="shared" si="106"/>
        <v>2296502</v>
      </c>
      <c r="AC417" s="400">
        <f t="shared" si="106"/>
        <v>0</v>
      </c>
      <c r="AD417" s="400">
        <f t="shared" si="106"/>
        <v>0</v>
      </c>
      <c r="AE417" s="400">
        <f t="shared" si="106"/>
        <v>0</v>
      </c>
      <c r="AF417" s="400">
        <f t="shared" si="106"/>
        <v>331200000</v>
      </c>
      <c r="AG417" s="400">
        <f t="shared" si="106"/>
        <v>0</v>
      </c>
      <c r="AH417" s="400">
        <f t="shared" si="106"/>
        <v>0</v>
      </c>
      <c r="AI417" s="400">
        <f t="shared" si="106"/>
        <v>0</v>
      </c>
      <c r="AJ417" s="400">
        <f t="shared" si="106"/>
        <v>0</v>
      </c>
      <c r="AK417" s="400">
        <f t="shared" ref="AK417" si="107">SUM(AK407:AK416)</f>
        <v>333496502</v>
      </c>
    </row>
    <row r="418" spans="1:37" ht="30" customHeight="1" x14ac:dyDescent="0.2">
      <c r="A418" s="39"/>
      <c r="B418" s="39"/>
      <c r="C418" s="146"/>
      <c r="D418" s="69"/>
      <c r="E418" s="260"/>
      <c r="F418" s="260"/>
      <c r="G418" s="69"/>
      <c r="H418" s="146"/>
      <c r="I418" s="69"/>
      <c r="J418" s="70"/>
      <c r="K418" s="193"/>
      <c r="L418" s="202"/>
      <c r="M418" s="115"/>
      <c r="N418" s="390"/>
      <c r="O418" s="99"/>
      <c r="P418" s="146"/>
      <c r="Q418" s="395"/>
      <c r="R418" s="396"/>
      <c r="S418" s="395"/>
      <c r="T418" s="395"/>
      <c r="U418" s="395"/>
      <c r="V418" s="395"/>
      <c r="W418" s="395"/>
      <c r="X418" s="395"/>
      <c r="Y418" s="395"/>
      <c r="Z418" s="395"/>
      <c r="AA418" s="395"/>
      <c r="AB418" s="395"/>
      <c r="AC418" s="395"/>
      <c r="AD418" s="395"/>
      <c r="AE418" s="395"/>
      <c r="AF418" s="749"/>
      <c r="AG418" s="395"/>
      <c r="AH418" s="395"/>
      <c r="AI418" s="395"/>
      <c r="AJ418" s="395"/>
      <c r="AK418" s="399"/>
    </row>
    <row r="419" spans="1:37" ht="30" customHeight="1" x14ac:dyDescent="0.2">
      <c r="A419" s="39"/>
      <c r="B419" s="39"/>
      <c r="C419" s="661"/>
      <c r="D419" s="655"/>
      <c r="E419" s="661"/>
      <c r="F419" s="661"/>
      <c r="G419" s="136">
        <v>21</v>
      </c>
      <c r="H419" s="168" t="s">
        <v>535</v>
      </c>
      <c r="I419" s="77"/>
      <c r="J419" s="77"/>
      <c r="K419" s="149"/>
      <c r="L419" s="149"/>
      <c r="M419" s="77"/>
      <c r="N419" s="169"/>
      <c r="O419" s="77"/>
      <c r="P419" s="77"/>
      <c r="Q419" s="263"/>
      <c r="R419" s="263"/>
      <c r="S419" s="263"/>
      <c r="T419" s="263"/>
      <c r="U419" s="263"/>
      <c r="V419" s="263"/>
      <c r="W419" s="263"/>
      <c r="X419" s="263"/>
      <c r="Y419" s="263"/>
      <c r="Z419" s="263"/>
      <c r="AA419" s="263"/>
      <c r="AB419" s="263"/>
      <c r="AC419" s="263"/>
      <c r="AD419" s="263"/>
      <c r="AE419" s="263"/>
      <c r="AF419" s="404"/>
      <c r="AG419" s="263"/>
      <c r="AH419" s="263"/>
      <c r="AI419" s="263"/>
      <c r="AJ419" s="263"/>
      <c r="AK419" s="265"/>
    </row>
    <row r="420" spans="1:37" ht="84.75" customHeight="1" x14ac:dyDescent="0.2">
      <c r="A420" s="39"/>
      <c r="B420" s="201"/>
      <c r="C420" s="650">
        <v>14</v>
      </c>
      <c r="D420" s="46" t="s">
        <v>486</v>
      </c>
      <c r="E420" s="664">
        <v>6.2E-2</v>
      </c>
      <c r="F420" s="664">
        <v>0.03</v>
      </c>
      <c r="G420" s="161"/>
      <c r="H420" s="54">
        <v>93</v>
      </c>
      <c r="I420" s="679" t="s">
        <v>536</v>
      </c>
      <c r="J420" s="165" t="s">
        <v>37</v>
      </c>
      <c r="K420" s="186">
        <v>32</v>
      </c>
      <c r="L420" s="784">
        <v>2017003630038</v>
      </c>
      <c r="M420" s="809" t="s">
        <v>479</v>
      </c>
      <c r="N420" s="774" t="s">
        <v>537</v>
      </c>
      <c r="O420" s="777" t="s">
        <v>984</v>
      </c>
      <c r="P420" s="54" t="s">
        <v>61</v>
      </c>
      <c r="Q420" s="391">
        <v>0</v>
      </c>
      <c r="R420" s="417">
        <v>0</v>
      </c>
      <c r="S420" s="391">
        <v>0</v>
      </c>
      <c r="T420" s="391">
        <v>0</v>
      </c>
      <c r="U420" s="391">
        <v>0</v>
      </c>
      <c r="V420" s="391">
        <v>0</v>
      </c>
      <c r="W420" s="391">
        <v>0</v>
      </c>
      <c r="X420" s="391"/>
      <c r="Y420" s="391"/>
      <c r="Z420" s="391">
        <v>0</v>
      </c>
      <c r="AA420" s="391">
        <v>0</v>
      </c>
      <c r="AB420" s="477"/>
      <c r="AC420" s="472"/>
      <c r="AD420" s="391">
        <v>0</v>
      </c>
      <c r="AE420" s="391">
        <v>0</v>
      </c>
      <c r="AF420" s="634">
        <f>59100000-8000000-30000000</f>
        <v>21100000</v>
      </c>
      <c r="AG420" s="405"/>
      <c r="AH420" s="391">
        <v>0</v>
      </c>
      <c r="AI420" s="393"/>
      <c r="AJ420" s="393"/>
      <c r="AK420" s="391">
        <f>Q420+R420+S420+T420+U420+V420+W420+X420+Y420+Z420+AA420+AB420+AC420+AD420+AE420+AF420+AG420+AH420+AI420+AJ420</f>
        <v>21100000</v>
      </c>
    </row>
    <row r="421" spans="1:37" ht="84.75" customHeight="1" x14ac:dyDescent="0.2">
      <c r="A421" s="39"/>
      <c r="B421" s="201"/>
      <c r="C421" s="650">
        <v>15</v>
      </c>
      <c r="D421" s="656" t="s">
        <v>477</v>
      </c>
      <c r="E421" s="664">
        <v>0.73229999999999995</v>
      </c>
      <c r="F421" s="664">
        <v>0.78</v>
      </c>
      <c r="G421" s="48"/>
      <c r="H421" s="54">
        <v>94</v>
      </c>
      <c r="I421" s="679" t="s">
        <v>539</v>
      </c>
      <c r="J421" s="165">
        <v>70</v>
      </c>
      <c r="K421" s="730">
        <v>55</v>
      </c>
      <c r="L421" s="785"/>
      <c r="M421" s="810"/>
      <c r="N421" s="775"/>
      <c r="O421" s="778"/>
      <c r="P421" s="54" t="s">
        <v>61</v>
      </c>
      <c r="Q421" s="391">
        <v>0</v>
      </c>
      <c r="R421" s="417">
        <v>0</v>
      </c>
      <c r="S421" s="391">
        <v>0</v>
      </c>
      <c r="T421" s="391">
        <v>0</v>
      </c>
      <c r="U421" s="391">
        <v>0</v>
      </c>
      <c r="V421" s="391">
        <v>0</v>
      </c>
      <c r="W421" s="391">
        <v>0</v>
      </c>
      <c r="X421" s="391"/>
      <c r="Y421" s="391"/>
      <c r="Z421" s="391">
        <v>0</v>
      </c>
      <c r="AA421" s="391">
        <v>0</v>
      </c>
      <c r="AB421" s="634">
        <f>50000000+177770022-80000000+80000000</f>
        <v>227770022</v>
      </c>
      <c r="AC421" s="392"/>
      <c r="AD421" s="391">
        <v>0</v>
      </c>
      <c r="AE421" s="391">
        <v>0</v>
      </c>
      <c r="AF421" s="634">
        <f>22000000+55000000+8000000</f>
        <v>85000000</v>
      </c>
      <c r="AG421" s="405"/>
      <c r="AH421" s="391">
        <v>0</v>
      </c>
      <c r="AI421" s="393"/>
      <c r="AJ421" s="393"/>
      <c r="AK421" s="391">
        <f>Q421+R421+S421+T421+U421+V421+W421+X421+Y421+Z421+AA421+AB421+AC421+AD421+AE421+AF421+AG421+AH421+AI421+AJ421</f>
        <v>312770022</v>
      </c>
    </row>
    <row r="422" spans="1:37" ht="84.75" customHeight="1" x14ac:dyDescent="0.2">
      <c r="A422" s="39"/>
      <c r="B422" s="201"/>
      <c r="C422" s="650">
        <v>19</v>
      </c>
      <c r="D422" s="656" t="s">
        <v>482</v>
      </c>
      <c r="E422" s="664" t="s">
        <v>529</v>
      </c>
      <c r="F422" s="664" t="s">
        <v>540</v>
      </c>
      <c r="G422" s="48"/>
      <c r="H422" s="54">
        <v>95</v>
      </c>
      <c r="I422" s="679" t="s">
        <v>541</v>
      </c>
      <c r="J422" s="165">
        <v>0</v>
      </c>
      <c r="K422" s="186">
        <v>500</v>
      </c>
      <c r="L422" s="785"/>
      <c r="M422" s="810"/>
      <c r="N422" s="775"/>
      <c r="O422" s="778"/>
      <c r="P422" s="54" t="s">
        <v>46</v>
      </c>
      <c r="Q422" s="391">
        <v>0</v>
      </c>
      <c r="R422" s="417">
        <v>0</v>
      </c>
      <c r="S422" s="391">
        <v>0</v>
      </c>
      <c r="T422" s="391">
        <v>0</v>
      </c>
      <c r="U422" s="391">
        <v>0</v>
      </c>
      <c r="V422" s="391">
        <v>0</v>
      </c>
      <c r="W422" s="391">
        <v>0</v>
      </c>
      <c r="X422" s="391"/>
      <c r="Y422" s="391"/>
      <c r="Z422" s="391">
        <v>0</v>
      </c>
      <c r="AA422" s="391">
        <v>0</v>
      </c>
      <c r="AB422" s="634">
        <f>10000000-10000000</f>
        <v>0</v>
      </c>
      <c r="AC422" s="392"/>
      <c r="AD422" s="391">
        <v>0</v>
      </c>
      <c r="AE422" s="391">
        <v>0</v>
      </c>
      <c r="AF422" s="645"/>
      <c r="AG422" s="405"/>
      <c r="AH422" s="391">
        <v>0</v>
      </c>
      <c r="AI422" s="393"/>
      <c r="AJ422" s="393"/>
      <c r="AK422" s="391">
        <f>Q422+R422+S422+T422+U422+V422+W422+X422+Y422+Z422+AA422+AB422+AC422+AD422+AE422+AF422+AG422+AH422+AI422+AJ422</f>
        <v>0</v>
      </c>
    </row>
    <row r="423" spans="1:37" ht="84.75" customHeight="1" x14ac:dyDescent="0.2">
      <c r="A423" s="39"/>
      <c r="B423" s="201"/>
      <c r="C423" s="650"/>
      <c r="D423" s="46"/>
      <c r="E423" s="46"/>
      <c r="F423" s="529"/>
      <c r="G423" s="50"/>
      <c r="H423" s="54">
        <v>96</v>
      </c>
      <c r="I423" s="679" t="s">
        <v>542</v>
      </c>
      <c r="J423" s="165">
        <v>0</v>
      </c>
      <c r="K423" s="186">
        <v>2</v>
      </c>
      <c r="L423" s="786"/>
      <c r="M423" s="811"/>
      <c r="N423" s="776"/>
      <c r="O423" s="779"/>
      <c r="P423" s="54" t="s">
        <v>61</v>
      </c>
      <c r="Q423" s="391">
        <v>0</v>
      </c>
      <c r="R423" s="417">
        <v>0</v>
      </c>
      <c r="S423" s="391">
        <v>0</v>
      </c>
      <c r="T423" s="391">
        <v>0</v>
      </c>
      <c r="U423" s="391">
        <v>0</v>
      </c>
      <c r="V423" s="391">
        <v>0</v>
      </c>
      <c r="W423" s="391">
        <v>0</v>
      </c>
      <c r="X423" s="391"/>
      <c r="Y423" s="391"/>
      <c r="Z423" s="391">
        <v>0</v>
      </c>
      <c r="AA423" s="391">
        <v>0</v>
      </c>
      <c r="AB423" s="634">
        <f>20000000+10000000</f>
        <v>30000000</v>
      </c>
      <c r="AC423" s="392"/>
      <c r="AD423" s="391">
        <v>0</v>
      </c>
      <c r="AE423" s="391">
        <v>0</v>
      </c>
      <c r="AF423" s="645">
        <f>0+30000000</f>
        <v>30000000</v>
      </c>
      <c r="AG423" s="405"/>
      <c r="AH423" s="391">
        <v>0</v>
      </c>
      <c r="AI423" s="393"/>
      <c r="AJ423" s="393"/>
      <c r="AK423" s="391">
        <f>Q423+R423+S423+T423+U423+V423+W423+X423+Y423+Z423+AA423+AB423+AC423+AD423+AE423+AF423+AG423+AH423+AI423+AJ423</f>
        <v>60000000</v>
      </c>
    </row>
    <row r="424" spans="1:37" ht="30" customHeight="1" x14ac:dyDescent="0.2">
      <c r="A424" s="39"/>
      <c r="B424" s="39"/>
      <c r="C424" s="662"/>
      <c r="D424" s="657"/>
      <c r="E424" s="662"/>
      <c r="F424" s="662"/>
      <c r="G424" s="55"/>
      <c r="H424" s="56"/>
      <c r="I424" s="55"/>
      <c r="J424" s="187"/>
      <c r="K424" s="192"/>
      <c r="L424" s="192"/>
      <c r="M424" s="192"/>
      <c r="N424" s="56"/>
      <c r="O424" s="55"/>
      <c r="P424" s="56"/>
      <c r="Q424" s="400">
        <f t="shared" ref="Q424:AK424" si="108">SUM(Q420:Q423)</f>
        <v>0</v>
      </c>
      <c r="R424" s="400">
        <f t="shared" si="108"/>
        <v>0</v>
      </c>
      <c r="S424" s="400">
        <f t="shared" si="108"/>
        <v>0</v>
      </c>
      <c r="T424" s="400">
        <f t="shared" si="108"/>
        <v>0</v>
      </c>
      <c r="U424" s="400">
        <f t="shared" si="108"/>
        <v>0</v>
      </c>
      <c r="V424" s="400">
        <f t="shared" si="108"/>
        <v>0</v>
      </c>
      <c r="W424" s="400">
        <f t="shared" si="108"/>
        <v>0</v>
      </c>
      <c r="X424" s="400">
        <f t="shared" si="108"/>
        <v>0</v>
      </c>
      <c r="Y424" s="400">
        <f t="shared" si="108"/>
        <v>0</v>
      </c>
      <c r="Z424" s="400">
        <f t="shared" si="108"/>
        <v>0</v>
      </c>
      <c r="AA424" s="400">
        <f t="shared" si="108"/>
        <v>0</v>
      </c>
      <c r="AB424" s="400">
        <f t="shared" si="108"/>
        <v>257770022</v>
      </c>
      <c r="AC424" s="400">
        <f t="shared" si="108"/>
        <v>0</v>
      </c>
      <c r="AD424" s="400">
        <f t="shared" si="108"/>
        <v>0</v>
      </c>
      <c r="AE424" s="400">
        <f t="shared" si="108"/>
        <v>0</v>
      </c>
      <c r="AF424" s="400">
        <f t="shared" si="108"/>
        <v>136100000</v>
      </c>
      <c r="AG424" s="400">
        <f t="shared" si="108"/>
        <v>0</v>
      </c>
      <c r="AH424" s="400">
        <f t="shared" si="108"/>
        <v>0</v>
      </c>
      <c r="AI424" s="400">
        <f t="shared" si="108"/>
        <v>0</v>
      </c>
      <c r="AJ424" s="400">
        <f t="shared" si="108"/>
        <v>0</v>
      </c>
      <c r="AK424" s="400">
        <f t="shared" si="108"/>
        <v>393870022</v>
      </c>
    </row>
    <row r="425" spans="1:37" ht="30" customHeight="1" x14ac:dyDescent="0.2">
      <c r="A425" s="39"/>
      <c r="B425" s="39"/>
      <c r="C425" s="146"/>
      <c r="D425" s="69"/>
      <c r="E425" s="260"/>
      <c r="F425" s="260"/>
      <c r="G425" s="69"/>
      <c r="H425" s="146"/>
      <c r="I425" s="69"/>
      <c r="J425" s="70"/>
      <c r="K425" s="193"/>
      <c r="L425" s="202"/>
      <c r="M425" s="115"/>
      <c r="N425" s="390"/>
      <c r="O425" s="99"/>
      <c r="P425" s="146"/>
      <c r="Q425" s="395"/>
      <c r="R425" s="396"/>
      <c r="S425" s="395"/>
      <c r="T425" s="395"/>
      <c r="U425" s="395"/>
      <c r="V425" s="395"/>
      <c r="W425" s="395"/>
      <c r="X425" s="395"/>
      <c r="Y425" s="395"/>
      <c r="Z425" s="395"/>
      <c r="AA425" s="395"/>
      <c r="AB425" s="395"/>
      <c r="AC425" s="395"/>
      <c r="AD425" s="395"/>
      <c r="AE425" s="395"/>
      <c r="AF425" s="749"/>
      <c r="AG425" s="395"/>
      <c r="AH425" s="395"/>
      <c r="AI425" s="395"/>
      <c r="AJ425" s="395"/>
      <c r="AK425" s="399"/>
    </row>
    <row r="426" spans="1:37" ht="30" customHeight="1" x14ac:dyDescent="0.2">
      <c r="A426" s="39"/>
      <c r="B426" s="39"/>
      <c r="C426" s="661"/>
      <c r="D426" s="655"/>
      <c r="E426" s="682"/>
      <c r="F426" s="682"/>
      <c r="G426" s="75">
        <v>22</v>
      </c>
      <c r="H426" s="77" t="s">
        <v>543</v>
      </c>
      <c r="I426" s="77"/>
      <c r="J426" s="77"/>
      <c r="K426" s="149"/>
      <c r="L426" s="149"/>
      <c r="M426" s="77"/>
      <c r="N426" s="169"/>
      <c r="O426" s="77"/>
      <c r="P426" s="77"/>
      <c r="Q426" s="263"/>
      <c r="R426" s="263"/>
      <c r="S426" s="263"/>
      <c r="T426" s="263"/>
      <c r="U426" s="263"/>
      <c r="V426" s="263"/>
      <c r="W426" s="263"/>
      <c r="X426" s="263"/>
      <c r="Y426" s="263"/>
      <c r="Z426" s="263"/>
      <c r="AA426" s="263"/>
      <c r="AB426" s="263"/>
      <c r="AC426" s="263"/>
      <c r="AD426" s="263"/>
      <c r="AE426" s="263"/>
      <c r="AF426" s="404"/>
      <c r="AG426" s="263"/>
      <c r="AH426" s="263"/>
      <c r="AI426" s="263"/>
      <c r="AJ426" s="263"/>
      <c r="AK426" s="265"/>
    </row>
    <row r="427" spans="1:37" ht="69" customHeight="1" x14ac:dyDescent="0.2">
      <c r="A427" s="39"/>
      <c r="B427" s="39"/>
      <c r="C427" s="650" t="s">
        <v>501</v>
      </c>
      <c r="D427" s="656" t="s">
        <v>502</v>
      </c>
      <c r="E427" s="664" t="s">
        <v>503</v>
      </c>
      <c r="F427" s="664" t="s">
        <v>544</v>
      </c>
      <c r="G427" s="679"/>
      <c r="H427" s="54">
        <v>97</v>
      </c>
      <c r="I427" s="679" t="s">
        <v>545</v>
      </c>
      <c r="J427" s="165" t="s">
        <v>37</v>
      </c>
      <c r="K427" s="186">
        <v>46</v>
      </c>
      <c r="L427" s="43">
        <v>2017003630027</v>
      </c>
      <c r="M427" s="676" t="s">
        <v>479</v>
      </c>
      <c r="N427" s="54" t="s">
        <v>546</v>
      </c>
      <c r="O427" s="679" t="s">
        <v>547</v>
      </c>
      <c r="P427" s="54" t="s">
        <v>61</v>
      </c>
      <c r="Q427" s="391">
        <v>0</v>
      </c>
      <c r="R427" s="391">
        <v>0</v>
      </c>
      <c r="S427" s="391">
        <v>0</v>
      </c>
      <c r="T427" s="391">
        <v>0</v>
      </c>
      <c r="U427" s="391">
        <v>0</v>
      </c>
      <c r="V427" s="391">
        <v>0</v>
      </c>
      <c r="W427" s="391">
        <v>0</v>
      </c>
      <c r="X427" s="391"/>
      <c r="Y427" s="391"/>
      <c r="Z427" s="391">
        <v>0</v>
      </c>
      <c r="AA427" s="391">
        <v>0</v>
      </c>
      <c r="AB427" s="646">
        <f>10000000-10000000+10000000</f>
        <v>10000000</v>
      </c>
      <c r="AC427" s="472"/>
      <c r="AD427" s="472">
        <v>0</v>
      </c>
      <c r="AE427" s="391">
        <v>0</v>
      </c>
      <c r="AF427" s="392">
        <v>0</v>
      </c>
      <c r="AG427" s="405"/>
      <c r="AH427" s="391">
        <v>0</v>
      </c>
      <c r="AI427" s="393"/>
      <c r="AJ427" s="393"/>
      <c r="AK427" s="391">
        <f>Q427+R427+S427+T427+U427+V427+W427+X427+Y427+Z427+AA427+AB427+AC427+AD427+AE427+AF427+AG427+AH427+AI427+AJ427</f>
        <v>10000000</v>
      </c>
    </row>
    <row r="428" spans="1:37" ht="30" customHeight="1" x14ac:dyDescent="0.2">
      <c r="A428" s="39"/>
      <c r="B428" s="52"/>
      <c r="C428" s="662"/>
      <c r="D428" s="657"/>
      <c r="E428" s="284"/>
      <c r="F428" s="284"/>
      <c r="G428" s="55"/>
      <c r="H428" s="56"/>
      <c r="I428" s="55"/>
      <c r="J428" s="187"/>
      <c r="K428" s="192"/>
      <c r="L428" s="192"/>
      <c r="M428" s="192"/>
      <c r="N428" s="56"/>
      <c r="O428" s="55"/>
      <c r="P428" s="56"/>
      <c r="Q428" s="400">
        <f t="shared" ref="Q428:AK428" si="109">SUM(Q427)</f>
        <v>0</v>
      </c>
      <c r="R428" s="400">
        <f t="shared" si="109"/>
        <v>0</v>
      </c>
      <c r="S428" s="400">
        <f t="shared" si="109"/>
        <v>0</v>
      </c>
      <c r="T428" s="400">
        <f t="shared" si="109"/>
        <v>0</v>
      </c>
      <c r="U428" s="400">
        <f t="shared" si="109"/>
        <v>0</v>
      </c>
      <c r="V428" s="400">
        <f t="shared" si="109"/>
        <v>0</v>
      </c>
      <c r="W428" s="400">
        <f t="shared" si="109"/>
        <v>0</v>
      </c>
      <c r="X428" s="400">
        <f t="shared" si="109"/>
        <v>0</v>
      </c>
      <c r="Y428" s="400">
        <f t="shared" si="109"/>
        <v>0</v>
      </c>
      <c r="Z428" s="400">
        <f t="shared" si="109"/>
        <v>0</v>
      </c>
      <c r="AA428" s="400">
        <f t="shared" si="109"/>
        <v>0</v>
      </c>
      <c r="AB428" s="400">
        <f t="shared" si="109"/>
        <v>10000000</v>
      </c>
      <c r="AC428" s="400">
        <f t="shared" si="109"/>
        <v>0</v>
      </c>
      <c r="AD428" s="400">
        <f t="shared" si="109"/>
        <v>0</v>
      </c>
      <c r="AE428" s="400">
        <f t="shared" si="109"/>
        <v>0</v>
      </c>
      <c r="AF428" s="400">
        <f t="shared" si="109"/>
        <v>0</v>
      </c>
      <c r="AG428" s="400">
        <f t="shared" si="109"/>
        <v>0</v>
      </c>
      <c r="AH428" s="400">
        <f t="shared" si="109"/>
        <v>0</v>
      </c>
      <c r="AI428" s="400">
        <f t="shared" si="109"/>
        <v>0</v>
      </c>
      <c r="AJ428" s="400">
        <f t="shared" si="109"/>
        <v>0</v>
      </c>
      <c r="AK428" s="400">
        <f t="shared" si="109"/>
        <v>10000000</v>
      </c>
    </row>
    <row r="429" spans="1:37" ht="30" customHeight="1" x14ac:dyDescent="0.2">
      <c r="A429" s="39"/>
      <c r="B429" s="93"/>
      <c r="C429" s="60"/>
      <c r="D429" s="59"/>
      <c r="E429" s="267"/>
      <c r="F429" s="267"/>
      <c r="G429" s="59"/>
      <c r="H429" s="60"/>
      <c r="I429" s="59"/>
      <c r="J429" s="204"/>
      <c r="K429" s="204"/>
      <c r="L429" s="204"/>
      <c r="M429" s="204"/>
      <c r="N429" s="60"/>
      <c r="O429" s="59"/>
      <c r="P429" s="60"/>
      <c r="Q429" s="406">
        <f t="shared" ref="Q429:AK429" si="110">Q428+Q424+Q417+Q404</f>
        <v>0</v>
      </c>
      <c r="R429" s="406">
        <f t="shared" si="110"/>
        <v>0</v>
      </c>
      <c r="S429" s="406">
        <f t="shared" si="110"/>
        <v>0</v>
      </c>
      <c r="T429" s="406">
        <f t="shared" si="110"/>
        <v>0</v>
      </c>
      <c r="U429" s="406">
        <f t="shared" si="110"/>
        <v>0</v>
      </c>
      <c r="V429" s="406">
        <f t="shared" si="110"/>
        <v>0</v>
      </c>
      <c r="W429" s="406">
        <f t="shared" si="110"/>
        <v>0</v>
      </c>
      <c r="X429" s="406">
        <f t="shared" si="110"/>
        <v>0</v>
      </c>
      <c r="Y429" s="406">
        <f t="shared" si="110"/>
        <v>0</v>
      </c>
      <c r="Z429" s="406">
        <f t="shared" si="110"/>
        <v>0</v>
      </c>
      <c r="AA429" s="406">
        <f t="shared" si="110"/>
        <v>0</v>
      </c>
      <c r="AB429" s="406">
        <f t="shared" si="110"/>
        <v>270066524</v>
      </c>
      <c r="AC429" s="406">
        <f t="shared" si="110"/>
        <v>0</v>
      </c>
      <c r="AD429" s="406">
        <f t="shared" si="110"/>
        <v>0</v>
      </c>
      <c r="AE429" s="406">
        <f t="shared" si="110"/>
        <v>0</v>
      </c>
      <c r="AF429" s="406">
        <f t="shared" si="110"/>
        <v>715465345</v>
      </c>
      <c r="AG429" s="406">
        <f t="shared" si="110"/>
        <v>0</v>
      </c>
      <c r="AH429" s="406">
        <f t="shared" si="110"/>
        <v>0</v>
      </c>
      <c r="AI429" s="406">
        <f t="shared" si="110"/>
        <v>0</v>
      </c>
      <c r="AJ429" s="406">
        <f t="shared" si="110"/>
        <v>0</v>
      </c>
      <c r="AK429" s="406">
        <f t="shared" si="110"/>
        <v>985531869</v>
      </c>
    </row>
    <row r="430" spans="1:37" ht="30" customHeight="1" x14ac:dyDescent="0.2">
      <c r="A430" s="39"/>
      <c r="B430" s="277"/>
      <c r="C430" s="188"/>
      <c r="D430" s="277"/>
      <c r="E430" s="278"/>
      <c r="F430" s="278"/>
      <c r="G430" s="277"/>
      <c r="H430" s="188"/>
      <c r="I430" s="277"/>
      <c r="J430" s="279"/>
      <c r="K430" s="279"/>
      <c r="L430" s="751"/>
      <c r="M430" s="751"/>
      <c r="N430" s="697"/>
      <c r="O430" s="698"/>
      <c r="P430" s="188"/>
      <c r="Q430" s="430"/>
      <c r="R430" s="430"/>
      <c r="S430" s="430"/>
      <c r="T430" s="430"/>
      <c r="U430" s="430"/>
      <c r="V430" s="430"/>
      <c r="W430" s="742"/>
      <c r="X430" s="430"/>
      <c r="Y430" s="430"/>
      <c r="Z430" s="430"/>
      <c r="AA430" s="430"/>
      <c r="AB430" s="479"/>
      <c r="AC430" s="479"/>
      <c r="AD430" s="430"/>
      <c r="AE430" s="430"/>
      <c r="AF430" s="744"/>
      <c r="AG430" s="742"/>
      <c r="AH430" s="430"/>
      <c r="AI430" s="430"/>
      <c r="AJ430" s="430"/>
      <c r="AK430" s="480"/>
    </row>
    <row r="431" spans="1:37" ht="30" customHeight="1" x14ac:dyDescent="0.2">
      <c r="A431" s="39"/>
      <c r="B431" s="121">
        <v>7</v>
      </c>
      <c r="C431" s="35" t="s">
        <v>548</v>
      </c>
      <c r="D431" s="36"/>
      <c r="E431" s="36"/>
      <c r="F431" s="36"/>
      <c r="G431" s="36"/>
      <c r="H431" s="37"/>
      <c r="I431" s="36"/>
      <c r="J431" s="36"/>
      <c r="K431" s="197"/>
      <c r="L431" s="197"/>
      <c r="M431" s="36"/>
      <c r="N431" s="37"/>
      <c r="O431" s="36"/>
      <c r="P431" s="36"/>
      <c r="Q431" s="402"/>
      <c r="R431" s="402"/>
      <c r="S431" s="402"/>
      <c r="T431" s="402"/>
      <c r="U431" s="402"/>
      <c r="V431" s="402"/>
      <c r="W431" s="402"/>
      <c r="X431" s="402"/>
      <c r="Y431" s="402"/>
      <c r="Z431" s="402"/>
      <c r="AA431" s="402"/>
      <c r="AB431" s="402"/>
      <c r="AC431" s="402"/>
      <c r="AD431" s="402"/>
      <c r="AE431" s="402"/>
      <c r="AF431" s="403"/>
      <c r="AG431" s="402"/>
      <c r="AH431" s="402"/>
      <c r="AI431" s="402"/>
      <c r="AJ431" s="402"/>
      <c r="AK431" s="407"/>
    </row>
    <row r="432" spans="1:37" ht="30" customHeight="1" x14ac:dyDescent="0.2">
      <c r="A432" s="39"/>
      <c r="B432" s="73"/>
      <c r="C432" s="661"/>
      <c r="D432" s="655"/>
      <c r="E432" s="661"/>
      <c r="F432" s="661"/>
      <c r="G432" s="215">
        <v>23</v>
      </c>
      <c r="H432" s="77" t="s">
        <v>549</v>
      </c>
      <c r="I432" s="77"/>
      <c r="J432" s="77"/>
      <c r="K432" s="149"/>
      <c r="L432" s="149"/>
      <c r="M432" s="77"/>
      <c r="N432" s="169"/>
      <c r="O432" s="77"/>
      <c r="P432" s="77"/>
      <c r="Q432" s="263"/>
      <c r="R432" s="263"/>
      <c r="S432" s="263"/>
      <c r="T432" s="263"/>
      <c r="U432" s="263"/>
      <c r="V432" s="263"/>
      <c r="W432" s="263"/>
      <c r="X432" s="263"/>
      <c r="Y432" s="263"/>
      <c r="Z432" s="263"/>
      <c r="AA432" s="263"/>
      <c r="AB432" s="263"/>
      <c r="AC432" s="263"/>
      <c r="AD432" s="263"/>
      <c r="AE432" s="263"/>
      <c r="AF432" s="404"/>
      <c r="AG432" s="263"/>
      <c r="AH432" s="263"/>
      <c r="AI432" s="263"/>
      <c r="AJ432" s="263"/>
      <c r="AK432" s="265"/>
    </row>
    <row r="433" spans="1:37" ht="71.25" customHeight="1" x14ac:dyDescent="0.2">
      <c r="A433" s="201"/>
      <c r="B433" s="39"/>
      <c r="C433" s="650"/>
      <c r="D433" s="46"/>
      <c r="E433" s="664"/>
      <c r="F433" s="664"/>
      <c r="G433" s="40"/>
      <c r="H433" s="54">
        <v>98</v>
      </c>
      <c r="I433" s="679" t="s">
        <v>550</v>
      </c>
      <c r="J433" s="165">
        <v>60</v>
      </c>
      <c r="K433" s="186">
        <v>55</v>
      </c>
      <c r="L433" s="784">
        <v>2017003630059</v>
      </c>
      <c r="M433" s="809" t="s">
        <v>479</v>
      </c>
      <c r="N433" s="774" t="s">
        <v>551</v>
      </c>
      <c r="O433" s="777" t="s">
        <v>552</v>
      </c>
      <c r="P433" s="54" t="s">
        <v>46</v>
      </c>
      <c r="Q433" s="391">
        <v>0</v>
      </c>
      <c r="R433" s="391">
        <v>0</v>
      </c>
      <c r="S433" s="391">
        <v>0</v>
      </c>
      <c r="T433" s="391">
        <v>0</v>
      </c>
      <c r="U433" s="391">
        <v>0</v>
      </c>
      <c r="V433" s="391">
        <v>0</v>
      </c>
      <c r="W433" s="391"/>
      <c r="X433" s="391"/>
      <c r="Y433" s="391"/>
      <c r="Z433" s="391">
        <v>0</v>
      </c>
      <c r="AA433" s="391">
        <v>0</v>
      </c>
      <c r="AB433" s="394"/>
      <c r="AC433" s="394"/>
      <c r="AD433" s="391">
        <v>0</v>
      </c>
      <c r="AE433" s="391">
        <v>0</v>
      </c>
      <c r="AF433" s="392"/>
      <c r="AG433" s="405"/>
      <c r="AH433" s="391">
        <v>0</v>
      </c>
      <c r="AI433" s="393"/>
      <c r="AJ433" s="393"/>
      <c r="AK433" s="391">
        <f>Q433+R433+S433+T433+U433+V433+W433+X433+Y433+Z433+AA433+AB433+AC433+AD433+AE433+AF433+AG433+AH433+AI433+AJ433</f>
        <v>0</v>
      </c>
    </row>
    <row r="434" spans="1:37" ht="71.25" customHeight="1" x14ac:dyDescent="0.2">
      <c r="A434" s="201"/>
      <c r="B434" s="39"/>
      <c r="C434" s="668">
        <v>16</v>
      </c>
      <c r="D434" s="656" t="s">
        <v>553</v>
      </c>
      <c r="E434" s="650">
        <v>45</v>
      </c>
      <c r="F434" s="668">
        <v>90</v>
      </c>
      <c r="G434" s="46"/>
      <c r="H434" s="54">
        <v>99</v>
      </c>
      <c r="I434" s="679" t="s">
        <v>554</v>
      </c>
      <c r="J434" s="165">
        <v>76</v>
      </c>
      <c r="K434" s="186">
        <v>150</v>
      </c>
      <c r="L434" s="785"/>
      <c r="M434" s="810"/>
      <c r="N434" s="775"/>
      <c r="O434" s="778"/>
      <c r="P434" s="54" t="s">
        <v>46</v>
      </c>
      <c r="Q434" s="391">
        <v>0</v>
      </c>
      <c r="R434" s="391">
        <v>0</v>
      </c>
      <c r="S434" s="391">
        <v>0</v>
      </c>
      <c r="T434" s="391">
        <v>0</v>
      </c>
      <c r="U434" s="391">
        <v>0</v>
      </c>
      <c r="V434" s="391">
        <v>0</v>
      </c>
      <c r="W434" s="391"/>
      <c r="X434" s="391"/>
      <c r="Y434" s="391"/>
      <c r="Z434" s="391">
        <v>0</v>
      </c>
      <c r="AA434" s="391">
        <v>0</v>
      </c>
      <c r="AB434" s="394"/>
      <c r="AC434" s="394"/>
      <c r="AD434" s="391">
        <v>0</v>
      </c>
      <c r="AE434" s="391">
        <v>0</v>
      </c>
      <c r="AF434" s="392">
        <v>0</v>
      </c>
      <c r="AG434" s="405"/>
      <c r="AH434" s="391">
        <v>0</v>
      </c>
      <c r="AI434" s="393"/>
      <c r="AJ434" s="393"/>
      <c r="AK434" s="391">
        <f>Q434+R434+S434+T434+U434+V434+W434+X434+Y434+Z434+AA434+AB434+AC434+AD434+AE434+AF434+AG434+AH434+AI434+AJ434</f>
        <v>0</v>
      </c>
    </row>
    <row r="435" spans="1:37" ht="71.25" customHeight="1" x14ac:dyDescent="0.2">
      <c r="A435" s="201"/>
      <c r="B435" s="39"/>
      <c r="C435" s="668">
        <v>17</v>
      </c>
      <c r="D435" s="656" t="s">
        <v>516</v>
      </c>
      <c r="E435" s="664">
        <v>0.63270000000000004</v>
      </c>
      <c r="F435" s="271">
        <v>0.5</v>
      </c>
      <c r="G435" s="46"/>
      <c r="H435" s="54">
        <v>100</v>
      </c>
      <c r="I435" s="679" t="s">
        <v>555</v>
      </c>
      <c r="J435" s="165">
        <v>0</v>
      </c>
      <c r="K435" s="186">
        <v>6</v>
      </c>
      <c r="L435" s="785"/>
      <c r="M435" s="810"/>
      <c r="N435" s="775"/>
      <c r="O435" s="778"/>
      <c r="P435" s="54" t="s">
        <v>46</v>
      </c>
      <c r="Q435" s="391">
        <v>0</v>
      </c>
      <c r="R435" s="391">
        <v>0</v>
      </c>
      <c r="S435" s="391">
        <v>0</v>
      </c>
      <c r="T435" s="391">
        <v>0</v>
      </c>
      <c r="U435" s="391">
        <v>0</v>
      </c>
      <c r="V435" s="391">
        <v>0</v>
      </c>
      <c r="W435" s="391"/>
      <c r="X435" s="391"/>
      <c r="Y435" s="391"/>
      <c r="Z435" s="391">
        <v>0</v>
      </c>
      <c r="AA435" s="391">
        <v>0</v>
      </c>
      <c r="AB435" s="394"/>
      <c r="AC435" s="394"/>
      <c r="AD435" s="391">
        <v>0</v>
      </c>
      <c r="AE435" s="391">
        <v>0</v>
      </c>
      <c r="AF435" s="392">
        <f>16050000+8025000</f>
        <v>24075000</v>
      </c>
      <c r="AG435" s="405"/>
      <c r="AH435" s="391">
        <v>0</v>
      </c>
      <c r="AI435" s="393"/>
      <c r="AJ435" s="393"/>
      <c r="AK435" s="391">
        <f>Q435+R435+S435+T435+U435+V435+W435+X435+Y435+Z435+AA435+AB435+AC435+AD435+AE435+AF435+AG435+AH435+AI435+AJ435</f>
        <v>24075000</v>
      </c>
    </row>
    <row r="436" spans="1:37" ht="71.25" customHeight="1" x14ac:dyDescent="0.2">
      <c r="A436" s="201"/>
      <c r="B436" s="39"/>
      <c r="C436" s="668"/>
      <c r="D436" s="46"/>
      <c r="E436" s="276"/>
      <c r="F436" s="281"/>
      <c r="G436" s="46"/>
      <c r="H436" s="54">
        <v>101</v>
      </c>
      <c r="I436" s="679" t="s">
        <v>556</v>
      </c>
      <c r="J436" s="165">
        <v>0</v>
      </c>
      <c r="K436" s="186">
        <v>54</v>
      </c>
      <c r="L436" s="785"/>
      <c r="M436" s="810"/>
      <c r="N436" s="775"/>
      <c r="O436" s="778"/>
      <c r="P436" s="54" t="s">
        <v>46</v>
      </c>
      <c r="Q436" s="391">
        <v>0</v>
      </c>
      <c r="R436" s="391">
        <v>0</v>
      </c>
      <c r="S436" s="391">
        <v>0</v>
      </c>
      <c r="T436" s="391">
        <v>0</v>
      </c>
      <c r="U436" s="391">
        <v>0</v>
      </c>
      <c r="V436" s="391">
        <v>0</v>
      </c>
      <c r="W436" s="391"/>
      <c r="X436" s="391"/>
      <c r="Y436" s="391"/>
      <c r="Z436" s="391">
        <v>0</v>
      </c>
      <c r="AA436" s="391">
        <v>0</v>
      </c>
      <c r="AB436" s="394"/>
      <c r="AC436" s="394"/>
      <c r="AD436" s="391">
        <v>0</v>
      </c>
      <c r="AE436" s="391">
        <v>0</v>
      </c>
      <c r="AF436" s="392">
        <v>0</v>
      </c>
      <c r="AG436" s="405"/>
      <c r="AH436" s="391">
        <v>0</v>
      </c>
      <c r="AI436" s="393"/>
      <c r="AJ436" s="393"/>
      <c r="AK436" s="391">
        <f>Q436+R436+S436+T436+U436+V436+W436+X436+Y436+Z436+AA436+AB436+AC436+AD436+AE436+AF436+AG436+AH436+AI436+AJ436</f>
        <v>0</v>
      </c>
    </row>
    <row r="437" spans="1:37" ht="71.25" customHeight="1" x14ac:dyDescent="0.2">
      <c r="A437" s="201"/>
      <c r="B437" s="39"/>
      <c r="C437" s="650"/>
      <c r="D437" s="46"/>
      <c r="E437" s="276"/>
      <c r="F437" s="276"/>
      <c r="G437" s="90"/>
      <c r="H437" s="54">
        <v>102</v>
      </c>
      <c r="I437" s="679" t="s">
        <v>557</v>
      </c>
      <c r="J437" s="165">
        <v>0</v>
      </c>
      <c r="K437" s="186">
        <v>2</v>
      </c>
      <c r="L437" s="786"/>
      <c r="M437" s="811"/>
      <c r="N437" s="776"/>
      <c r="O437" s="779"/>
      <c r="P437" s="54" t="s">
        <v>61</v>
      </c>
      <c r="Q437" s="391">
        <v>0</v>
      </c>
      <c r="R437" s="391">
        <v>0</v>
      </c>
      <c r="S437" s="391">
        <v>0</v>
      </c>
      <c r="T437" s="391">
        <v>0</v>
      </c>
      <c r="U437" s="391">
        <v>0</v>
      </c>
      <c r="V437" s="391">
        <v>0</v>
      </c>
      <c r="W437" s="391"/>
      <c r="X437" s="391"/>
      <c r="Y437" s="391"/>
      <c r="Z437" s="391">
        <v>0</v>
      </c>
      <c r="AA437" s="391">
        <v>0</v>
      </c>
      <c r="AB437" s="394"/>
      <c r="AC437" s="394"/>
      <c r="AD437" s="391">
        <v>0</v>
      </c>
      <c r="AE437" s="391">
        <v>0</v>
      </c>
      <c r="AF437" s="392">
        <f>0+20000000</f>
        <v>20000000</v>
      </c>
      <c r="AG437" s="405"/>
      <c r="AH437" s="391">
        <v>0</v>
      </c>
      <c r="AI437" s="393"/>
      <c r="AJ437" s="393"/>
      <c r="AK437" s="391">
        <f>Q437+R437+S437+T437+U437+V437+W437+X437+Y437+Z437+AA437+AB437+AC437+AD437+AE437+AF437+AG437+AH437+AI437+AJ437</f>
        <v>20000000</v>
      </c>
    </row>
    <row r="438" spans="1:37" ht="30" customHeight="1" x14ac:dyDescent="0.2">
      <c r="A438" s="201"/>
      <c r="B438" s="39"/>
      <c r="C438" s="662"/>
      <c r="D438" s="657"/>
      <c r="E438" s="284"/>
      <c r="F438" s="284"/>
      <c r="G438" s="55"/>
      <c r="H438" s="56"/>
      <c r="I438" s="55"/>
      <c r="J438" s="187"/>
      <c r="K438" s="192"/>
      <c r="L438" s="192"/>
      <c r="M438" s="192"/>
      <c r="N438" s="56"/>
      <c r="O438" s="55"/>
      <c r="P438" s="56"/>
      <c r="Q438" s="400">
        <f t="shared" ref="Q438:AJ438" si="111">SUM(Q433:Q437)</f>
        <v>0</v>
      </c>
      <c r="R438" s="400">
        <f t="shared" si="111"/>
        <v>0</v>
      </c>
      <c r="S438" s="400">
        <f t="shared" si="111"/>
        <v>0</v>
      </c>
      <c r="T438" s="400">
        <f t="shared" si="111"/>
        <v>0</v>
      </c>
      <c r="U438" s="400">
        <f t="shared" si="111"/>
        <v>0</v>
      </c>
      <c r="V438" s="400">
        <f t="shared" si="111"/>
        <v>0</v>
      </c>
      <c r="W438" s="400">
        <f t="shared" si="111"/>
        <v>0</v>
      </c>
      <c r="X438" s="400">
        <f t="shared" si="111"/>
        <v>0</v>
      </c>
      <c r="Y438" s="400">
        <f t="shared" si="111"/>
        <v>0</v>
      </c>
      <c r="Z438" s="400">
        <f t="shared" si="111"/>
        <v>0</v>
      </c>
      <c r="AA438" s="400">
        <f t="shared" si="111"/>
        <v>0</v>
      </c>
      <c r="AB438" s="400">
        <f t="shared" si="111"/>
        <v>0</v>
      </c>
      <c r="AC438" s="400">
        <f t="shared" si="111"/>
        <v>0</v>
      </c>
      <c r="AD438" s="400">
        <f t="shared" si="111"/>
        <v>0</v>
      </c>
      <c r="AE438" s="400">
        <f t="shared" si="111"/>
        <v>0</v>
      </c>
      <c r="AF438" s="400">
        <f t="shared" si="111"/>
        <v>44075000</v>
      </c>
      <c r="AG438" s="400">
        <f t="shared" si="111"/>
        <v>0</v>
      </c>
      <c r="AH438" s="400">
        <f t="shared" si="111"/>
        <v>0</v>
      </c>
      <c r="AI438" s="400">
        <f t="shared" si="111"/>
        <v>0</v>
      </c>
      <c r="AJ438" s="400">
        <f t="shared" si="111"/>
        <v>0</v>
      </c>
      <c r="AK438" s="400">
        <f>SUM(AK433:AK437)</f>
        <v>44075000</v>
      </c>
    </row>
    <row r="439" spans="1:37" ht="30" customHeight="1" x14ac:dyDescent="0.2">
      <c r="A439" s="201"/>
      <c r="B439" s="39"/>
      <c r="C439" s="146"/>
      <c r="D439" s="69"/>
      <c r="E439" s="260"/>
      <c r="F439" s="260"/>
      <c r="G439" s="69"/>
      <c r="H439" s="146"/>
      <c r="I439" s="69"/>
      <c r="J439" s="70"/>
      <c r="K439" s="193"/>
      <c r="L439" s="202"/>
      <c r="M439" s="115"/>
      <c r="N439" s="390"/>
      <c r="O439" s="99"/>
      <c r="P439" s="146"/>
      <c r="Q439" s="395"/>
      <c r="R439" s="395"/>
      <c r="S439" s="395"/>
      <c r="T439" s="395"/>
      <c r="U439" s="395"/>
      <c r="V439" s="395"/>
      <c r="W439" s="395"/>
      <c r="X439" s="395"/>
      <c r="Y439" s="395"/>
      <c r="Z439" s="395"/>
      <c r="AA439" s="395"/>
      <c r="AB439" s="395"/>
      <c r="AC439" s="395"/>
      <c r="AD439" s="395"/>
      <c r="AE439" s="395"/>
      <c r="AF439" s="397"/>
      <c r="AG439" s="395"/>
      <c r="AH439" s="395"/>
      <c r="AI439" s="395"/>
      <c r="AJ439" s="395"/>
      <c r="AK439" s="399"/>
    </row>
    <row r="440" spans="1:37" ht="30" customHeight="1" x14ac:dyDescent="0.2">
      <c r="A440" s="201"/>
      <c r="B440" s="39"/>
      <c r="C440" s="661"/>
      <c r="D440" s="655"/>
      <c r="E440" s="682"/>
      <c r="F440" s="682"/>
      <c r="G440" s="75">
        <v>24</v>
      </c>
      <c r="H440" s="77" t="s">
        <v>558</v>
      </c>
      <c r="I440" s="77"/>
      <c r="J440" s="77"/>
      <c r="K440" s="149"/>
      <c r="L440" s="149"/>
      <c r="M440" s="77"/>
      <c r="N440" s="169"/>
      <c r="O440" s="77"/>
      <c r="P440" s="77"/>
      <c r="Q440" s="263"/>
      <c r="R440" s="263"/>
      <c r="S440" s="263"/>
      <c r="T440" s="263"/>
      <c r="U440" s="263"/>
      <c r="V440" s="263"/>
      <c r="W440" s="263"/>
      <c r="X440" s="263"/>
      <c r="Y440" s="263"/>
      <c r="Z440" s="263"/>
      <c r="AA440" s="263"/>
      <c r="AB440" s="263"/>
      <c r="AC440" s="263"/>
      <c r="AD440" s="263"/>
      <c r="AE440" s="263"/>
      <c r="AF440" s="404"/>
      <c r="AG440" s="263"/>
      <c r="AH440" s="263"/>
      <c r="AI440" s="263"/>
      <c r="AJ440" s="263"/>
      <c r="AK440" s="265"/>
    </row>
    <row r="441" spans="1:37" s="372" customFormat="1" ht="63.75" customHeight="1" x14ac:dyDescent="0.2">
      <c r="A441" s="201"/>
      <c r="B441" s="201"/>
      <c r="C441" s="650"/>
      <c r="D441" s="656"/>
      <c r="E441" s="664"/>
      <c r="F441" s="660"/>
      <c r="G441" s="661"/>
      <c r="H441" s="54">
        <v>103</v>
      </c>
      <c r="I441" s="679" t="s">
        <v>559</v>
      </c>
      <c r="J441" s="165">
        <v>3</v>
      </c>
      <c r="K441" s="186">
        <v>3</v>
      </c>
      <c r="L441" s="784">
        <v>2017003630032</v>
      </c>
      <c r="M441" s="820" t="s">
        <v>479</v>
      </c>
      <c r="N441" s="774" t="s">
        <v>560</v>
      </c>
      <c r="O441" s="777" t="s">
        <v>985</v>
      </c>
      <c r="P441" s="54" t="s">
        <v>61</v>
      </c>
      <c r="Q441" s="391">
        <v>0</v>
      </c>
      <c r="R441" s="391">
        <v>0</v>
      </c>
      <c r="S441" s="391">
        <v>0</v>
      </c>
      <c r="T441" s="391">
        <v>0</v>
      </c>
      <c r="U441" s="391">
        <v>0</v>
      </c>
      <c r="V441" s="391">
        <v>0</v>
      </c>
      <c r="W441" s="391">
        <v>0</v>
      </c>
      <c r="X441" s="391"/>
      <c r="Y441" s="391"/>
      <c r="Z441" s="391">
        <v>0</v>
      </c>
      <c r="AA441" s="391">
        <v>0</v>
      </c>
      <c r="AB441" s="392"/>
      <c r="AC441" s="392"/>
      <c r="AD441" s="391">
        <v>0</v>
      </c>
      <c r="AE441" s="391">
        <v>0</v>
      </c>
      <c r="AF441" s="392">
        <f>10000000</f>
        <v>10000000</v>
      </c>
      <c r="AG441" s="419"/>
      <c r="AH441" s="391">
        <v>0</v>
      </c>
      <c r="AI441" s="393"/>
      <c r="AJ441" s="393">
        <v>0</v>
      </c>
      <c r="AK441" s="391">
        <f>Q441+R441+S441+T441+U441+V441+W441+X441+Y441+Z441+AA441+AB441+AC441+AD441+AE441+AF441+AG441+AH441+AI441+AJ441</f>
        <v>10000000</v>
      </c>
    </row>
    <row r="442" spans="1:37" s="372" customFormat="1" ht="63.75" customHeight="1" x14ac:dyDescent="0.25">
      <c r="A442" s="201"/>
      <c r="B442" s="201"/>
      <c r="C442" s="650">
        <v>17</v>
      </c>
      <c r="D442" s="656" t="s">
        <v>562</v>
      </c>
      <c r="E442" s="664">
        <v>0.63270000000000004</v>
      </c>
      <c r="F442" s="660">
        <v>0.5</v>
      </c>
      <c r="G442" s="650"/>
      <c r="H442" s="54">
        <v>104</v>
      </c>
      <c r="I442" s="679" t="s">
        <v>563</v>
      </c>
      <c r="J442" s="165">
        <v>4</v>
      </c>
      <c r="K442" s="186">
        <v>44</v>
      </c>
      <c r="L442" s="785"/>
      <c r="M442" s="821"/>
      <c r="N442" s="775"/>
      <c r="O442" s="778"/>
      <c r="P442" s="54" t="s">
        <v>61</v>
      </c>
      <c r="Q442" s="391">
        <v>0</v>
      </c>
      <c r="R442" s="391">
        <v>0</v>
      </c>
      <c r="S442" s="391">
        <v>0</v>
      </c>
      <c r="T442" s="391">
        <v>0</v>
      </c>
      <c r="U442" s="391">
        <v>0</v>
      </c>
      <c r="V442" s="391">
        <v>0</v>
      </c>
      <c r="W442" s="391"/>
      <c r="X442" s="391"/>
      <c r="Y442" s="391"/>
      <c r="Z442" s="391">
        <v>0</v>
      </c>
      <c r="AA442" s="391">
        <v>0</v>
      </c>
      <c r="AB442" s="392"/>
      <c r="AC442" s="392"/>
      <c r="AD442" s="391">
        <v>0</v>
      </c>
      <c r="AE442" s="391">
        <v>0</v>
      </c>
      <c r="AF442" s="392">
        <v>10000000</v>
      </c>
      <c r="AG442" s="405"/>
      <c r="AH442" s="391">
        <v>0</v>
      </c>
      <c r="AI442" s="393"/>
      <c r="AJ442" s="393">
        <v>0</v>
      </c>
      <c r="AK442" s="391">
        <f>Q442+R442+S442+T442+U442+V442+W442+X442+Y442+Z442+AA442+AB442+AC442+AD442+AE442+AF442+AG442+AH442+AI442+AJ442</f>
        <v>10000000</v>
      </c>
    </row>
    <row r="443" spans="1:37" s="372" customFormat="1" ht="63.75" customHeight="1" x14ac:dyDescent="0.25">
      <c r="A443" s="201"/>
      <c r="B443" s="201"/>
      <c r="C443" s="650">
        <v>18</v>
      </c>
      <c r="D443" s="656" t="s">
        <v>564</v>
      </c>
      <c r="E443" s="650">
        <v>6</v>
      </c>
      <c r="F443" s="283">
        <v>12</v>
      </c>
      <c r="G443" s="650"/>
      <c r="H443" s="54">
        <v>105</v>
      </c>
      <c r="I443" s="679" t="s">
        <v>565</v>
      </c>
      <c r="J443" s="165">
        <v>43</v>
      </c>
      <c r="K443" s="186">
        <v>47</v>
      </c>
      <c r="L443" s="785"/>
      <c r="M443" s="821"/>
      <c r="N443" s="775"/>
      <c r="O443" s="778"/>
      <c r="P443" s="54" t="s">
        <v>46</v>
      </c>
      <c r="Q443" s="391">
        <v>0</v>
      </c>
      <c r="R443" s="391">
        <v>0</v>
      </c>
      <c r="S443" s="391">
        <v>0</v>
      </c>
      <c r="T443" s="391">
        <v>0</v>
      </c>
      <c r="U443" s="391">
        <v>0</v>
      </c>
      <c r="V443" s="391">
        <v>0</v>
      </c>
      <c r="W443" s="391"/>
      <c r="X443" s="391"/>
      <c r="Y443" s="391"/>
      <c r="Z443" s="391">
        <v>0</v>
      </c>
      <c r="AA443" s="391">
        <v>0</v>
      </c>
      <c r="AB443" s="392">
        <f>24300000-24300000</f>
        <v>0</v>
      </c>
      <c r="AC443" s="392"/>
      <c r="AD443" s="391">
        <v>0</v>
      </c>
      <c r="AE443" s="391">
        <v>0</v>
      </c>
      <c r="AF443" s="634">
        <f>10000000+270000000+50000000</f>
        <v>330000000</v>
      </c>
      <c r="AG443" s="392"/>
      <c r="AH443" s="391">
        <v>0</v>
      </c>
      <c r="AI443" s="393"/>
      <c r="AJ443" s="393">
        <v>0</v>
      </c>
      <c r="AK443" s="391">
        <f>Q443+R443+S443+T443+U443+V443+W443+X443+Y443+Z443+AA443+AB443+AC443+AD443+AE443+AF443+AG443+AH443+AI443+AJ443</f>
        <v>330000000</v>
      </c>
    </row>
    <row r="444" spans="1:37" s="372" customFormat="1" ht="63.75" customHeight="1" x14ac:dyDescent="0.25">
      <c r="A444" s="201"/>
      <c r="B444" s="201"/>
      <c r="C444" s="650">
        <v>20</v>
      </c>
      <c r="D444" s="656" t="s">
        <v>566</v>
      </c>
      <c r="E444" s="664" t="s">
        <v>567</v>
      </c>
      <c r="F444" s="664" t="s">
        <v>568</v>
      </c>
      <c r="G444" s="650"/>
      <c r="H444" s="661">
        <v>106</v>
      </c>
      <c r="I444" s="655" t="s">
        <v>569</v>
      </c>
      <c r="J444" s="166">
        <v>0</v>
      </c>
      <c r="K444" s="674">
        <v>1</v>
      </c>
      <c r="L444" s="786"/>
      <c r="M444" s="821"/>
      <c r="N444" s="775"/>
      <c r="O444" s="778"/>
      <c r="P444" s="661" t="s">
        <v>46</v>
      </c>
      <c r="Q444" s="428">
        <v>0</v>
      </c>
      <c r="R444" s="428">
        <v>0</v>
      </c>
      <c r="S444" s="428">
        <v>0</v>
      </c>
      <c r="T444" s="428">
        <v>0</v>
      </c>
      <c r="U444" s="428">
        <v>0</v>
      </c>
      <c r="V444" s="428">
        <v>0</v>
      </c>
      <c r="W444" s="428"/>
      <c r="X444" s="428"/>
      <c r="Y444" s="428"/>
      <c r="Z444" s="428">
        <v>0</v>
      </c>
      <c r="AA444" s="428">
        <v>0</v>
      </c>
      <c r="AB444" s="392">
        <f>40500000-40500000</f>
        <v>0</v>
      </c>
      <c r="AC444" s="445"/>
      <c r="AD444" s="428">
        <v>0</v>
      </c>
      <c r="AE444" s="428">
        <v>0</v>
      </c>
      <c r="AF444" s="634">
        <f>16000000+30000000</f>
        <v>46000000</v>
      </c>
      <c r="AG444" s="445"/>
      <c r="AH444" s="428">
        <v>0</v>
      </c>
      <c r="AI444" s="455"/>
      <c r="AJ444" s="455">
        <v>0</v>
      </c>
      <c r="AK444" s="391">
        <f>Q444+R444+S444+T444+U444+V444+W444+X444+Y444+Z444+AA444+AB444+AC444+AD444+AE444+AF444+AG444+AH444+AI444+AJ444</f>
        <v>46000000</v>
      </c>
    </row>
    <row r="445" spans="1:37" s="372" customFormat="1" ht="63.75" customHeight="1" x14ac:dyDescent="0.25">
      <c r="A445" s="201"/>
      <c r="B445" s="201"/>
      <c r="C445" s="661">
        <v>20</v>
      </c>
      <c r="D445" s="655" t="s">
        <v>566</v>
      </c>
      <c r="E445" s="682" t="s">
        <v>567</v>
      </c>
      <c r="F445" s="682" t="s">
        <v>568</v>
      </c>
      <c r="G445" s="54"/>
      <c r="H445" s="54">
        <v>107</v>
      </c>
      <c r="I445" s="679" t="s">
        <v>570</v>
      </c>
      <c r="J445" s="165">
        <v>1</v>
      </c>
      <c r="K445" s="186">
        <v>1</v>
      </c>
      <c r="L445" s="186"/>
      <c r="M445" s="108" t="s">
        <v>479</v>
      </c>
      <c r="N445" s="105" t="s">
        <v>571</v>
      </c>
      <c r="O445" s="679" t="s">
        <v>572</v>
      </c>
      <c r="P445" s="54" t="s">
        <v>46</v>
      </c>
      <c r="Q445" s="391"/>
      <c r="R445" s="391"/>
      <c r="S445" s="391"/>
      <c r="T445" s="391"/>
      <c r="U445" s="391"/>
      <c r="V445" s="391"/>
      <c r="W445" s="642">
        <f>373504909</f>
        <v>373504909</v>
      </c>
      <c r="X445" s="391"/>
      <c r="Y445" s="391"/>
      <c r="Z445" s="391"/>
      <c r="AA445" s="391"/>
      <c r="AB445" s="392">
        <f>790000-790000</f>
        <v>0</v>
      </c>
      <c r="AC445" s="392"/>
      <c r="AD445" s="391"/>
      <c r="AE445" s="391"/>
      <c r="AF445" s="645">
        <f>45000000+626495091+44752352</f>
        <v>716247443</v>
      </c>
      <c r="AG445" s="405"/>
      <c r="AH445" s="391"/>
      <c r="AI445" s="391"/>
      <c r="AJ445" s="391"/>
      <c r="AK445" s="391">
        <f>Q445+R445+S445+T445+U445+V445+W445+X445+Y445+Z445+AA445+AB445+AC445+AD445+AE445+AF445+AG445+AH445+AI445+AJ445</f>
        <v>1089752352</v>
      </c>
    </row>
    <row r="446" spans="1:37" s="372" customFormat="1" ht="30" customHeight="1" x14ac:dyDescent="0.25">
      <c r="A446" s="201"/>
      <c r="B446" s="52"/>
      <c r="C446" s="662"/>
      <c r="D446" s="657"/>
      <c r="E446" s="284"/>
      <c r="F446" s="284"/>
      <c r="G446" s="285"/>
      <c r="H446" s="286"/>
      <c r="I446" s="285"/>
      <c r="J446" s="287"/>
      <c r="K446" s="288"/>
      <c r="L446" s="288"/>
      <c r="M446" s="288"/>
      <c r="N446" s="286"/>
      <c r="O446" s="285"/>
      <c r="P446" s="286"/>
      <c r="Q446" s="481">
        <f t="shared" ref="Q446:AJ446" si="112">SUM(Q441:Q445)</f>
        <v>0</v>
      </c>
      <c r="R446" s="481">
        <f t="shared" si="112"/>
        <v>0</v>
      </c>
      <c r="S446" s="481">
        <f t="shared" si="112"/>
        <v>0</v>
      </c>
      <c r="T446" s="481">
        <f t="shared" si="112"/>
        <v>0</v>
      </c>
      <c r="U446" s="481">
        <f t="shared" si="112"/>
        <v>0</v>
      </c>
      <c r="V446" s="481">
        <f t="shared" si="112"/>
        <v>0</v>
      </c>
      <c r="W446" s="481">
        <f t="shared" si="112"/>
        <v>373504909</v>
      </c>
      <c r="X446" s="481">
        <f t="shared" si="112"/>
        <v>0</v>
      </c>
      <c r="Y446" s="481">
        <f t="shared" si="112"/>
        <v>0</v>
      </c>
      <c r="Z446" s="481">
        <f t="shared" si="112"/>
        <v>0</v>
      </c>
      <c r="AA446" s="481">
        <f t="shared" si="112"/>
        <v>0</v>
      </c>
      <c r="AB446" s="481">
        <f t="shared" si="112"/>
        <v>0</v>
      </c>
      <c r="AC446" s="481">
        <f t="shared" si="112"/>
        <v>0</v>
      </c>
      <c r="AD446" s="481">
        <f t="shared" si="112"/>
        <v>0</v>
      </c>
      <c r="AE446" s="481">
        <f t="shared" si="112"/>
        <v>0</v>
      </c>
      <c r="AF446" s="481">
        <f t="shared" si="112"/>
        <v>1112247443</v>
      </c>
      <c r="AG446" s="481">
        <f t="shared" si="112"/>
        <v>0</v>
      </c>
      <c r="AH446" s="481">
        <f t="shared" si="112"/>
        <v>0</v>
      </c>
      <c r="AI446" s="481">
        <f t="shared" si="112"/>
        <v>0</v>
      </c>
      <c r="AJ446" s="481">
        <f t="shared" si="112"/>
        <v>0</v>
      </c>
      <c r="AK446" s="481">
        <f>SUM(AK441:AK445)</f>
        <v>1485752352</v>
      </c>
    </row>
    <row r="447" spans="1:37" s="372" customFormat="1" ht="30" customHeight="1" x14ac:dyDescent="0.25">
      <c r="A447" s="39"/>
      <c r="B447" s="289"/>
      <c r="C447" s="60"/>
      <c r="D447" s="59"/>
      <c r="E447" s="267"/>
      <c r="F447" s="267"/>
      <c r="G447" s="59"/>
      <c r="H447" s="60"/>
      <c r="I447" s="59"/>
      <c r="J447" s="204"/>
      <c r="K447" s="196"/>
      <c r="L447" s="196"/>
      <c r="M447" s="196"/>
      <c r="N447" s="60"/>
      <c r="O447" s="59"/>
      <c r="P447" s="60"/>
      <c r="Q447" s="406">
        <f t="shared" ref="Q447:AJ447" si="113">Q446+Q438</f>
        <v>0</v>
      </c>
      <c r="R447" s="406">
        <f t="shared" si="113"/>
        <v>0</v>
      </c>
      <c r="S447" s="406">
        <f t="shared" si="113"/>
        <v>0</v>
      </c>
      <c r="T447" s="406">
        <f t="shared" si="113"/>
        <v>0</v>
      </c>
      <c r="U447" s="406">
        <f t="shared" si="113"/>
        <v>0</v>
      </c>
      <c r="V447" s="406">
        <f t="shared" si="113"/>
        <v>0</v>
      </c>
      <c r="W447" s="406">
        <f t="shared" si="113"/>
        <v>373504909</v>
      </c>
      <c r="X447" s="406">
        <f t="shared" si="113"/>
        <v>0</v>
      </c>
      <c r="Y447" s="406">
        <f t="shared" si="113"/>
        <v>0</v>
      </c>
      <c r="Z447" s="406">
        <f t="shared" si="113"/>
        <v>0</v>
      </c>
      <c r="AA447" s="406">
        <f t="shared" si="113"/>
        <v>0</v>
      </c>
      <c r="AB447" s="406">
        <f t="shared" si="113"/>
        <v>0</v>
      </c>
      <c r="AC447" s="406">
        <f t="shared" si="113"/>
        <v>0</v>
      </c>
      <c r="AD447" s="406">
        <f t="shared" si="113"/>
        <v>0</v>
      </c>
      <c r="AE447" s="406">
        <f t="shared" si="113"/>
        <v>0</v>
      </c>
      <c r="AF447" s="406">
        <f t="shared" si="113"/>
        <v>1156322443</v>
      </c>
      <c r="AG447" s="406">
        <f t="shared" si="113"/>
        <v>0</v>
      </c>
      <c r="AH447" s="406">
        <f t="shared" si="113"/>
        <v>0</v>
      </c>
      <c r="AI447" s="406">
        <f t="shared" si="113"/>
        <v>0</v>
      </c>
      <c r="AJ447" s="406">
        <f t="shared" si="113"/>
        <v>0</v>
      </c>
      <c r="AK447" s="406">
        <f>AK446+AK438</f>
        <v>1529827352</v>
      </c>
    </row>
    <row r="448" spans="1:37" s="372" customFormat="1" ht="30" customHeight="1" x14ac:dyDescent="0.2">
      <c r="A448" s="39"/>
      <c r="B448" s="69"/>
      <c r="C448" s="146"/>
      <c r="D448" s="69"/>
      <c r="E448" s="260"/>
      <c r="F448" s="260"/>
      <c r="G448" s="69"/>
      <c r="H448" s="146"/>
      <c r="I448" s="69"/>
      <c r="J448" s="191"/>
      <c r="K448" s="191"/>
      <c r="L448" s="262"/>
      <c r="M448" s="262"/>
      <c r="N448" s="390"/>
      <c r="O448" s="99"/>
      <c r="P448" s="146"/>
      <c r="Q448" s="395"/>
      <c r="R448" s="395"/>
      <c r="S448" s="395"/>
      <c r="T448" s="395"/>
      <c r="U448" s="395"/>
      <c r="V448" s="395"/>
      <c r="W448" s="742"/>
      <c r="X448" s="395"/>
      <c r="Y448" s="395"/>
      <c r="Z448" s="395"/>
      <c r="AA448" s="395"/>
      <c r="AB448" s="395"/>
      <c r="AC448" s="395"/>
      <c r="AD448" s="395"/>
      <c r="AE448" s="395"/>
      <c r="AF448" s="749" t="s">
        <v>63</v>
      </c>
      <c r="AG448" s="742"/>
      <c r="AH448" s="395"/>
      <c r="AI448" s="395"/>
      <c r="AJ448" s="395"/>
      <c r="AK448" s="399"/>
    </row>
    <row r="449" spans="1:37" s="372" customFormat="1" ht="30" customHeight="1" x14ac:dyDescent="0.25">
      <c r="A449" s="39"/>
      <c r="B449" s="121">
        <v>8</v>
      </c>
      <c r="C449" s="35" t="s">
        <v>573</v>
      </c>
      <c r="D449" s="36"/>
      <c r="E449" s="36"/>
      <c r="F449" s="36"/>
      <c r="G449" s="36"/>
      <c r="H449" s="37"/>
      <c r="I449" s="36"/>
      <c r="J449" s="36"/>
      <c r="K449" s="197"/>
      <c r="L449" s="197"/>
      <c r="M449" s="36"/>
      <c r="N449" s="37"/>
      <c r="O449" s="36"/>
      <c r="P449" s="36"/>
      <c r="Q449" s="402"/>
      <c r="R449" s="402"/>
      <c r="S449" s="402"/>
      <c r="T449" s="402"/>
      <c r="U449" s="402"/>
      <c r="V449" s="402"/>
      <c r="W449" s="402"/>
      <c r="X449" s="402"/>
      <c r="Y449" s="402"/>
      <c r="Z449" s="402"/>
      <c r="AA449" s="402"/>
      <c r="AB449" s="402"/>
      <c r="AC449" s="402"/>
      <c r="AD449" s="402"/>
      <c r="AE449" s="402"/>
      <c r="AF449" s="403"/>
      <c r="AG449" s="402"/>
      <c r="AH449" s="402"/>
      <c r="AI449" s="402"/>
      <c r="AJ449" s="402"/>
      <c r="AK449" s="407"/>
    </row>
    <row r="450" spans="1:37" s="372" customFormat="1" ht="30" customHeight="1" x14ac:dyDescent="0.25">
      <c r="A450" s="39"/>
      <c r="B450" s="73"/>
      <c r="C450" s="661"/>
      <c r="D450" s="655"/>
      <c r="E450" s="661"/>
      <c r="F450" s="661"/>
      <c r="G450" s="215">
        <v>25</v>
      </c>
      <c r="H450" s="77" t="s">
        <v>574</v>
      </c>
      <c r="I450" s="77"/>
      <c r="J450" s="77"/>
      <c r="K450" s="149"/>
      <c r="L450" s="149"/>
      <c r="M450" s="77"/>
      <c r="N450" s="169"/>
      <c r="O450" s="77"/>
      <c r="P450" s="77"/>
      <c r="Q450" s="263"/>
      <c r="R450" s="263"/>
      <c r="S450" s="263"/>
      <c r="T450" s="263"/>
      <c r="U450" s="263"/>
      <c r="V450" s="263"/>
      <c r="W450" s="263"/>
      <c r="X450" s="263"/>
      <c r="Y450" s="263"/>
      <c r="Z450" s="263"/>
      <c r="AA450" s="263"/>
      <c r="AB450" s="263"/>
      <c r="AC450" s="263"/>
      <c r="AD450" s="263"/>
      <c r="AE450" s="263"/>
      <c r="AF450" s="404"/>
      <c r="AG450" s="263"/>
      <c r="AH450" s="263"/>
      <c r="AI450" s="263"/>
      <c r="AJ450" s="263"/>
      <c r="AK450" s="265"/>
    </row>
    <row r="451" spans="1:37" s="372" customFormat="1" ht="66.75" customHeight="1" x14ac:dyDescent="0.25">
      <c r="A451" s="39"/>
      <c r="B451" s="39"/>
      <c r="C451" s="775" t="s">
        <v>1057</v>
      </c>
      <c r="D451" s="778" t="s">
        <v>1056</v>
      </c>
      <c r="E451" s="792" t="s">
        <v>576</v>
      </c>
      <c r="F451" s="792" t="s">
        <v>577</v>
      </c>
      <c r="G451" s="40"/>
      <c r="H451" s="54">
        <v>108</v>
      </c>
      <c r="I451" s="679" t="s">
        <v>578</v>
      </c>
      <c r="J451" s="165">
        <v>4</v>
      </c>
      <c r="K451" s="186">
        <v>4</v>
      </c>
      <c r="L451" s="784">
        <v>2017003630088</v>
      </c>
      <c r="M451" s="809" t="s">
        <v>479</v>
      </c>
      <c r="N451" s="774" t="s">
        <v>579</v>
      </c>
      <c r="O451" s="777" t="s">
        <v>986</v>
      </c>
      <c r="P451" s="54" t="s">
        <v>46</v>
      </c>
      <c r="Q451" s="454">
        <v>0</v>
      </c>
      <c r="R451" s="454">
        <v>0</v>
      </c>
      <c r="S451" s="454">
        <v>0</v>
      </c>
      <c r="T451" s="454">
        <v>0</v>
      </c>
      <c r="U451" s="454">
        <v>0</v>
      </c>
      <c r="V451" s="454">
        <v>0</v>
      </c>
      <c r="W451" s="454">
        <v>0</v>
      </c>
      <c r="X451" s="454"/>
      <c r="Y451" s="454"/>
      <c r="Z451" s="454">
        <v>0</v>
      </c>
      <c r="AA451" s="454">
        <v>0</v>
      </c>
      <c r="AB451" s="454"/>
      <c r="AC451" s="454"/>
      <c r="AD451" s="454">
        <v>0</v>
      </c>
      <c r="AE451" s="454">
        <v>0</v>
      </c>
      <c r="AF451" s="483">
        <f>10000000+10000000</f>
        <v>20000000</v>
      </c>
      <c r="AG451" s="411"/>
      <c r="AH451" s="454">
        <v>0</v>
      </c>
      <c r="AI451" s="482"/>
      <c r="AJ451" s="482"/>
      <c r="AK451" s="391">
        <f>Q451+R451+S451+T451+U451+V451+W451+X451+Y451+Z451+AA451+AB451+AC451+AD451+AE451+AF451+AG451+AH451+AI451+AJ451</f>
        <v>20000000</v>
      </c>
    </row>
    <row r="452" spans="1:37" s="372" customFormat="1" ht="66.75" customHeight="1" x14ac:dyDescent="0.25">
      <c r="A452" s="39"/>
      <c r="B452" s="39"/>
      <c r="C452" s="775"/>
      <c r="D452" s="778"/>
      <c r="E452" s="792"/>
      <c r="F452" s="792"/>
      <c r="G452" s="90"/>
      <c r="H452" s="54">
        <v>109</v>
      </c>
      <c r="I452" s="679" t="s">
        <v>581</v>
      </c>
      <c r="J452" s="165">
        <v>0</v>
      </c>
      <c r="K452" s="186">
        <v>52</v>
      </c>
      <c r="L452" s="786"/>
      <c r="M452" s="811"/>
      <c r="N452" s="776"/>
      <c r="O452" s="779"/>
      <c r="P452" s="54" t="s">
        <v>46</v>
      </c>
      <c r="Q452" s="454">
        <v>0</v>
      </c>
      <c r="R452" s="454">
        <v>0</v>
      </c>
      <c r="S452" s="454">
        <v>0</v>
      </c>
      <c r="T452" s="454">
        <v>0</v>
      </c>
      <c r="U452" s="454">
        <v>0</v>
      </c>
      <c r="V452" s="454">
        <v>0</v>
      </c>
      <c r="W452" s="454">
        <v>0</v>
      </c>
      <c r="X452" s="454"/>
      <c r="Y452" s="454"/>
      <c r="Z452" s="454">
        <v>0</v>
      </c>
      <c r="AA452" s="454">
        <v>0</v>
      </c>
      <c r="AB452" s="454"/>
      <c r="AC452" s="454"/>
      <c r="AD452" s="454">
        <v>0</v>
      </c>
      <c r="AE452" s="454">
        <v>0</v>
      </c>
      <c r="AF452" s="483">
        <v>37000000</v>
      </c>
      <c r="AG452" s="411"/>
      <c r="AH452" s="454">
        <v>0</v>
      </c>
      <c r="AI452" s="482"/>
      <c r="AJ452" s="482"/>
      <c r="AK452" s="391">
        <f>Q452+R452+S452+T452+U452+V452+W452+X452+Y452+Z452+AA452+AB452+AC452+AD452+AE452+AF452+AG452+AH452+AI452+AJ452</f>
        <v>37000000</v>
      </c>
    </row>
    <row r="453" spans="1:37" s="372" customFormat="1" ht="30" customHeight="1" x14ac:dyDescent="0.25">
      <c r="A453" s="39"/>
      <c r="B453" s="39"/>
      <c r="C453" s="662"/>
      <c r="D453" s="657"/>
      <c r="E453" s="663"/>
      <c r="F453" s="663"/>
      <c r="G453" s="55"/>
      <c r="H453" s="56"/>
      <c r="I453" s="55"/>
      <c r="J453" s="187"/>
      <c r="K453" s="192"/>
      <c r="L453" s="192"/>
      <c r="M453" s="192"/>
      <c r="N453" s="56"/>
      <c r="O453" s="55"/>
      <c r="P453" s="56"/>
      <c r="Q453" s="484">
        <f t="shared" ref="Q453:AK453" si="114">SUM(Q451:Q452)</f>
        <v>0</v>
      </c>
      <c r="R453" s="484">
        <f t="shared" si="114"/>
        <v>0</v>
      </c>
      <c r="S453" s="484">
        <f t="shared" si="114"/>
        <v>0</v>
      </c>
      <c r="T453" s="484">
        <f t="shared" si="114"/>
        <v>0</v>
      </c>
      <c r="U453" s="484">
        <f t="shared" si="114"/>
        <v>0</v>
      </c>
      <c r="V453" s="484">
        <f t="shared" si="114"/>
        <v>0</v>
      </c>
      <c r="W453" s="484">
        <f t="shared" si="114"/>
        <v>0</v>
      </c>
      <c r="X453" s="484">
        <f t="shared" si="114"/>
        <v>0</v>
      </c>
      <c r="Y453" s="484">
        <f t="shared" si="114"/>
        <v>0</v>
      </c>
      <c r="Z453" s="484">
        <f t="shared" si="114"/>
        <v>0</v>
      </c>
      <c r="AA453" s="484">
        <f t="shared" si="114"/>
        <v>0</v>
      </c>
      <c r="AB453" s="484">
        <f t="shared" si="114"/>
        <v>0</v>
      </c>
      <c r="AC453" s="484">
        <f t="shared" si="114"/>
        <v>0</v>
      </c>
      <c r="AD453" s="484">
        <f t="shared" si="114"/>
        <v>0</v>
      </c>
      <c r="AE453" s="484">
        <f t="shared" si="114"/>
        <v>0</v>
      </c>
      <c r="AF453" s="484">
        <f t="shared" si="114"/>
        <v>57000000</v>
      </c>
      <c r="AG453" s="484">
        <f t="shared" si="114"/>
        <v>0</v>
      </c>
      <c r="AH453" s="484">
        <f t="shared" si="114"/>
        <v>0</v>
      </c>
      <c r="AI453" s="484">
        <f t="shared" si="114"/>
        <v>0</v>
      </c>
      <c r="AJ453" s="484">
        <f t="shared" si="114"/>
        <v>0</v>
      </c>
      <c r="AK453" s="484">
        <f t="shared" si="114"/>
        <v>57000000</v>
      </c>
    </row>
    <row r="454" spans="1:37" s="372" customFormat="1" ht="30" customHeight="1" x14ac:dyDescent="0.25">
      <c r="A454" s="39"/>
      <c r="B454" s="39"/>
      <c r="C454" s="146"/>
      <c r="D454" s="69"/>
      <c r="E454" s="260"/>
      <c r="F454" s="260"/>
      <c r="G454" s="69"/>
      <c r="H454" s="146"/>
      <c r="I454" s="69"/>
      <c r="J454" s="191"/>
      <c r="K454" s="191"/>
      <c r="L454" s="262"/>
      <c r="M454" s="262"/>
      <c r="N454" s="390"/>
      <c r="O454" s="99"/>
      <c r="P454" s="146"/>
      <c r="Q454" s="395"/>
      <c r="R454" s="395"/>
      <c r="S454" s="395"/>
      <c r="T454" s="395"/>
      <c r="U454" s="395"/>
      <c r="V454" s="395"/>
      <c r="W454" s="742"/>
      <c r="X454" s="395"/>
      <c r="Y454" s="395"/>
      <c r="Z454" s="395"/>
      <c r="AA454" s="395"/>
      <c r="AB454" s="395"/>
      <c r="AC454" s="395"/>
      <c r="AD454" s="395"/>
      <c r="AE454" s="395"/>
      <c r="AF454" s="744" t="s">
        <v>63</v>
      </c>
      <c r="AG454" s="742"/>
      <c r="AH454" s="395"/>
      <c r="AI454" s="395"/>
      <c r="AJ454" s="395"/>
      <c r="AK454" s="399"/>
    </row>
    <row r="455" spans="1:37" s="372" customFormat="1" ht="30" customHeight="1" x14ac:dyDescent="0.25">
      <c r="A455" s="39"/>
      <c r="B455" s="39"/>
      <c r="C455" s="661"/>
      <c r="D455" s="655"/>
      <c r="E455" s="681"/>
      <c r="F455" s="681"/>
      <c r="G455" s="215">
        <v>26</v>
      </c>
      <c r="H455" s="77" t="s">
        <v>582</v>
      </c>
      <c r="I455" s="77"/>
      <c r="J455" s="77"/>
      <c r="K455" s="149"/>
      <c r="L455" s="149"/>
      <c r="M455" s="77"/>
      <c r="N455" s="169"/>
      <c r="O455" s="77"/>
      <c r="P455" s="77"/>
      <c r="Q455" s="263"/>
      <c r="R455" s="263"/>
      <c r="S455" s="263" t="s">
        <v>63</v>
      </c>
      <c r="T455" s="263"/>
      <c r="U455" s="263"/>
      <c r="V455" s="263"/>
      <c r="W455" s="263"/>
      <c r="X455" s="263"/>
      <c r="Y455" s="263"/>
      <c r="Z455" s="263"/>
      <c r="AA455" s="263"/>
      <c r="AB455" s="263"/>
      <c r="AC455" s="263"/>
      <c r="AD455" s="263"/>
      <c r="AE455" s="263"/>
      <c r="AF455" s="404"/>
      <c r="AG455" s="263"/>
      <c r="AH455" s="263"/>
      <c r="AI455" s="263"/>
      <c r="AJ455" s="263"/>
      <c r="AK455" s="265"/>
    </row>
    <row r="456" spans="1:37" s="372" customFormat="1" ht="72.75" customHeight="1" x14ac:dyDescent="0.25">
      <c r="A456" s="39"/>
      <c r="B456" s="39"/>
      <c r="C456" s="650" t="s">
        <v>583</v>
      </c>
      <c r="D456" s="656" t="s">
        <v>584</v>
      </c>
      <c r="E456" s="664" t="s">
        <v>585</v>
      </c>
      <c r="F456" s="664" t="s">
        <v>586</v>
      </c>
      <c r="G456" s="679"/>
      <c r="H456" s="54">
        <v>110</v>
      </c>
      <c r="I456" s="679" t="s">
        <v>587</v>
      </c>
      <c r="J456" s="165">
        <v>180</v>
      </c>
      <c r="K456" s="186">
        <v>200</v>
      </c>
      <c r="L456" s="43">
        <v>2017003630096</v>
      </c>
      <c r="M456" s="186" t="s">
        <v>479</v>
      </c>
      <c r="N456" s="54" t="s">
        <v>588</v>
      </c>
      <c r="O456" s="679" t="s">
        <v>987</v>
      </c>
      <c r="P456" s="54" t="s">
        <v>46</v>
      </c>
      <c r="Q456" s="454">
        <v>0</v>
      </c>
      <c r="R456" s="454">
        <v>0</v>
      </c>
      <c r="S456" s="454">
        <v>0</v>
      </c>
      <c r="T456" s="454">
        <v>0</v>
      </c>
      <c r="U456" s="454">
        <v>0</v>
      </c>
      <c r="V456" s="454">
        <v>0</v>
      </c>
      <c r="W456" s="454">
        <v>0</v>
      </c>
      <c r="X456" s="454"/>
      <c r="Y456" s="454"/>
      <c r="Z456" s="454">
        <v>0</v>
      </c>
      <c r="AA456" s="454">
        <v>0</v>
      </c>
      <c r="AB456" s="647">
        <f>2758000000-2000000000</f>
        <v>758000000</v>
      </c>
      <c r="AC456" s="454"/>
      <c r="AD456" s="454">
        <v>0</v>
      </c>
      <c r="AE456" s="454">
        <v>0</v>
      </c>
      <c r="AF456" s="131">
        <v>0</v>
      </c>
      <c r="AG456" s="411"/>
      <c r="AH456" s="454">
        <v>0</v>
      </c>
      <c r="AI456" s="482"/>
      <c r="AJ456" s="482"/>
      <c r="AK456" s="391">
        <f>Q456+R456+S456+T456+U456+V456+W456+X456+Y456+Z456+AA456+AB456+AC456+AD456+AE456+AF456+AG456+AH456+AI456+AJ456</f>
        <v>758000000</v>
      </c>
    </row>
    <row r="457" spans="1:37" s="372" customFormat="1" ht="30" customHeight="1" x14ac:dyDescent="0.25">
      <c r="A457" s="39"/>
      <c r="B457" s="39"/>
      <c r="C457" s="662"/>
      <c r="D457" s="657"/>
      <c r="E457" s="284"/>
      <c r="F457" s="284"/>
      <c r="G457" s="55"/>
      <c r="H457" s="56"/>
      <c r="I457" s="55"/>
      <c r="J457" s="187"/>
      <c r="K457" s="290"/>
      <c r="L457" s="290"/>
      <c r="M457" s="192"/>
      <c r="N457" s="56"/>
      <c r="O457" s="55"/>
      <c r="P457" s="56"/>
      <c r="Q457" s="484">
        <f t="shared" ref="Q457:AK457" si="115">SUM(Q456)</f>
        <v>0</v>
      </c>
      <c r="R457" s="484">
        <f t="shared" si="115"/>
        <v>0</v>
      </c>
      <c r="S457" s="484">
        <f t="shared" si="115"/>
        <v>0</v>
      </c>
      <c r="T457" s="484">
        <f t="shared" si="115"/>
        <v>0</v>
      </c>
      <c r="U457" s="484">
        <f t="shared" si="115"/>
        <v>0</v>
      </c>
      <c r="V457" s="484">
        <f t="shared" si="115"/>
        <v>0</v>
      </c>
      <c r="W457" s="484">
        <f t="shared" si="115"/>
        <v>0</v>
      </c>
      <c r="X457" s="484">
        <f t="shared" si="115"/>
        <v>0</v>
      </c>
      <c r="Y457" s="484">
        <f t="shared" si="115"/>
        <v>0</v>
      </c>
      <c r="Z457" s="484">
        <f t="shared" si="115"/>
        <v>0</v>
      </c>
      <c r="AA457" s="484">
        <f t="shared" si="115"/>
        <v>0</v>
      </c>
      <c r="AB457" s="484">
        <f t="shared" si="115"/>
        <v>758000000</v>
      </c>
      <c r="AC457" s="484">
        <f t="shared" si="115"/>
        <v>0</v>
      </c>
      <c r="AD457" s="484">
        <f t="shared" si="115"/>
        <v>0</v>
      </c>
      <c r="AE457" s="484">
        <f t="shared" si="115"/>
        <v>0</v>
      </c>
      <c r="AF457" s="484">
        <f t="shared" si="115"/>
        <v>0</v>
      </c>
      <c r="AG457" s="484">
        <f t="shared" si="115"/>
        <v>0</v>
      </c>
      <c r="AH457" s="484">
        <f t="shared" si="115"/>
        <v>0</v>
      </c>
      <c r="AI457" s="484">
        <f t="shared" si="115"/>
        <v>0</v>
      </c>
      <c r="AJ457" s="484">
        <f t="shared" si="115"/>
        <v>0</v>
      </c>
      <c r="AK457" s="484">
        <f t="shared" si="115"/>
        <v>758000000</v>
      </c>
    </row>
    <row r="458" spans="1:37" s="372" customFormat="1" ht="30" customHeight="1" x14ac:dyDescent="0.25">
      <c r="A458" s="39"/>
      <c r="B458" s="39"/>
      <c r="C458" s="146"/>
      <c r="D458" s="69"/>
      <c r="E458" s="260"/>
      <c r="F458" s="260"/>
      <c r="G458" s="69"/>
      <c r="H458" s="146"/>
      <c r="I458" s="69"/>
      <c r="J458" s="191"/>
      <c r="K458" s="219"/>
      <c r="L458" s="268"/>
      <c r="M458" s="262"/>
      <c r="N458" s="390"/>
      <c r="O458" s="99"/>
      <c r="P458" s="146"/>
      <c r="Q458" s="395"/>
      <c r="R458" s="396"/>
      <c r="S458" s="395"/>
      <c r="T458" s="395"/>
      <c r="U458" s="395"/>
      <c r="V458" s="395"/>
      <c r="W458" s="742"/>
      <c r="X458" s="395"/>
      <c r="Y458" s="395"/>
      <c r="Z458" s="395"/>
      <c r="AA458" s="395"/>
      <c r="AB458" s="396"/>
      <c r="AC458" s="396"/>
      <c r="AD458" s="395"/>
      <c r="AE458" s="395"/>
      <c r="AF458" s="744"/>
      <c r="AG458" s="742"/>
      <c r="AH458" s="395"/>
      <c r="AI458" s="395"/>
      <c r="AJ458" s="395"/>
      <c r="AK458" s="399"/>
    </row>
    <row r="459" spans="1:37" s="372" customFormat="1" ht="30" customHeight="1" x14ac:dyDescent="0.25">
      <c r="A459" s="39"/>
      <c r="B459" s="39"/>
      <c r="C459" s="661"/>
      <c r="D459" s="655"/>
      <c r="E459" s="681"/>
      <c r="F459" s="681"/>
      <c r="G459" s="215">
        <v>27</v>
      </c>
      <c r="H459" s="77" t="s">
        <v>590</v>
      </c>
      <c r="I459" s="77"/>
      <c r="J459" s="77"/>
      <c r="K459" s="217"/>
      <c r="L459" s="217"/>
      <c r="M459" s="77"/>
      <c r="N459" s="169"/>
      <c r="O459" s="77"/>
      <c r="P459" s="77"/>
      <c r="Q459" s="263"/>
      <c r="R459" s="263"/>
      <c r="S459" s="263"/>
      <c r="T459" s="263"/>
      <c r="U459" s="263"/>
      <c r="V459" s="263"/>
      <c r="W459" s="263"/>
      <c r="X459" s="263"/>
      <c r="Y459" s="263"/>
      <c r="Z459" s="263"/>
      <c r="AA459" s="263"/>
      <c r="AB459" s="263"/>
      <c r="AC459" s="263">
        <v>17987346928</v>
      </c>
      <c r="AD459" s="263"/>
      <c r="AE459" s="263"/>
      <c r="AF459" s="404"/>
      <c r="AG459" s="263"/>
      <c r="AH459" s="263"/>
      <c r="AI459" s="263"/>
      <c r="AJ459" s="263"/>
      <c r="AK459" s="265"/>
    </row>
    <row r="460" spans="1:37" ht="62.25" customHeight="1" x14ac:dyDescent="0.2">
      <c r="A460" s="39"/>
      <c r="B460" s="39"/>
      <c r="C460" s="650" t="s">
        <v>575</v>
      </c>
      <c r="D460" s="656" t="s">
        <v>502</v>
      </c>
      <c r="E460" s="664" t="s">
        <v>591</v>
      </c>
      <c r="F460" s="664" t="s">
        <v>577</v>
      </c>
      <c r="G460" s="40"/>
      <c r="H460" s="54">
        <v>111</v>
      </c>
      <c r="I460" s="679" t="s">
        <v>592</v>
      </c>
      <c r="J460" s="291">
        <v>1</v>
      </c>
      <c r="K460" s="291">
        <v>1</v>
      </c>
      <c r="L460" s="43">
        <v>2017003630087</v>
      </c>
      <c r="M460" s="150" t="s">
        <v>479</v>
      </c>
      <c r="N460" s="54" t="s">
        <v>593</v>
      </c>
      <c r="O460" s="655" t="s">
        <v>988</v>
      </c>
      <c r="P460" s="54" t="s">
        <v>46</v>
      </c>
      <c r="Q460" s="454">
        <v>0</v>
      </c>
      <c r="R460" s="454">
        <v>0</v>
      </c>
      <c r="S460" s="454">
        <v>0</v>
      </c>
      <c r="T460" s="454">
        <v>0</v>
      </c>
      <c r="U460" s="454">
        <v>0</v>
      </c>
      <c r="V460" s="454">
        <v>0</v>
      </c>
      <c r="W460" s="454">
        <v>0</v>
      </c>
      <c r="X460" s="454"/>
      <c r="Y460" s="454"/>
      <c r="Z460" s="454">
        <v>0</v>
      </c>
      <c r="AA460" s="454">
        <v>0</v>
      </c>
      <c r="AB460" s="443">
        <v>19000000000</v>
      </c>
      <c r="AC460" s="485"/>
      <c r="AD460" s="454">
        <v>0</v>
      </c>
      <c r="AE460" s="454">
        <v>0</v>
      </c>
      <c r="AF460" s="635">
        <f>200000000+27000000</f>
        <v>227000000</v>
      </c>
      <c r="AG460" s="411"/>
      <c r="AH460" s="454">
        <v>0</v>
      </c>
      <c r="AI460" s="482"/>
      <c r="AJ460" s="482"/>
      <c r="AK460" s="391">
        <f>Q460+R460+S460+T460+U460+V460+W460+X460+Y460+Z460+AA460+AB460+AC460+AD460+AE460+AF460+AG460+AH460+AI460+AJ460</f>
        <v>19227000000</v>
      </c>
    </row>
    <row r="461" spans="1:37" ht="30" customHeight="1" x14ac:dyDescent="0.2">
      <c r="A461" s="39"/>
      <c r="B461" s="39"/>
      <c r="C461" s="662"/>
      <c r="D461" s="657"/>
      <c r="E461" s="282"/>
      <c r="F461" s="282"/>
      <c r="G461" s="55"/>
      <c r="H461" s="56"/>
      <c r="I461" s="55"/>
      <c r="J461" s="292"/>
      <c r="K461" s="293"/>
      <c r="L461" s="293"/>
      <c r="M461" s="292"/>
      <c r="N461" s="56"/>
      <c r="O461" s="55"/>
      <c r="P461" s="56"/>
      <c r="Q461" s="447">
        <f t="shared" ref="Q461:W461" si="116">SUM(Q460:Q460)</f>
        <v>0</v>
      </c>
      <c r="R461" s="447">
        <f t="shared" si="116"/>
        <v>0</v>
      </c>
      <c r="S461" s="447">
        <f t="shared" si="116"/>
        <v>0</v>
      </c>
      <c r="T461" s="447">
        <f t="shared" si="116"/>
        <v>0</v>
      </c>
      <c r="U461" s="447">
        <f t="shared" si="116"/>
        <v>0</v>
      </c>
      <c r="V461" s="447">
        <f t="shared" si="116"/>
        <v>0</v>
      </c>
      <c r="W461" s="447">
        <f t="shared" si="116"/>
        <v>0</v>
      </c>
      <c r="X461" s="447"/>
      <c r="Y461" s="447"/>
      <c r="Z461" s="447">
        <f>SUM(Z460:Z460)</f>
        <v>0</v>
      </c>
      <c r="AA461" s="447">
        <f t="shared" ref="AA461:AF461" si="117">SUM(AA460:AA460)</f>
        <v>0</v>
      </c>
      <c r="AB461" s="484">
        <f t="shared" si="117"/>
        <v>19000000000</v>
      </c>
      <c r="AC461" s="484">
        <f t="shared" si="117"/>
        <v>0</v>
      </c>
      <c r="AD461" s="484">
        <f t="shared" si="117"/>
        <v>0</v>
      </c>
      <c r="AE461" s="484">
        <f t="shared" si="117"/>
        <v>0</v>
      </c>
      <c r="AF461" s="486">
        <f t="shared" si="117"/>
        <v>227000000</v>
      </c>
      <c r="AG461" s="487"/>
      <c r="AH461" s="484">
        <f>SUM(AH460:AH460)</f>
        <v>0</v>
      </c>
      <c r="AI461" s="484"/>
      <c r="AJ461" s="484"/>
      <c r="AK461" s="484">
        <f>SUM(AK460:AK460)</f>
        <v>19227000000</v>
      </c>
    </row>
    <row r="462" spans="1:37" ht="30" customHeight="1" x14ac:dyDescent="0.2">
      <c r="A462" s="39"/>
      <c r="B462" s="39"/>
      <c r="C462" s="146"/>
      <c r="D462" s="69"/>
      <c r="E462" s="260"/>
      <c r="F462" s="260"/>
      <c r="G462" s="69"/>
      <c r="H462" s="146"/>
      <c r="I462" s="69"/>
      <c r="J462" s="191"/>
      <c r="K462" s="191"/>
      <c r="L462" s="262"/>
      <c r="M462" s="262"/>
      <c r="N462" s="390"/>
      <c r="O462" s="99"/>
      <c r="P462" s="146"/>
      <c r="Q462" s="395"/>
      <c r="R462" s="396"/>
      <c r="S462" s="395"/>
      <c r="T462" s="395"/>
      <c r="U462" s="395"/>
      <c r="V462" s="395"/>
      <c r="W462" s="742"/>
      <c r="X462" s="395"/>
      <c r="Y462" s="395"/>
      <c r="Z462" s="395"/>
      <c r="AA462" s="395"/>
      <c r="AB462" s="395"/>
      <c r="AC462" s="395"/>
      <c r="AD462" s="395"/>
      <c r="AE462" s="395"/>
      <c r="AF462" s="744"/>
      <c r="AG462" s="742"/>
      <c r="AH462" s="395"/>
      <c r="AI462" s="395"/>
      <c r="AJ462" s="395"/>
      <c r="AK462" s="399"/>
    </row>
    <row r="463" spans="1:37" ht="36" customHeight="1" x14ac:dyDescent="0.2">
      <c r="A463" s="39"/>
      <c r="B463" s="39"/>
      <c r="C463" s="661"/>
      <c r="D463" s="655"/>
      <c r="E463" s="681"/>
      <c r="F463" s="681"/>
      <c r="G463" s="215">
        <v>28</v>
      </c>
      <c r="H463" s="77" t="s">
        <v>595</v>
      </c>
      <c r="I463" s="77"/>
      <c r="J463" s="77"/>
      <c r="K463" s="149"/>
      <c r="L463" s="149"/>
      <c r="M463" s="77"/>
      <c r="N463" s="169"/>
      <c r="O463" s="77"/>
      <c r="P463" s="77"/>
      <c r="Q463" s="263"/>
      <c r="R463" s="263"/>
      <c r="S463" s="263"/>
      <c r="T463" s="263"/>
      <c r="U463" s="263"/>
      <c r="V463" s="263"/>
      <c r="W463" s="263"/>
      <c r="X463" s="263"/>
      <c r="Y463" s="263"/>
      <c r="Z463" s="263"/>
      <c r="AA463" s="263"/>
      <c r="AB463" s="263"/>
      <c r="AC463" s="263"/>
      <c r="AD463" s="263"/>
      <c r="AE463" s="263"/>
      <c r="AF463" s="404"/>
      <c r="AG463" s="263"/>
      <c r="AH463" s="263"/>
      <c r="AI463" s="263"/>
      <c r="AJ463" s="263"/>
      <c r="AK463" s="265"/>
    </row>
    <row r="464" spans="1:37" ht="63.75" customHeight="1" x14ac:dyDescent="0.2">
      <c r="A464" s="39"/>
      <c r="B464" s="39"/>
      <c r="C464" s="775" t="s">
        <v>1057</v>
      </c>
      <c r="D464" s="778" t="s">
        <v>1056</v>
      </c>
      <c r="E464" s="792" t="s">
        <v>576</v>
      </c>
      <c r="F464" s="792" t="s">
        <v>577</v>
      </c>
      <c r="G464" s="40"/>
      <c r="H464" s="54">
        <v>112</v>
      </c>
      <c r="I464" s="679" t="s">
        <v>596</v>
      </c>
      <c r="J464" s="165">
        <v>0</v>
      </c>
      <c r="K464" s="186">
        <v>20</v>
      </c>
      <c r="L464" s="784">
        <v>2017003630026</v>
      </c>
      <c r="M464" s="820">
        <v>1</v>
      </c>
      <c r="N464" s="823" t="s">
        <v>597</v>
      </c>
      <c r="O464" s="777" t="s">
        <v>989</v>
      </c>
      <c r="P464" s="54" t="s">
        <v>61</v>
      </c>
      <c r="Q464" s="454">
        <v>0</v>
      </c>
      <c r="R464" s="454">
        <v>0</v>
      </c>
      <c r="S464" s="454">
        <v>0</v>
      </c>
      <c r="T464" s="454">
        <v>0</v>
      </c>
      <c r="U464" s="454">
        <v>0</v>
      </c>
      <c r="V464" s="454">
        <v>0</v>
      </c>
      <c r="W464" s="419"/>
      <c r="X464" s="454"/>
      <c r="Y464" s="454"/>
      <c r="Z464" s="454">
        <v>0</v>
      </c>
      <c r="AA464" s="454">
        <v>0</v>
      </c>
      <c r="AB464" s="488"/>
      <c r="AC464" s="489"/>
      <c r="AD464" s="454">
        <v>0</v>
      </c>
      <c r="AE464" s="454">
        <v>0</v>
      </c>
      <c r="AF464" s="635">
        <f>10000000-8000000</f>
        <v>2000000</v>
      </c>
      <c r="AG464" s="411"/>
      <c r="AH464" s="454">
        <v>0</v>
      </c>
      <c r="AI464" s="482"/>
      <c r="AJ464" s="482"/>
      <c r="AK464" s="391">
        <f>Q464+R464+S464+T464+U464+V464+W464+X464+Y464+Z464+AA464+AB464+AC464+AD464+AE464+AF464+AG464+AH464+AI464+AJ464</f>
        <v>2000000</v>
      </c>
    </row>
    <row r="465" spans="1:37" ht="78.75" customHeight="1" x14ac:dyDescent="0.2">
      <c r="A465" s="39"/>
      <c r="B465" s="39"/>
      <c r="C465" s="775"/>
      <c r="D465" s="778"/>
      <c r="E465" s="792"/>
      <c r="F465" s="792"/>
      <c r="G465" s="90"/>
      <c r="H465" s="54">
        <v>113</v>
      </c>
      <c r="I465" s="679" t="s">
        <v>599</v>
      </c>
      <c r="J465" s="165">
        <v>0</v>
      </c>
      <c r="K465" s="186">
        <v>3</v>
      </c>
      <c r="L465" s="786"/>
      <c r="M465" s="822"/>
      <c r="N465" s="824"/>
      <c r="O465" s="779"/>
      <c r="P465" s="54" t="s">
        <v>61</v>
      </c>
      <c r="Q465" s="454">
        <v>0</v>
      </c>
      <c r="R465" s="454">
        <v>0</v>
      </c>
      <c r="S465" s="454">
        <v>0</v>
      </c>
      <c r="T465" s="454">
        <v>0</v>
      </c>
      <c r="U465" s="454">
        <v>0</v>
      </c>
      <c r="V465" s="454">
        <v>0</v>
      </c>
      <c r="W465" s="419"/>
      <c r="X465" s="454"/>
      <c r="Y465" s="454"/>
      <c r="Z465" s="454">
        <v>0</v>
      </c>
      <c r="AA465" s="454">
        <v>0</v>
      </c>
      <c r="AB465" s="131"/>
      <c r="AC465" s="131"/>
      <c r="AD465" s="454">
        <v>0</v>
      </c>
      <c r="AE465" s="454">
        <v>0</v>
      </c>
      <c r="AF465" s="635">
        <f>11000000+8000000+8000000</f>
        <v>27000000</v>
      </c>
      <c r="AG465" s="411"/>
      <c r="AH465" s="454">
        <v>0</v>
      </c>
      <c r="AI465" s="482"/>
      <c r="AJ465" s="482"/>
      <c r="AK465" s="391">
        <f>Q465+R465+S465+T465+U465+V465+W465+X465+Y465+Z465+AA465+AB465+AC465+AD465+AE465+AF465+AG465+AH465+AI465+AJ465</f>
        <v>27000000</v>
      </c>
    </row>
    <row r="466" spans="1:37" s="10" customFormat="1" ht="30" customHeight="1" x14ac:dyDescent="0.25">
      <c r="A466" s="295"/>
      <c r="B466" s="296"/>
      <c r="C466" s="662"/>
      <c r="D466" s="386"/>
      <c r="E466" s="386"/>
      <c r="F466" s="386"/>
      <c r="G466" s="3"/>
      <c r="H466" s="56"/>
      <c r="I466" s="3"/>
      <c r="J466" s="294"/>
      <c r="K466" s="297"/>
      <c r="L466" s="297"/>
      <c r="M466" s="297"/>
      <c r="N466" s="56"/>
      <c r="O466" s="3"/>
      <c r="P466" s="3"/>
      <c r="Q466" s="484">
        <f t="shared" ref="Q466:AK466" si="118">SUM(Q464:Q465)</f>
        <v>0</v>
      </c>
      <c r="R466" s="484">
        <f t="shared" si="118"/>
        <v>0</v>
      </c>
      <c r="S466" s="484">
        <f t="shared" si="118"/>
        <v>0</v>
      </c>
      <c r="T466" s="484">
        <f t="shared" si="118"/>
        <v>0</v>
      </c>
      <c r="U466" s="484">
        <f t="shared" si="118"/>
        <v>0</v>
      </c>
      <c r="V466" s="484">
        <f t="shared" si="118"/>
        <v>0</v>
      </c>
      <c r="W466" s="484">
        <f t="shared" si="118"/>
        <v>0</v>
      </c>
      <c r="X466" s="484">
        <f t="shared" si="118"/>
        <v>0</v>
      </c>
      <c r="Y466" s="484">
        <f t="shared" si="118"/>
        <v>0</v>
      </c>
      <c r="Z466" s="484">
        <f t="shared" si="118"/>
        <v>0</v>
      </c>
      <c r="AA466" s="484">
        <f t="shared" si="118"/>
        <v>0</v>
      </c>
      <c r="AB466" s="484">
        <f t="shared" si="118"/>
        <v>0</v>
      </c>
      <c r="AC466" s="484">
        <f t="shared" si="118"/>
        <v>0</v>
      </c>
      <c r="AD466" s="484">
        <f t="shared" si="118"/>
        <v>0</v>
      </c>
      <c r="AE466" s="484">
        <f t="shared" si="118"/>
        <v>0</v>
      </c>
      <c r="AF466" s="484">
        <f t="shared" si="118"/>
        <v>29000000</v>
      </c>
      <c r="AG466" s="484">
        <f t="shared" si="118"/>
        <v>0</v>
      </c>
      <c r="AH466" s="484">
        <f t="shared" si="118"/>
        <v>0</v>
      </c>
      <c r="AI466" s="484">
        <f t="shared" si="118"/>
        <v>0</v>
      </c>
      <c r="AJ466" s="484">
        <f t="shared" si="118"/>
        <v>0</v>
      </c>
      <c r="AK466" s="484">
        <f t="shared" si="118"/>
        <v>29000000</v>
      </c>
    </row>
    <row r="467" spans="1:37" s="373" customFormat="1" ht="30" customHeight="1" x14ac:dyDescent="0.2">
      <c r="A467" s="295"/>
      <c r="B467" s="298"/>
      <c r="C467" s="60"/>
      <c r="D467" s="4"/>
      <c r="E467" s="4"/>
      <c r="F467" s="4"/>
      <c r="G467" s="4"/>
      <c r="H467" s="60"/>
      <c r="I467" s="4"/>
      <c r="J467" s="299"/>
      <c r="K467" s="300"/>
      <c r="L467" s="300"/>
      <c r="M467" s="300"/>
      <c r="N467" s="60"/>
      <c r="O467" s="4"/>
      <c r="P467" s="4"/>
      <c r="Q467" s="490">
        <f t="shared" ref="Q467:AJ467" si="119">Q466+Q461+Q457+Q453</f>
        <v>0</v>
      </c>
      <c r="R467" s="490">
        <f t="shared" si="119"/>
        <v>0</v>
      </c>
      <c r="S467" s="490">
        <f t="shared" si="119"/>
        <v>0</v>
      </c>
      <c r="T467" s="490">
        <f t="shared" si="119"/>
        <v>0</v>
      </c>
      <c r="U467" s="490">
        <f t="shared" si="119"/>
        <v>0</v>
      </c>
      <c r="V467" s="490">
        <f t="shared" si="119"/>
        <v>0</v>
      </c>
      <c r="W467" s="490">
        <f t="shared" si="119"/>
        <v>0</v>
      </c>
      <c r="X467" s="490">
        <f t="shared" si="119"/>
        <v>0</v>
      </c>
      <c r="Y467" s="490">
        <f t="shared" si="119"/>
        <v>0</v>
      </c>
      <c r="Z467" s="490">
        <f t="shared" si="119"/>
        <v>0</v>
      </c>
      <c r="AA467" s="490">
        <f t="shared" si="119"/>
        <v>0</v>
      </c>
      <c r="AB467" s="490">
        <f t="shared" si="119"/>
        <v>19758000000</v>
      </c>
      <c r="AC467" s="490">
        <f t="shared" si="119"/>
        <v>0</v>
      </c>
      <c r="AD467" s="490">
        <f t="shared" si="119"/>
        <v>0</v>
      </c>
      <c r="AE467" s="490">
        <f t="shared" si="119"/>
        <v>0</v>
      </c>
      <c r="AF467" s="490">
        <f t="shared" si="119"/>
        <v>313000000</v>
      </c>
      <c r="AG467" s="490">
        <f t="shared" si="119"/>
        <v>0</v>
      </c>
      <c r="AH467" s="490">
        <f t="shared" si="119"/>
        <v>0</v>
      </c>
      <c r="AI467" s="490">
        <f t="shared" si="119"/>
        <v>0</v>
      </c>
      <c r="AJ467" s="490">
        <f t="shared" si="119"/>
        <v>0</v>
      </c>
      <c r="AK467" s="490">
        <f>AK466+AK461+AK457+AK453</f>
        <v>20071000000</v>
      </c>
    </row>
    <row r="468" spans="1:37" ht="30" customHeight="1" x14ac:dyDescent="0.2">
      <c r="A468" s="39"/>
      <c r="B468" s="69"/>
      <c r="C468" s="146"/>
      <c r="D468" s="69"/>
      <c r="E468" s="260"/>
      <c r="F468" s="260"/>
      <c r="G468" s="69"/>
      <c r="H468" s="146"/>
      <c r="I468" s="69"/>
      <c r="J468" s="191"/>
      <c r="K468" s="191"/>
      <c r="L468" s="262"/>
      <c r="M468" s="262"/>
      <c r="N468" s="390"/>
      <c r="O468" s="99"/>
      <c r="P468" s="146"/>
      <c r="Q468" s="395"/>
      <c r="R468" s="396"/>
      <c r="S468" s="395"/>
      <c r="T468" s="395"/>
      <c r="U468" s="395"/>
      <c r="V468" s="395"/>
      <c r="W468" s="742"/>
      <c r="X468" s="395"/>
      <c r="Y468" s="395"/>
      <c r="Z468" s="395"/>
      <c r="AA468" s="395"/>
      <c r="AB468" s="395"/>
      <c r="AC468" s="395"/>
      <c r="AD468" s="395"/>
      <c r="AE468" s="395"/>
      <c r="AF468" s="744" t="s">
        <v>63</v>
      </c>
      <c r="AG468" s="742"/>
      <c r="AH468" s="395"/>
      <c r="AI468" s="395"/>
      <c r="AJ468" s="395"/>
      <c r="AK468" s="395"/>
    </row>
    <row r="469" spans="1:37" ht="30" customHeight="1" x14ac:dyDescent="0.2">
      <c r="A469" s="39"/>
      <c r="B469" s="121">
        <v>16</v>
      </c>
      <c r="C469" s="35" t="s">
        <v>600</v>
      </c>
      <c r="D469" s="36"/>
      <c r="E469" s="36"/>
      <c r="F469" s="36"/>
      <c r="G469" s="36"/>
      <c r="H469" s="37"/>
      <c r="I469" s="36"/>
      <c r="J469" s="36"/>
      <c r="K469" s="197"/>
      <c r="L469" s="197"/>
      <c r="M469" s="36"/>
      <c r="N469" s="37"/>
      <c r="O469" s="36"/>
      <c r="P469" s="36"/>
      <c r="Q469" s="402"/>
      <c r="R469" s="402"/>
      <c r="S469" s="402"/>
      <c r="T469" s="402"/>
      <c r="U469" s="402"/>
      <c r="V469" s="402"/>
      <c r="W469" s="402"/>
      <c r="X469" s="402"/>
      <c r="Y469" s="402"/>
      <c r="Z469" s="402"/>
      <c r="AA469" s="402"/>
      <c r="AB469" s="402"/>
      <c r="AC469" s="402"/>
      <c r="AD469" s="402"/>
      <c r="AE469" s="402"/>
      <c r="AF469" s="403"/>
      <c r="AG469" s="402"/>
      <c r="AH469" s="402"/>
      <c r="AI469" s="402"/>
      <c r="AJ469" s="402"/>
      <c r="AK469" s="407"/>
    </row>
    <row r="470" spans="1:37" ht="30" customHeight="1" x14ac:dyDescent="0.2">
      <c r="A470" s="39"/>
      <c r="B470" s="73"/>
      <c r="C470" s="661"/>
      <c r="D470" s="655"/>
      <c r="E470" s="661"/>
      <c r="F470" s="661"/>
      <c r="G470" s="215">
        <v>57</v>
      </c>
      <c r="H470" s="77" t="s">
        <v>601</v>
      </c>
      <c r="I470" s="77"/>
      <c r="J470" s="77"/>
      <c r="K470" s="149"/>
      <c r="L470" s="149"/>
      <c r="M470" s="77"/>
      <c r="N470" s="169"/>
      <c r="O470" s="77"/>
      <c r="P470" s="77"/>
      <c r="Q470" s="263"/>
      <c r="R470" s="263"/>
      <c r="S470" s="263"/>
      <c r="T470" s="263"/>
      <c r="U470" s="263"/>
      <c r="V470" s="263"/>
      <c r="W470" s="263"/>
      <c r="X470" s="263"/>
      <c r="Y470" s="263"/>
      <c r="Z470" s="263"/>
      <c r="AA470" s="263"/>
      <c r="AB470" s="263"/>
      <c r="AC470" s="263"/>
      <c r="AD470" s="263"/>
      <c r="AE470" s="263"/>
      <c r="AF470" s="404"/>
      <c r="AG470" s="263"/>
      <c r="AH470" s="263"/>
      <c r="AI470" s="263"/>
      <c r="AJ470" s="263"/>
      <c r="AK470" s="265"/>
    </row>
    <row r="471" spans="1:37" ht="72.75" customHeight="1" x14ac:dyDescent="0.2">
      <c r="A471" s="39"/>
      <c r="B471" s="39"/>
      <c r="C471" s="669" t="s">
        <v>602</v>
      </c>
      <c r="D471" s="670" t="s">
        <v>603</v>
      </c>
      <c r="E471" s="664" t="s">
        <v>604</v>
      </c>
      <c r="F471" s="664" t="s">
        <v>605</v>
      </c>
      <c r="G471" s="679"/>
      <c r="H471" s="54">
        <v>182</v>
      </c>
      <c r="I471" s="679" t="s">
        <v>606</v>
      </c>
      <c r="J471" s="165">
        <v>1</v>
      </c>
      <c r="K471" s="165">
        <v>1</v>
      </c>
      <c r="L471" s="43">
        <v>2017003630003</v>
      </c>
      <c r="M471" s="165" t="s">
        <v>479</v>
      </c>
      <c r="N471" s="54" t="s">
        <v>607</v>
      </c>
      <c r="O471" s="679" t="s">
        <v>990</v>
      </c>
      <c r="P471" s="54" t="s">
        <v>46</v>
      </c>
      <c r="Q471" s="391">
        <v>0</v>
      </c>
      <c r="R471" s="391">
        <v>0</v>
      </c>
      <c r="S471" s="391">
        <v>0</v>
      </c>
      <c r="T471" s="391">
        <v>0</v>
      </c>
      <c r="U471" s="391">
        <v>0</v>
      </c>
      <c r="V471" s="391">
        <v>0</v>
      </c>
      <c r="W471" s="391">
        <v>0</v>
      </c>
      <c r="X471" s="391"/>
      <c r="Y471" s="391"/>
      <c r="Z471" s="391">
        <v>0</v>
      </c>
      <c r="AA471" s="391">
        <v>0</v>
      </c>
      <c r="AB471" s="391"/>
      <c r="AC471" s="391"/>
      <c r="AD471" s="391">
        <v>0</v>
      </c>
      <c r="AE471" s="391">
        <v>0</v>
      </c>
      <c r="AF471" s="470">
        <v>29000000</v>
      </c>
      <c r="AG471" s="405"/>
      <c r="AH471" s="391">
        <v>0</v>
      </c>
      <c r="AI471" s="393"/>
      <c r="AJ471" s="393"/>
      <c r="AK471" s="391">
        <f>Q471+R471+S471+T471+U471+V471+W471+X471+Y471+Z471+AA471+AB471+AC471+AD471+AE471+AF471+AG471+AH471+AI471+AJ471</f>
        <v>29000000</v>
      </c>
    </row>
    <row r="472" spans="1:37" ht="22.5" customHeight="1" x14ac:dyDescent="0.2">
      <c r="A472" s="39"/>
      <c r="B472" s="52"/>
      <c r="C472" s="530"/>
      <c r="D472" s="388"/>
      <c r="E472" s="284"/>
      <c r="F472" s="284"/>
      <c r="G472" s="55"/>
      <c r="H472" s="56"/>
      <c r="I472" s="55"/>
      <c r="J472" s="187"/>
      <c r="K472" s="187"/>
      <c r="L472" s="187"/>
      <c r="M472" s="187"/>
      <c r="N472" s="56"/>
      <c r="O472" s="55"/>
      <c r="P472" s="56"/>
      <c r="Q472" s="400">
        <f t="shared" ref="Q472:AJ472" si="120">SUM(Q471)</f>
        <v>0</v>
      </c>
      <c r="R472" s="400">
        <f t="shared" si="120"/>
        <v>0</v>
      </c>
      <c r="S472" s="400">
        <f t="shared" si="120"/>
        <v>0</v>
      </c>
      <c r="T472" s="400">
        <f t="shared" si="120"/>
        <v>0</v>
      </c>
      <c r="U472" s="400">
        <f t="shared" si="120"/>
        <v>0</v>
      </c>
      <c r="V472" s="400">
        <f t="shared" si="120"/>
        <v>0</v>
      </c>
      <c r="W472" s="400">
        <f t="shared" si="120"/>
        <v>0</v>
      </c>
      <c r="X472" s="400">
        <f t="shared" si="120"/>
        <v>0</v>
      </c>
      <c r="Y472" s="400">
        <f t="shared" si="120"/>
        <v>0</v>
      </c>
      <c r="Z472" s="400">
        <f t="shared" si="120"/>
        <v>0</v>
      </c>
      <c r="AA472" s="400">
        <f t="shared" si="120"/>
        <v>0</v>
      </c>
      <c r="AB472" s="400">
        <f t="shared" si="120"/>
        <v>0</v>
      </c>
      <c r="AC472" s="400">
        <f t="shared" si="120"/>
        <v>0</v>
      </c>
      <c r="AD472" s="400">
        <f t="shared" si="120"/>
        <v>0</v>
      </c>
      <c r="AE472" s="400">
        <f t="shared" si="120"/>
        <v>0</v>
      </c>
      <c r="AF472" s="400">
        <f t="shared" si="120"/>
        <v>29000000</v>
      </c>
      <c r="AG472" s="400">
        <f t="shared" si="120"/>
        <v>0</v>
      </c>
      <c r="AH472" s="400">
        <f t="shared" si="120"/>
        <v>0</v>
      </c>
      <c r="AI472" s="400">
        <f t="shared" si="120"/>
        <v>0</v>
      </c>
      <c r="AJ472" s="400">
        <f t="shared" si="120"/>
        <v>0</v>
      </c>
      <c r="AK472" s="400">
        <f>SUM(AK471)</f>
        <v>29000000</v>
      </c>
    </row>
    <row r="473" spans="1:37" s="13" customFormat="1" ht="30" customHeight="1" x14ac:dyDescent="0.2">
      <c r="A473" s="52"/>
      <c r="B473" s="301"/>
      <c r="C473" s="302"/>
      <c r="D473" s="303"/>
      <c r="E473" s="267"/>
      <c r="F473" s="267"/>
      <c r="G473" s="59"/>
      <c r="H473" s="60"/>
      <c r="I473" s="59"/>
      <c r="J473" s="204"/>
      <c r="K473" s="204"/>
      <c r="L473" s="204"/>
      <c r="M473" s="204"/>
      <c r="N473" s="60"/>
      <c r="O473" s="59"/>
      <c r="P473" s="60"/>
      <c r="Q473" s="406">
        <f t="shared" ref="Q473:AJ473" si="121">Q472</f>
        <v>0</v>
      </c>
      <c r="R473" s="406">
        <f t="shared" si="121"/>
        <v>0</v>
      </c>
      <c r="S473" s="406">
        <f t="shared" si="121"/>
        <v>0</v>
      </c>
      <c r="T473" s="406">
        <f t="shared" si="121"/>
        <v>0</v>
      </c>
      <c r="U473" s="406">
        <f t="shared" si="121"/>
        <v>0</v>
      </c>
      <c r="V473" s="406">
        <f t="shared" si="121"/>
        <v>0</v>
      </c>
      <c r="W473" s="406">
        <f t="shared" si="121"/>
        <v>0</v>
      </c>
      <c r="X473" s="406">
        <f t="shared" si="121"/>
        <v>0</v>
      </c>
      <c r="Y473" s="406">
        <f t="shared" si="121"/>
        <v>0</v>
      </c>
      <c r="Z473" s="406">
        <f t="shared" si="121"/>
        <v>0</v>
      </c>
      <c r="AA473" s="406">
        <f t="shared" si="121"/>
        <v>0</v>
      </c>
      <c r="AB473" s="406">
        <f t="shared" si="121"/>
        <v>0</v>
      </c>
      <c r="AC473" s="406">
        <f t="shared" si="121"/>
        <v>0</v>
      </c>
      <c r="AD473" s="406">
        <f t="shared" si="121"/>
        <v>0</v>
      </c>
      <c r="AE473" s="406">
        <f t="shared" si="121"/>
        <v>0</v>
      </c>
      <c r="AF473" s="406">
        <f t="shared" si="121"/>
        <v>29000000</v>
      </c>
      <c r="AG473" s="406">
        <f t="shared" si="121"/>
        <v>0</v>
      </c>
      <c r="AH473" s="406">
        <f t="shared" si="121"/>
        <v>0</v>
      </c>
      <c r="AI473" s="406">
        <f t="shared" si="121"/>
        <v>0</v>
      </c>
      <c r="AJ473" s="406">
        <f t="shared" si="121"/>
        <v>0</v>
      </c>
      <c r="AK473" s="406">
        <f>AK472</f>
        <v>29000000</v>
      </c>
    </row>
    <row r="474" spans="1:37" ht="30" customHeight="1" x14ac:dyDescent="0.2">
      <c r="A474" s="62"/>
      <c r="B474" s="304"/>
      <c r="C474" s="305"/>
      <c r="D474" s="304"/>
      <c r="E474" s="306"/>
      <c r="F474" s="306"/>
      <c r="G474" s="62"/>
      <c r="H474" s="63"/>
      <c r="I474" s="62"/>
      <c r="J474" s="207"/>
      <c r="K474" s="207"/>
      <c r="L474" s="207"/>
      <c r="M474" s="207"/>
      <c r="N474" s="63"/>
      <c r="O474" s="62"/>
      <c r="P474" s="63"/>
      <c r="Q474" s="412">
        <f t="shared" ref="Q474:AJ474" si="122">Q473+Q467+Q447+Q429+Q392</f>
        <v>0</v>
      </c>
      <c r="R474" s="412">
        <f t="shared" si="122"/>
        <v>0</v>
      </c>
      <c r="S474" s="412">
        <f t="shared" si="122"/>
        <v>0</v>
      </c>
      <c r="T474" s="412">
        <f t="shared" si="122"/>
        <v>0</v>
      </c>
      <c r="U474" s="412">
        <f t="shared" si="122"/>
        <v>0</v>
      </c>
      <c r="V474" s="412">
        <f t="shared" si="122"/>
        <v>0</v>
      </c>
      <c r="W474" s="412">
        <f t="shared" si="122"/>
        <v>3571563200</v>
      </c>
      <c r="X474" s="412">
        <f t="shared" si="122"/>
        <v>0</v>
      </c>
      <c r="Y474" s="412">
        <f t="shared" si="122"/>
        <v>0</v>
      </c>
      <c r="Z474" s="412">
        <f t="shared" si="122"/>
        <v>0</v>
      </c>
      <c r="AA474" s="412">
        <f t="shared" si="122"/>
        <v>0</v>
      </c>
      <c r="AB474" s="412">
        <f t="shared" si="122"/>
        <v>146517165276</v>
      </c>
      <c r="AC474" s="412">
        <f t="shared" si="122"/>
        <v>26281000000</v>
      </c>
      <c r="AD474" s="412">
        <f t="shared" si="122"/>
        <v>9535927847</v>
      </c>
      <c r="AE474" s="412">
        <f t="shared" si="122"/>
        <v>0</v>
      </c>
      <c r="AF474" s="412">
        <f t="shared" si="122"/>
        <v>5217556959</v>
      </c>
      <c r="AG474" s="412">
        <f t="shared" si="122"/>
        <v>0</v>
      </c>
      <c r="AH474" s="412">
        <f t="shared" si="122"/>
        <v>79557</v>
      </c>
      <c r="AI474" s="412">
        <f t="shared" si="122"/>
        <v>0</v>
      </c>
      <c r="AJ474" s="412">
        <f t="shared" si="122"/>
        <v>709732517</v>
      </c>
      <c r="AK474" s="412">
        <f>AK473+AK467+AK447+AK429+AK392</f>
        <v>191833025356</v>
      </c>
    </row>
    <row r="475" spans="1:37" ht="30" customHeight="1" x14ac:dyDescent="0.2">
      <c r="A475" s="65"/>
      <c r="B475" s="65"/>
      <c r="C475" s="66"/>
      <c r="D475" s="65"/>
      <c r="E475" s="66"/>
      <c r="F475" s="66"/>
      <c r="G475" s="65"/>
      <c r="H475" s="66"/>
      <c r="I475" s="65"/>
      <c r="J475" s="67"/>
      <c r="K475" s="307"/>
      <c r="L475" s="307"/>
      <c r="M475" s="67"/>
      <c r="N475" s="66"/>
      <c r="O475" s="65"/>
      <c r="P475" s="66"/>
      <c r="Q475" s="413">
        <f t="shared" ref="Q475:AJ475" si="123">+Q474</f>
        <v>0</v>
      </c>
      <c r="R475" s="413">
        <f t="shared" si="123"/>
        <v>0</v>
      </c>
      <c r="S475" s="413">
        <f t="shared" si="123"/>
        <v>0</v>
      </c>
      <c r="T475" s="413">
        <f t="shared" si="123"/>
        <v>0</v>
      </c>
      <c r="U475" s="413">
        <f t="shared" si="123"/>
        <v>0</v>
      </c>
      <c r="V475" s="413">
        <f t="shared" si="123"/>
        <v>0</v>
      </c>
      <c r="W475" s="413">
        <f t="shared" si="123"/>
        <v>3571563200</v>
      </c>
      <c r="X475" s="413">
        <f t="shared" si="123"/>
        <v>0</v>
      </c>
      <c r="Y475" s="413">
        <f t="shared" si="123"/>
        <v>0</v>
      </c>
      <c r="Z475" s="413">
        <f t="shared" si="123"/>
        <v>0</v>
      </c>
      <c r="AA475" s="413">
        <f t="shared" si="123"/>
        <v>0</v>
      </c>
      <c r="AB475" s="413">
        <f t="shared" si="123"/>
        <v>146517165276</v>
      </c>
      <c r="AC475" s="413">
        <f t="shared" si="123"/>
        <v>26281000000</v>
      </c>
      <c r="AD475" s="413">
        <f t="shared" si="123"/>
        <v>9535927847</v>
      </c>
      <c r="AE475" s="413">
        <f t="shared" si="123"/>
        <v>0</v>
      </c>
      <c r="AF475" s="413">
        <f t="shared" si="123"/>
        <v>5217556959</v>
      </c>
      <c r="AG475" s="413">
        <f t="shared" si="123"/>
        <v>0</v>
      </c>
      <c r="AH475" s="413">
        <f t="shared" si="123"/>
        <v>79557</v>
      </c>
      <c r="AI475" s="413">
        <f t="shared" si="123"/>
        <v>0</v>
      </c>
      <c r="AJ475" s="413">
        <f t="shared" si="123"/>
        <v>709732517</v>
      </c>
      <c r="AK475" s="413">
        <f>+AK474</f>
        <v>191833025356</v>
      </c>
    </row>
    <row r="476" spans="1:37" ht="30" customHeight="1" x14ac:dyDescent="0.2">
      <c r="A476" s="68"/>
      <c r="B476" s="69"/>
      <c r="C476" s="146"/>
      <c r="D476" s="69"/>
      <c r="E476" s="146"/>
      <c r="F476" s="146"/>
      <c r="G476" s="69"/>
      <c r="H476" s="146"/>
      <c r="I476" s="69"/>
      <c r="J476" s="70"/>
      <c r="K476" s="193"/>
      <c r="L476" s="193"/>
      <c r="M476" s="70"/>
      <c r="N476" s="146"/>
      <c r="O476" s="69"/>
      <c r="P476" s="146"/>
      <c r="Q476" s="395"/>
      <c r="R476" s="396"/>
      <c r="S476" s="395"/>
      <c r="T476" s="395"/>
      <c r="U476" s="395"/>
      <c r="V476" s="395"/>
      <c r="W476" s="395"/>
      <c r="X476" s="395"/>
      <c r="Y476" s="395"/>
      <c r="Z476" s="395"/>
      <c r="AA476" s="395"/>
      <c r="AB476" s="396"/>
      <c r="AC476" s="396"/>
      <c r="AD476" s="395"/>
      <c r="AE476" s="395"/>
      <c r="AF476" s="478"/>
      <c r="AG476" s="398"/>
      <c r="AH476" s="395"/>
      <c r="AI476" s="395"/>
      <c r="AJ476" s="395"/>
      <c r="AK476" s="399"/>
    </row>
    <row r="477" spans="1:37" ht="30" customHeight="1" x14ac:dyDescent="0.2">
      <c r="A477" s="28" t="s">
        <v>609</v>
      </c>
      <c r="B477" s="29"/>
      <c r="C477" s="30"/>
      <c r="D477" s="29"/>
      <c r="E477" s="29"/>
      <c r="F477" s="29"/>
      <c r="G477" s="29"/>
      <c r="H477" s="30"/>
      <c r="I477" s="29"/>
      <c r="J477" s="29"/>
      <c r="K477" s="213"/>
      <c r="L477" s="213"/>
      <c r="M477" s="29"/>
      <c r="N477" s="30"/>
      <c r="O477" s="29"/>
      <c r="P477" s="30"/>
      <c r="Q477" s="459"/>
      <c r="R477" s="459"/>
      <c r="S477" s="459"/>
      <c r="T477" s="459"/>
      <c r="U477" s="459"/>
      <c r="V477" s="459"/>
      <c r="W477" s="459"/>
      <c r="X477" s="459"/>
      <c r="Y477" s="459"/>
      <c r="Z477" s="459"/>
      <c r="AA477" s="459"/>
      <c r="AB477" s="459"/>
      <c r="AC477" s="459"/>
      <c r="AD477" s="459"/>
      <c r="AE477" s="459"/>
      <c r="AF477" s="460"/>
      <c r="AG477" s="461"/>
      <c r="AH477" s="459"/>
      <c r="AI477" s="459"/>
      <c r="AJ477" s="459"/>
      <c r="AK477" s="462" t="s">
        <v>63</v>
      </c>
    </row>
    <row r="478" spans="1:37" ht="30" customHeight="1" x14ac:dyDescent="0.2">
      <c r="A478" s="738">
        <v>3</v>
      </c>
      <c r="B478" s="31" t="s">
        <v>264</v>
      </c>
      <c r="C478" s="32"/>
      <c r="D478" s="31"/>
      <c r="E478" s="31"/>
      <c r="F478" s="31"/>
      <c r="G478" s="31"/>
      <c r="H478" s="32"/>
      <c r="I478" s="31"/>
      <c r="J478" s="31"/>
      <c r="K478" s="214"/>
      <c r="L478" s="214"/>
      <c r="M478" s="31"/>
      <c r="N478" s="32"/>
      <c r="O478" s="31"/>
      <c r="P478" s="31"/>
      <c r="Q478" s="421"/>
      <c r="R478" s="421"/>
      <c r="S478" s="421"/>
      <c r="T478" s="421"/>
      <c r="U478" s="421"/>
      <c r="V478" s="421"/>
      <c r="W478" s="421"/>
      <c r="X478" s="421"/>
      <c r="Y478" s="421"/>
      <c r="Z478" s="421"/>
      <c r="AA478" s="421"/>
      <c r="AB478" s="421"/>
      <c r="AC478" s="421"/>
      <c r="AD478" s="421"/>
      <c r="AE478" s="421"/>
      <c r="AF478" s="422"/>
      <c r="AG478" s="421"/>
      <c r="AH478" s="421"/>
      <c r="AI478" s="421"/>
      <c r="AJ478" s="421"/>
      <c r="AK478" s="423"/>
    </row>
    <row r="479" spans="1:37" ht="30" customHeight="1" x14ac:dyDescent="0.2">
      <c r="A479" s="73"/>
      <c r="B479" s="121">
        <v>16</v>
      </c>
      <c r="C479" s="35" t="s">
        <v>600</v>
      </c>
      <c r="D479" s="36"/>
      <c r="E479" s="36"/>
      <c r="F479" s="36"/>
      <c r="G479" s="36"/>
      <c r="H479" s="37"/>
      <c r="I479" s="36"/>
      <c r="J479" s="36"/>
      <c r="K479" s="197"/>
      <c r="L479" s="197"/>
      <c r="M479" s="36"/>
      <c r="N479" s="37"/>
      <c r="O479" s="36"/>
      <c r="P479" s="36"/>
      <c r="Q479" s="402"/>
      <c r="R479" s="402"/>
      <c r="S479" s="402"/>
      <c r="T479" s="402"/>
      <c r="U479" s="402"/>
      <c r="V479" s="402"/>
      <c r="W479" s="402"/>
      <c r="X479" s="402"/>
      <c r="Y479" s="402"/>
      <c r="Z479" s="402"/>
      <c r="AA479" s="402"/>
      <c r="AB479" s="402"/>
      <c r="AC479" s="402"/>
      <c r="AD479" s="402"/>
      <c r="AE479" s="402"/>
      <c r="AF479" s="403"/>
      <c r="AG479" s="402"/>
      <c r="AH479" s="402"/>
      <c r="AI479" s="402"/>
      <c r="AJ479" s="402"/>
      <c r="AK479" s="407"/>
    </row>
    <row r="480" spans="1:37" ht="30" customHeight="1" x14ac:dyDescent="0.2">
      <c r="A480" s="39"/>
      <c r="B480" s="73"/>
      <c r="C480" s="661"/>
      <c r="D480" s="655"/>
      <c r="E480" s="661"/>
      <c r="F480" s="661"/>
      <c r="G480" s="215">
        <v>56</v>
      </c>
      <c r="H480" s="77" t="s">
        <v>610</v>
      </c>
      <c r="I480" s="77"/>
      <c r="J480" s="77"/>
      <c r="K480" s="149"/>
      <c r="L480" s="149"/>
      <c r="M480" s="77"/>
      <c r="N480" s="169"/>
      <c r="O480" s="77"/>
      <c r="P480" s="77"/>
      <c r="Q480" s="263"/>
      <c r="R480" s="263"/>
      <c r="S480" s="263"/>
      <c r="T480" s="263"/>
      <c r="U480" s="263"/>
      <c r="V480" s="263"/>
      <c r="W480" s="263"/>
      <c r="X480" s="263"/>
      <c r="Y480" s="263"/>
      <c r="Z480" s="263"/>
      <c r="AA480" s="263"/>
      <c r="AB480" s="263"/>
      <c r="AC480" s="263"/>
      <c r="AD480" s="263"/>
      <c r="AE480" s="263"/>
      <c r="AF480" s="404"/>
      <c r="AG480" s="263"/>
      <c r="AH480" s="263"/>
      <c r="AI480" s="263"/>
      <c r="AJ480" s="263"/>
      <c r="AK480" s="265"/>
    </row>
    <row r="481" spans="1:37" ht="77.25" customHeight="1" x14ac:dyDescent="0.2">
      <c r="A481" s="39"/>
      <c r="B481" s="39"/>
      <c r="C481" s="825" t="s">
        <v>611</v>
      </c>
      <c r="D481" s="826" t="s">
        <v>603</v>
      </c>
      <c r="E481" s="792" t="s">
        <v>612</v>
      </c>
      <c r="F481" s="792" t="s">
        <v>613</v>
      </c>
      <c r="G481" s="40"/>
      <c r="H481" s="54">
        <v>180</v>
      </c>
      <c r="I481" s="679" t="s">
        <v>614</v>
      </c>
      <c r="J481" s="54">
        <v>0</v>
      </c>
      <c r="K481" s="165">
        <v>1</v>
      </c>
      <c r="L481" s="784">
        <v>201700360031</v>
      </c>
      <c r="M481" s="777" t="s">
        <v>615</v>
      </c>
      <c r="N481" s="774" t="s">
        <v>616</v>
      </c>
      <c r="O481" s="777" t="s">
        <v>617</v>
      </c>
      <c r="P481" s="54" t="s">
        <v>46</v>
      </c>
      <c r="Q481" s="391">
        <v>0</v>
      </c>
      <c r="R481" s="391">
        <v>0</v>
      </c>
      <c r="S481" s="391">
        <v>0</v>
      </c>
      <c r="T481" s="391">
        <v>0</v>
      </c>
      <c r="U481" s="391">
        <v>0</v>
      </c>
      <c r="V481" s="391">
        <v>0</v>
      </c>
      <c r="W481" s="391">
        <v>0</v>
      </c>
      <c r="X481" s="391"/>
      <c r="Y481" s="391"/>
      <c r="Z481" s="391">
        <v>0</v>
      </c>
      <c r="AA481" s="391">
        <v>0</v>
      </c>
      <c r="AB481" s="391"/>
      <c r="AC481" s="391"/>
      <c r="AD481" s="391">
        <v>0</v>
      </c>
      <c r="AE481" s="391">
        <v>0</v>
      </c>
      <c r="AF481" s="394">
        <f>34000000+11000000</f>
        <v>45000000</v>
      </c>
      <c r="AG481" s="394"/>
      <c r="AH481" s="391">
        <v>0</v>
      </c>
      <c r="AI481" s="393"/>
      <c r="AJ481" s="393"/>
      <c r="AK481" s="391">
        <f>Q481+R481+S481+T481+U481+V481+W481+X481+Y481+Z481+AA481+AB481+AC481+AD481+AE481+AF481+AG481+AH481+AI481+AJ481</f>
        <v>45000000</v>
      </c>
    </row>
    <row r="482" spans="1:37" ht="77.25" customHeight="1" x14ac:dyDescent="0.2">
      <c r="A482" s="39"/>
      <c r="B482" s="39"/>
      <c r="C482" s="825"/>
      <c r="D482" s="826"/>
      <c r="E482" s="792"/>
      <c r="F482" s="792"/>
      <c r="G482" s="90"/>
      <c r="H482" s="54">
        <v>181</v>
      </c>
      <c r="I482" s="679" t="s">
        <v>618</v>
      </c>
      <c r="J482" s="54">
        <v>6</v>
      </c>
      <c r="K482" s="165">
        <v>6</v>
      </c>
      <c r="L482" s="786"/>
      <c r="M482" s="779"/>
      <c r="N482" s="776"/>
      <c r="O482" s="779"/>
      <c r="P482" s="54" t="s">
        <v>46</v>
      </c>
      <c r="Q482" s="391">
        <v>0</v>
      </c>
      <c r="R482" s="391">
        <v>0</v>
      </c>
      <c r="S482" s="391">
        <v>0</v>
      </c>
      <c r="T482" s="391">
        <v>0</v>
      </c>
      <c r="U482" s="391">
        <v>0</v>
      </c>
      <c r="V482" s="391">
        <v>0</v>
      </c>
      <c r="W482" s="391">
        <v>0</v>
      </c>
      <c r="X482" s="391"/>
      <c r="Y482" s="391"/>
      <c r="Z482" s="391">
        <v>0</v>
      </c>
      <c r="AA482" s="391">
        <v>0</v>
      </c>
      <c r="AB482" s="391"/>
      <c r="AC482" s="391"/>
      <c r="AD482" s="391">
        <v>0</v>
      </c>
      <c r="AE482" s="391">
        <v>0</v>
      </c>
      <c r="AF482" s="394">
        <f>12500000+2500000</f>
        <v>15000000</v>
      </c>
      <c r="AG482" s="394"/>
      <c r="AH482" s="391">
        <v>0</v>
      </c>
      <c r="AI482" s="393"/>
      <c r="AJ482" s="393"/>
      <c r="AK482" s="391">
        <f>Q482+R482+S482+T482+U482+V482+W482+X482+Y482+Z482+AA482+AB482+AC482+AD482+AE482+AF482+AG482+AH482+AI482+AJ482</f>
        <v>15000000</v>
      </c>
    </row>
    <row r="483" spans="1:37" ht="30" customHeight="1" x14ac:dyDescent="0.2">
      <c r="A483" s="39"/>
      <c r="B483" s="52"/>
      <c r="C483" s="530"/>
      <c r="D483" s="657"/>
      <c r="E483" s="662"/>
      <c r="F483" s="662"/>
      <c r="G483" s="55"/>
      <c r="H483" s="56"/>
      <c r="I483" s="55"/>
      <c r="J483" s="56"/>
      <c r="K483" s="187"/>
      <c r="L483" s="187"/>
      <c r="M483" s="56"/>
      <c r="N483" s="56"/>
      <c r="O483" s="55"/>
      <c r="P483" s="56"/>
      <c r="Q483" s="400">
        <f t="shared" ref="Q483:AJ483" si="124">SUM(Q481:Q482)</f>
        <v>0</v>
      </c>
      <c r="R483" s="400">
        <f t="shared" si="124"/>
        <v>0</v>
      </c>
      <c r="S483" s="400">
        <f t="shared" si="124"/>
        <v>0</v>
      </c>
      <c r="T483" s="400">
        <f t="shared" si="124"/>
        <v>0</v>
      </c>
      <c r="U483" s="400">
        <f t="shared" si="124"/>
        <v>0</v>
      </c>
      <c r="V483" s="400">
        <f t="shared" si="124"/>
        <v>0</v>
      </c>
      <c r="W483" s="400">
        <f t="shared" si="124"/>
        <v>0</v>
      </c>
      <c r="X483" s="400">
        <f t="shared" si="124"/>
        <v>0</v>
      </c>
      <c r="Y483" s="400">
        <f t="shared" si="124"/>
        <v>0</v>
      </c>
      <c r="Z483" s="400">
        <f t="shared" si="124"/>
        <v>0</v>
      </c>
      <c r="AA483" s="400">
        <f t="shared" si="124"/>
        <v>0</v>
      </c>
      <c r="AB483" s="400">
        <f t="shared" si="124"/>
        <v>0</v>
      </c>
      <c r="AC483" s="400">
        <f t="shared" si="124"/>
        <v>0</v>
      </c>
      <c r="AD483" s="400">
        <f t="shared" si="124"/>
        <v>0</v>
      </c>
      <c r="AE483" s="400">
        <f t="shared" si="124"/>
        <v>0</v>
      </c>
      <c r="AF483" s="400">
        <f t="shared" si="124"/>
        <v>60000000</v>
      </c>
      <c r="AG483" s="400">
        <f t="shared" si="124"/>
        <v>0</v>
      </c>
      <c r="AH483" s="400">
        <f t="shared" si="124"/>
        <v>0</v>
      </c>
      <c r="AI483" s="400">
        <f t="shared" si="124"/>
        <v>0</v>
      </c>
      <c r="AJ483" s="400">
        <f t="shared" si="124"/>
        <v>0</v>
      </c>
      <c r="AK483" s="400">
        <f t="shared" ref="AK483" si="125">SUM(AK481:AK482)</f>
        <v>60000000</v>
      </c>
    </row>
    <row r="484" spans="1:37" ht="30" customHeight="1" x14ac:dyDescent="0.2">
      <c r="A484" s="39"/>
      <c r="B484" s="301"/>
      <c r="C484" s="302"/>
      <c r="D484" s="59"/>
      <c r="E484" s="60"/>
      <c r="F484" s="60"/>
      <c r="G484" s="59"/>
      <c r="H484" s="60"/>
      <c r="I484" s="59"/>
      <c r="J484" s="60"/>
      <c r="K484" s="204"/>
      <c r="L484" s="204"/>
      <c r="M484" s="60"/>
      <c r="N484" s="60"/>
      <c r="O484" s="59"/>
      <c r="P484" s="60"/>
      <c r="Q484" s="406">
        <f t="shared" ref="Q484:AK484" si="126">Q483</f>
        <v>0</v>
      </c>
      <c r="R484" s="406">
        <f t="shared" si="126"/>
        <v>0</v>
      </c>
      <c r="S484" s="406">
        <f t="shared" si="126"/>
        <v>0</v>
      </c>
      <c r="T484" s="406">
        <f t="shared" si="126"/>
        <v>0</v>
      </c>
      <c r="U484" s="406">
        <f t="shared" si="126"/>
        <v>0</v>
      </c>
      <c r="V484" s="406">
        <f t="shared" si="126"/>
        <v>0</v>
      </c>
      <c r="W484" s="406">
        <f t="shared" si="126"/>
        <v>0</v>
      </c>
      <c r="X484" s="406">
        <f t="shared" si="126"/>
        <v>0</v>
      </c>
      <c r="Y484" s="406">
        <f t="shared" si="126"/>
        <v>0</v>
      </c>
      <c r="Z484" s="406">
        <f t="shared" si="126"/>
        <v>0</v>
      </c>
      <c r="AA484" s="406">
        <f t="shared" si="126"/>
        <v>0</v>
      </c>
      <c r="AB484" s="406">
        <f t="shared" si="126"/>
        <v>0</v>
      </c>
      <c r="AC484" s="406">
        <f t="shared" si="126"/>
        <v>0</v>
      </c>
      <c r="AD484" s="406">
        <f t="shared" si="126"/>
        <v>0</v>
      </c>
      <c r="AE484" s="406">
        <f t="shared" si="126"/>
        <v>0</v>
      </c>
      <c r="AF484" s="406">
        <f t="shared" si="126"/>
        <v>60000000</v>
      </c>
      <c r="AG484" s="406">
        <f t="shared" si="126"/>
        <v>0</v>
      </c>
      <c r="AH484" s="406">
        <f t="shared" si="126"/>
        <v>0</v>
      </c>
      <c r="AI484" s="406">
        <f t="shared" si="126"/>
        <v>0</v>
      </c>
      <c r="AJ484" s="406">
        <f t="shared" si="126"/>
        <v>0</v>
      </c>
      <c r="AK484" s="406">
        <f t="shared" si="126"/>
        <v>60000000</v>
      </c>
    </row>
    <row r="485" spans="1:37" ht="30" customHeight="1" x14ac:dyDescent="0.2">
      <c r="A485" s="39"/>
      <c r="B485" s="308"/>
      <c r="C485" s="309"/>
      <c r="D485" s="69"/>
      <c r="E485" s="146"/>
      <c r="F485" s="146"/>
      <c r="G485" s="69"/>
      <c r="H485" s="146"/>
      <c r="I485" s="69"/>
      <c r="J485" s="146"/>
      <c r="K485" s="191"/>
      <c r="L485" s="191"/>
      <c r="M485" s="146"/>
      <c r="N485" s="146"/>
      <c r="O485" s="69"/>
      <c r="P485" s="146"/>
      <c r="Q485" s="395"/>
      <c r="R485" s="395"/>
      <c r="S485" s="395"/>
      <c r="T485" s="395"/>
      <c r="U485" s="395"/>
      <c r="V485" s="395"/>
      <c r="W485" s="395"/>
      <c r="X485" s="395"/>
      <c r="Y485" s="395"/>
      <c r="Z485" s="395"/>
      <c r="AA485" s="395"/>
      <c r="AB485" s="396"/>
      <c r="AC485" s="396"/>
      <c r="AD485" s="395"/>
      <c r="AE485" s="395"/>
      <c r="AF485" s="397" t="s">
        <v>63</v>
      </c>
      <c r="AG485" s="398"/>
      <c r="AH485" s="395"/>
      <c r="AI485" s="395"/>
      <c r="AJ485" s="395"/>
      <c r="AK485" s="399"/>
    </row>
    <row r="486" spans="1:37" ht="30" customHeight="1" x14ac:dyDescent="0.2">
      <c r="A486" s="39"/>
      <c r="B486" s="121">
        <v>17</v>
      </c>
      <c r="C486" s="37" t="s">
        <v>619</v>
      </c>
      <c r="D486" s="36"/>
      <c r="E486" s="36"/>
      <c r="F486" s="36"/>
      <c r="G486" s="36"/>
      <c r="H486" s="37"/>
      <c r="I486" s="36"/>
      <c r="J486" s="36"/>
      <c r="K486" s="197"/>
      <c r="L486" s="197"/>
      <c r="M486" s="36"/>
      <c r="N486" s="37"/>
      <c r="O486" s="36"/>
      <c r="P486" s="36"/>
      <c r="Q486" s="402"/>
      <c r="R486" s="402"/>
      <c r="S486" s="402"/>
      <c r="T486" s="402"/>
      <c r="U486" s="402"/>
      <c r="V486" s="402"/>
      <c r="W486" s="402"/>
      <c r="X486" s="402"/>
      <c r="Y486" s="402"/>
      <c r="Z486" s="402"/>
      <c r="AA486" s="402"/>
      <c r="AB486" s="402"/>
      <c r="AC486" s="402"/>
      <c r="AD486" s="402"/>
      <c r="AE486" s="402"/>
      <c r="AF486" s="403"/>
      <c r="AG486" s="402"/>
      <c r="AH486" s="402"/>
      <c r="AI486" s="402"/>
      <c r="AJ486" s="402"/>
      <c r="AK486" s="407"/>
    </row>
    <row r="487" spans="1:37" ht="30" customHeight="1" x14ac:dyDescent="0.2">
      <c r="A487" s="39"/>
      <c r="B487" s="310"/>
      <c r="C487" s="531"/>
      <c r="D487" s="655"/>
      <c r="E487" s="661"/>
      <c r="F487" s="661"/>
      <c r="G487" s="215">
        <v>58</v>
      </c>
      <c r="H487" s="77" t="s">
        <v>620</v>
      </c>
      <c r="I487" s="77"/>
      <c r="J487" s="77"/>
      <c r="K487" s="149"/>
      <c r="L487" s="149"/>
      <c r="M487" s="77"/>
      <c r="N487" s="169"/>
      <c r="O487" s="77"/>
      <c r="P487" s="77"/>
      <c r="Q487" s="263"/>
      <c r="R487" s="263"/>
      <c r="S487" s="263"/>
      <c r="T487" s="263"/>
      <c r="U487" s="263"/>
      <c r="V487" s="263"/>
      <c r="W487" s="263"/>
      <c r="X487" s="263"/>
      <c r="Y487" s="263"/>
      <c r="Z487" s="263"/>
      <c r="AA487" s="263"/>
      <c r="AB487" s="263"/>
      <c r="AC487" s="263"/>
      <c r="AD487" s="263"/>
      <c r="AE487" s="263"/>
      <c r="AF487" s="404"/>
      <c r="AG487" s="263"/>
      <c r="AH487" s="263"/>
      <c r="AI487" s="263"/>
      <c r="AJ487" s="263"/>
      <c r="AK487" s="265"/>
    </row>
    <row r="488" spans="1:37" ht="71.25" customHeight="1" x14ac:dyDescent="0.2">
      <c r="A488" s="39"/>
      <c r="B488" s="311"/>
      <c r="C488" s="650">
        <v>22</v>
      </c>
      <c r="D488" s="656" t="s">
        <v>621</v>
      </c>
      <c r="E488" s="650" t="s">
        <v>622</v>
      </c>
      <c r="F488" s="650" t="s">
        <v>623</v>
      </c>
      <c r="G488" s="40"/>
      <c r="H488" s="54">
        <v>183</v>
      </c>
      <c r="I488" s="679" t="s">
        <v>624</v>
      </c>
      <c r="J488" s="41">
        <v>0</v>
      </c>
      <c r="K488" s="186">
        <v>1</v>
      </c>
      <c r="L488" s="43">
        <v>201700360055</v>
      </c>
      <c r="M488" s="44" t="s">
        <v>615</v>
      </c>
      <c r="N488" s="54" t="s">
        <v>625</v>
      </c>
      <c r="O488" s="679" t="s">
        <v>991</v>
      </c>
      <c r="P488" s="54" t="s">
        <v>46</v>
      </c>
      <c r="Q488" s="391"/>
      <c r="R488" s="391"/>
      <c r="S488" s="391"/>
      <c r="T488" s="391"/>
      <c r="U488" s="391"/>
      <c r="V488" s="391"/>
      <c r="W488" s="391"/>
      <c r="X488" s="391"/>
      <c r="Y488" s="391"/>
      <c r="Z488" s="391"/>
      <c r="AA488" s="391"/>
      <c r="AB488" s="391"/>
      <c r="AC488" s="391"/>
      <c r="AD488" s="391"/>
      <c r="AE488" s="391"/>
      <c r="AF488" s="392">
        <f>129000000+51000000</f>
        <v>180000000</v>
      </c>
      <c r="AG488" s="392"/>
      <c r="AH488" s="391"/>
      <c r="AI488" s="393"/>
      <c r="AJ488" s="393"/>
      <c r="AK488" s="391">
        <f>Q488+R488+S488+T488+U488+V488+W488+X488+Y488+Z488+AA488+AB488+AC488+AD488+AE488+AF488+AG488+AH488+AI488+AJ488</f>
        <v>180000000</v>
      </c>
    </row>
    <row r="489" spans="1:37" ht="30" customHeight="1" x14ac:dyDescent="0.2">
      <c r="A489" s="39"/>
      <c r="B489" s="312"/>
      <c r="C489" s="532"/>
      <c r="D489" s="657"/>
      <c r="E489" s="662"/>
      <c r="F489" s="662"/>
      <c r="G489" s="55"/>
      <c r="H489" s="56"/>
      <c r="I489" s="55"/>
      <c r="J489" s="57"/>
      <c r="K489" s="192"/>
      <c r="L489" s="192"/>
      <c r="M489" s="57"/>
      <c r="N489" s="56"/>
      <c r="O489" s="55"/>
      <c r="P489" s="56"/>
      <c r="Q489" s="400">
        <f t="shared" ref="Q489:AK489" si="127">SUM(Q488:Q488)</f>
        <v>0</v>
      </c>
      <c r="R489" s="400">
        <f t="shared" si="127"/>
        <v>0</v>
      </c>
      <c r="S489" s="400">
        <f t="shared" si="127"/>
        <v>0</v>
      </c>
      <c r="T489" s="400">
        <f t="shared" si="127"/>
        <v>0</v>
      </c>
      <c r="U489" s="400">
        <f t="shared" si="127"/>
        <v>0</v>
      </c>
      <c r="V489" s="400">
        <f t="shared" si="127"/>
        <v>0</v>
      </c>
      <c r="W489" s="400">
        <f t="shared" si="127"/>
        <v>0</v>
      </c>
      <c r="X489" s="400">
        <f t="shared" si="127"/>
        <v>0</v>
      </c>
      <c r="Y489" s="400">
        <f t="shared" si="127"/>
        <v>0</v>
      </c>
      <c r="Z489" s="400">
        <f t="shared" si="127"/>
        <v>0</v>
      </c>
      <c r="AA489" s="400">
        <f t="shared" si="127"/>
        <v>0</v>
      </c>
      <c r="AB489" s="400">
        <f t="shared" si="127"/>
        <v>0</v>
      </c>
      <c r="AC489" s="400">
        <f t="shared" si="127"/>
        <v>0</v>
      </c>
      <c r="AD489" s="400">
        <f t="shared" si="127"/>
        <v>0</v>
      </c>
      <c r="AE489" s="400">
        <f t="shared" si="127"/>
        <v>0</v>
      </c>
      <c r="AF489" s="400">
        <f t="shared" si="127"/>
        <v>180000000</v>
      </c>
      <c r="AG489" s="400">
        <f t="shared" si="127"/>
        <v>0</v>
      </c>
      <c r="AH489" s="400">
        <f t="shared" si="127"/>
        <v>0</v>
      </c>
      <c r="AI489" s="400">
        <f t="shared" si="127"/>
        <v>0</v>
      </c>
      <c r="AJ489" s="400">
        <f t="shared" si="127"/>
        <v>0</v>
      </c>
      <c r="AK489" s="400">
        <f t="shared" si="127"/>
        <v>180000000</v>
      </c>
    </row>
    <row r="490" spans="1:37" ht="30" customHeight="1" x14ac:dyDescent="0.2">
      <c r="A490" s="39"/>
      <c r="B490" s="312"/>
      <c r="C490" s="697"/>
      <c r="D490" s="698"/>
      <c r="E490" s="697"/>
      <c r="F490" s="697"/>
      <c r="G490" s="698"/>
      <c r="H490" s="697"/>
      <c r="I490" s="698"/>
      <c r="J490" s="699"/>
      <c r="K490" s="752"/>
      <c r="L490" s="752"/>
      <c r="M490" s="699"/>
      <c r="N490" s="697"/>
      <c r="O490" s="698"/>
      <c r="P490" s="697"/>
      <c r="Q490" s="742"/>
      <c r="R490" s="742"/>
      <c r="S490" s="742"/>
      <c r="T490" s="742"/>
      <c r="U490" s="742"/>
      <c r="V490" s="742"/>
      <c r="W490" s="742"/>
      <c r="X490" s="742"/>
      <c r="Y490" s="742"/>
      <c r="Z490" s="742"/>
      <c r="AA490" s="742"/>
      <c r="AB490" s="742"/>
      <c r="AC490" s="742"/>
      <c r="AD490" s="742"/>
      <c r="AE490" s="742"/>
      <c r="AF490" s="397" t="s">
        <v>63</v>
      </c>
      <c r="AG490" s="745"/>
      <c r="AH490" s="742"/>
      <c r="AI490" s="742"/>
      <c r="AJ490" s="742"/>
      <c r="AK490" s="593"/>
    </row>
    <row r="491" spans="1:37" ht="30" customHeight="1" x14ac:dyDescent="0.2">
      <c r="A491" s="39"/>
      <c r="B491" s="312"/>
      <c r="C491" s="533"/>
      <c r="D491" s="655"/>
      <c r="E491" s="661"/>
      <c r="F491" s="661"/>
      <c r="G491" s="75">
        <v>59</v>
      </c>
      <c r="H491" s="76" t="s">
        <v>627</v>
      </c>
      <c r="I491" s="76"/>
      <c r="J491" s="76"/>
      <c r="K491" s="314"/>
      <c r="L491" s="314"/>
      <c r="M491" s="76"/>
      <c r="N491" s="169"/>
      <c r="O491" s="76"/>
      <c r="P491" s="76"/>
      <c r="Q491" s="491"/>
      <c r="R491" s="491"/>
      <c r="S491" s="263"/>
      <c r="T491" s="263"/>
      <c r="U491" s="263"/>
      <c r="V491" s="263"/>
      <c r="W491" s="263"/>
      <c r="X491" s="263"/>
      <c r="Y491" s="263"/>
      <c r="Z491" s="263"/>
      <c r="AA491" s="263"/>
      <c r="AB491" s="263"/>
      <c r="AC491" s="263"/>
      <c r="AD491" s="263"/>
      <c r="AE491" s="263"/>
      <c r="AF491" s="404"/>
      <c r="AG491" s="263"/>
      <c r="AH491" s="263"/>
      <c r="AI491" s="263"/>
      <c r="AJ491" s="263"/>
      <c r="AK491" s="265"/>
    </row>
    <row r="492" spans="1:37" ht="56.25" customHeight="1" x14ac:dyDescent="0.2">
      <c r="A492" s="39"/>
      <c r="B492" s="311"/>
      <c r="C492" s="775" t="s">
        <v>628</v>
      </c>
      <c r="D492" s="778" t="s">
        <v>629</v>
      </c>
      <c r="E492" s="775" t="s">
        <v>630</v>
      </c>
      <c r="F492" s="775" t="s">
        <v>631</v>
      </c>
      <c r="G492" s="46"/>
      <c r="H492" s="54">
        <v>184</v>
      </c>
      <c r="I492" s="679" t="s">
        <v>632</v>
      </c>
      <c r="J492" s="41">
        <v>1</v>
      </c>
      <c r="K492" s="186">
        <v>1</v>
      </c>
      <c r="L492" s="784">
        <v>201700360050</v>
      </c>
      <c r="M492" s="780" t="s">
        <v>615</v>
      </c>
      <c r="N492" s="774" t="s">
        <v>633</v>
      </c>
      <c r="O492" s="777" t="s">
        <v>992</v>
      </c>
      <c r="P492" s="165" t="s">
        <v>46</v>
      </c>
      <c r="Q492" s="391"/>
      <c r="R492" s="391"/>
      <c r="S492" s="391"/>
      <c r="T492" s="391"/>
      <c r="U492" s="391"/>
      <c r="V492" s="391"/>
      <c r="W492" s="391"/>
      <c r="X492" s="391"/>
      <c r="Y492" s="391"/>
      <c r="Z492" s="391"/>
      <c r="AA492" s="391"/>
      <c r="AB492" s="391"/>
      <c r="AC492" s="391"/>
      <c r="AD492" s="391"/>
      <c r="AE492" s="391"/>
      <c r="AF492" s="394">
        <f>90000000+350000000</f>
        <v>440000000</v>
      </c>
      <c r="AG492" s="394"/>
      <c r="AH492" s="391"/>
      <c r="AI492" s="393"/>
      <c r="AJ492" s="393"/>
      <c r="AK492" s="391">
        <f>Q492+R492+S492+T492+U492+V492+W492+X492+Y492+Z492+AA492+AB492+AC492+AD492+AE492+AF492+AG492+AH492+AI492+AJ492</f>
        <v>440000000</v>
      </c>
    </row>
    <row r="493" spans="1:37" ht="56.25" customHeight="1" x14ac:dyDescent="0.2">
      <c r="A493" s="39"/>
      <c r="B493" s="311"/>
      <c r="C493" s="775"/>
      <c r="D493" s="778"/>
      <c r="E493" s="775"/>
      <c r="F493" s="775"/>
      <c r="G493" s="46"/>
      <c r="H493" s="54">
        <v>185</v>
      </c>
      <c r="I493" s="679" t="s">
        <v>635</v>
      </c>
      <c r="J493" s="41" t="s">
        <v>37</v>
      </c>
      <c r="K493" s="186">
        <v>1</v>
      </c>
      <c r="L493" s="785"/>
      <c r="M493" s="781"/>
      <c r="N493" s="775"/>
      <c r="O493" s="778"/>
      <c r="P493" s="54" t="s">
        <v>46</v>
      </c>
      <c r="Q493" s="391">
        <v>0</v>
      </c>
      <c r="R493" s="391">
        <v>0</v>
      </c>
      <c r="S493" s="391">
        <v>0</v>
      </c>
      <c r="T493" s="391">
        <v>0</v>
      </c>
      <c r="U493" s="391">
        <v>0</v>
      </c>
      <c r="V493" s="391">
        <v>0</v>
      </c>
      <c r="W493" s="391">
        <v>0</v>
      </c>
      <c r="X493" s="391"/>
      <c r="Y493" s="391"/>
      <c r="Z493" s="391">
        <v>0</v>
      </c>
      <c r="AA493" s="391">
        <v>0</v>
      </c>
      <c r="AB493" s="391"/>
      <c r="AC493" s="391"/>
      <c r="AD493" s="391">
        <v>0</v>
      </c>
      <c r="AE493" s="391">
        <v>0</v>
      </c>
      <c r="AF493" s="394">
        <f>16500000+23500000</f>
        <v>40000000</v>
      </c>
      <c r="AG493" s="394"/>
      <c r="AH493" s="391">
        <v>0</v>
      </c>
      <c r="AI493" s="393"/>
      <c r="AJ493" s="393"/>
      <c r="AK493" s="391">
        <f>Q493+R493+S493+T493+U493+V493+W493+X493+Y493+Z493+AA493+AB493+AC493+AD493+AE493+AF493+AG493+AH493+AI493+AJ493</f>
        <v>40000000</v>
      </c>
    </row>
    <row r="494" spans="1:37" ht="71.25" customHeight="1" x14ac:dyDescent="0.2">
      <c r="A494" s="39"/>
      <c r="B494" s="311"/>
      <c r="C494" s="775"/>
      <c r="D494" s="778"/>
      <c r="E494" s="775"/>
      <c r="F494" s="775"/>
      <c r="G494" s="90"/>
      <c r="H494" s="54">
        <v>186</v>
      </c>
      <c r="I494" s="679" t="s">
        <v>636</v>
      </c>
      <c r="J494" s="41" t="s">
        <v>37</v>
      </c>
      <c r="K494" s="186">
        <v>1</v>
      </c>
      <c r="L494" s="786"/>
      <c r="M494" s="782"/>
      <c r="N494" s="776"/>
      <c r="O494" s="779"/>
      <c r="P494" s="54" t="s">
        <v>46</v>
      </c>
      <c r="Q494" s="391"/>
      <c r="R494" s="391"/>
      <c r="S494" s="391"/>
      <c r="T494" s="391"/>
      <c r="U494" s="391"/>
      <c r="V494" s="391"/>
      <c r="W494" s="391"/>
      <c r="X494" s="391"/>
      <c r="Y494" s="391"/>
      <c r="Z494" s="391"/>
      <c r="AA494" s="391"/>
      <c r="AB494" s="391"/>
      <c r="AC494" s="391"/>
      <c r="AD494" s="391"/>
      <c r="AE494" s="391"/>
      <c r="AF494" s="394">
        <f>21000000+19000000</f>
        <v>40000000</v>
      </c>
      <c r="AG494" s="394"/>
      <c r="AH494" s="391"/>
      <c r="AI494" s="393"/>
      <c r="AJ494" s="393"/>
      <c r="AK494" s="391">
        <f>Q494+R494+S494+T494+U494+V494+W494+X494+Y494+Z494+AA494+AB494+AC494+AD494+AE494+AF494+AG494+AH494+AI494+AJ494</f>
        <v>40000000</v>
      </c>
    </row>
    <row r="495" spans="1:37" ht="30" customHeight="1" x14ac:dyDescent="0.2">
      <c r="A495" s="39"/>
      <c r="B495" s="312"/>
      <c r="C495" s="532"/>
      <c r="D495" s="657"/>
      <c r="E495" s="662"/>
      <c r="F495" s="662"/>
      <c r="G495" s="55"/>
      <c r="H495" s="56"/>
      <c r="I495" s="55"/>
      <c r="J495" s="57"/>
      <c r="K495" s="192"/>
      <c r="L495" s="192"/>
      <c r="M495" s="57"/>
      <c r="N495" s="56"/>
      <c r="O495" s="55"/>
      <c r="P495" s="56"/>
      <c r="Q495" s="400">
        <f t="shared" ref="Q495:AK495" si="128">SUM(Q492:Q494)</f>
        <v>0</v>
      </c>
      <c r="R495" s="400">
        <f t="shared" si="128"/>
        <v>0</v>
      </c>
      <c r="S495" s="400">
        <f t="shared" si="128"/>
        <v>0</v>
      </c>
      <c r="T495" s="400">
        <f t="shared" si="128"/>
        <v>0</v>
      </c>
      <c r="U495" s="400">
        <f t="shared" si="128"/>
        <v>0</v>
      </c>
      <c r="V495" s="400">
        <f t="shared" si="128"/>
        <v>0</v>
      </c>
      <c r="W495" s="400">
        <f t="shared" si="128"/>
        <v>0</v>
      </c>
      <c r="X495" s="400">
        <f t="shared" si="128"/>
        <v>0</v>
      </c>
      <c r="Y495" s="400">
        <f t="shared" si="128"/>
        <v>0</v>
      </c>
      <c r="Z495" s="400">
        <f t="shared" si="128"/>
        <v>0</v>
      </c>
      <c r="AA495" s="400">
        <f t="shared" si="128"/>
        <v>0</v>
      </c>
      <c r="AB495" s="400">
        <f t="shared" si="128"/>
        <v>0</v>
      </c>
      <c r="AC495" s="400">
        <f t="shared" si="128"/>
        <v>0</v>
      </c>
      <c r="AD495" s="400">
        <f t="shared" si="128"/>
        <v>0</v>
      </c>
      <c r="AE495" s="400">
        <f t="shared" si="128"/>
        <v>0</v>
      </c>
      <c r="AF495" s="400">
        <f t="shared" si="128"/>
        <v>520000000</v>
      </c>
      <c r="AG495" s="400">
        <f t="shared" si="128"/>
        <v>0</v>
      </c>
      <c r="AH495" s="400">
        <f t="shared" si="128"/>
        <v>0</v>
      </c>
      <c r="AI495" s="400">
        <f t="shared" si="128"/>
        <v>0</v>
      </c>
      <c r="AJ495" s="400">
        <f t="shared" si="128"/>
        <v>0</v>
      </c>
      <c r="AK495" s="400">
        <f t="shared" si="128"/>
        <v>520000000</v>
      </c>
    </row>
    <row r="496" spans="1:37" ht="30" customHeight="1" x14ac:dyDescent="0.2">
      <c r="A496" s="39"/>
      <c r="B496" s="312"/>
      <c r="C496" s="697"/>
      <c r="D496" s="698"/>
      <c r="E496" s="697"/>
      <c r="F496" s="697"/>
      <c r="G496" s="698"/>
      <c r="H496" s="697"/>
      <c r="I496" s="698"/>
      <c r="J496" s="699"/>
      <c r="K496" s="752"/>
      <c r="L496" s="752"/>
      <c r="M496" s="699"/>
      <c r="N496" s="697"/>
      <c r="O496" s="698"/>
      <c r="P496" s="697"/>
      <c r="Q496" s="742"/>
      <c r="R496" s="743"/>
      <c r="S496" s="742"/>
      <c r="T496" s="742"/>
      <c r="U496" s="742"/>
      <c r="V496" s="742"/>
      <c r="W496" s="742"/>
      <c r="X496" s="742"/>
      <c r="Y496" s="742"/>
      <c r="Z496" s="742"/>
      <c r="AA496" s="742"/>
      <c r="AB496" s="742"/>
      <c r="AC496" s="742"/>
      <c r="AD496" s="742"/>
      <c r="AE496" s="742"/>
      <c r="AF496" s="397"/>
      <c r="AG496" s="745"/>
      <c r="AH496" s="742"/>
      <c r="AI496" s="742"/>
      <c r="AJ496" s="742"/>
      <c r="AK496" s="593"/>
    </row>
    <row r="497" spans="1:37" ht="30" customHeight="1" x14ac:dyDescent="0.2">
      <c r="A497" s="39"/>
      <c r="B497" s="312"/>
      <c r="C497" s="533"/>
      <c r="D497" s="655"/>
      <c r="E497" s="661"/>
      <c r="F497" s="661"/>
      <c r="G497" s="75">
        <v>60</v>
      </c>
      <c r="H497" s="76" t="s">
        <v>637</v>
      </c>
      <c r="I497" s="77"/>
      <c r="J497" s="77"/>
      <c r="K497" s="149"/>
      <c r="L497" s="149"/>
      <c r="M497" s="77"/>
      <c r="N497" s="169"/>
      <c r="O497" s="77"/>
      <c r="P497" s="77"/>
      <c r="Q497" s="263"/>
      <c r="R497" s="263"/>
      <c r="S497" s="263"/>
      <c r="T497" s="263"/>
      <c r="U497" s="263"/>
      <c r="V497" s="263"/>
      <c r="W497" s="263"/>
      <c r="X497" s="263"/>
      <c r="Y497" s="263"/>
      <c r="Z497" s="263"/>
      <c r="AA497" s="263"/>
      <c r="AB497" s="263"/>
      <c r="AC497" s="263"/>
      <c r="AD497" s="263"/>
      <c r="AE497" s="263"/>
      <c r="AF497" s="404"/>
      <c r="AG497" s="263"/>
      <c r="AH497" s="263"/>
      <c r="AI497" s="263"/>
      <c r="AJ497" s="263"/>
      <c r="AK497" s="265"/>
    </row>
    <row r="498" spans="1:37" ht="53.25" customHeight="1" x14ac:dyDescent="0.2">
      <c r="A498" s="39"/>
      <c r="B498" s="311"/>
      <c r="C498" s="662">
        <v>22</v>
      </c>
      <c r="D498" s="657" t="s">
        <v>638</v>
      </c>
      <c r="E498" s="662" t="s">
        <v>639</v>
      </c>
      <c r="F498" s="662" t="s">
        <v>640</v>
      </c>
      <c r="G498" s="40"/>
      <c r="H498" s="54">
        <v>187</v>
      </c>
      <c r="I498" s="679" t="s">
        <v>641</v>
      </c>
      <c r="J498" s="41">
        <v>1</v>
      </c>
      <c r="K498" s="186">
        <v>1</v>
      </c>
      <c r="L498" s="784">
        <v>201700360056</v>
      </c>
      <c r="M498" s="780" t="s">
        <v>615</v>
      </c>
      <c r="N498" s="774" t="s">
        <v>642</v>
      </c>
      <c r="O498" s="777" t="s">
        <v>993</v>
      </c>
      <c r="P498" s="54" t="s">
        <v>46</v>
      </c>
      <c r="Q498" s="391">
        <v>0</v>
      </c>
      <c r="R498" s="391">
        <v>0</v>
      </c>
      <c r="S498" s="391">
        <v>0</v>
      </c>
      <c r="T498" s="391">
        <v>0</v>
      </c>
      <c r="U498" s="391">
        <v>0</v>
      </c>
      <c r="V498" s="391">
        <v>0</v>
      </c>
      <c r="W498" s="391">
        <v>0</v>
      </c>
      <c r="X498" s="391"/>
      <c r="Y498" s="391"/>
      <c r="Z498" s="391">
        <v>0</v>
      </c>
      <c r="AA498" s="391">
        <v>0</v>
      </c>
      <c r="AB498" s="391"/>
      <c r="AC498" s="391"/>
      <c r="AD498" s="391">
        <v>0</v>
      </c>
      <c r="AE498" s="391">
        <v>0</v>
      </c>
      <c r="AF498" s="394">
        <v>25000000</v>
      </c>
      <c r="AG498" s="394"/>
      <c r="AH498" s="391">
        <v>0</v>
      </c>
      <c r="AI498" s="393"/>
      <c r="AJ498" s="393"/>
      <c r="AK498" s="391">
        <f>Q498+R498+S498+T498+U498+V498+W498+X498+Y498+Z498+AA498+AB498+AC498+AD498+AE498+AF498+AG498+AH498+AI498+AJ498</f>
        <v>25000000</v>
      </c>
    </row>
    <row r="499" spans="1:37" ht="53.25" customHeight="1" x14ac:dyDescent="0.2">
      <c r="A499" s="39"/>
      <c r="B499" s="311"/>
      <c r="C499" s="677">
        <v>31</v>
      </c>
      <c r="D499" s="679" t="s">
        <v>644</v>
      </c>
      <c r="E499" s="259">
        <v>0.249</v>
      </c>
      <c r="F499" s="316">
        <v>0.2</v>
      </c>
      <c r="G499" s="46"/>
      <c r="H499" s="54">
        <v>188</v>
      </c>
      <c r="I499" s="679" t="s">
        <v>645</v>
      </c>
      <c r="J499" s="41" t="s">
        <v>37</v>
      </c>
      <c r="K499" s="186">
        <v>2</v>
      </c>
      <c r="L499" s="785"/>
      <c r="M499" s="781"/>
      <c r="N499" s="775"/>
      <c r="O499" s="778"/>
      <c r="P499" s="54" t="s">
        <v>46</v>
      </c>
      <c r="Q499" s="391">
        <v>0</v>
      </c>
      <c r="R499" s="391">
        <v>0</v>
      </c>
      <c r="S499" s="391">
        <v>0</v>
      </c>
      <c r="T499" s="391">
        <v>0</v>
      </c>
      <c r="U499" s="391">
        <v>0</v>
      </c>
      <c r="V499" s="391">
        <v>0</v>
      </c>
      <c r="W499" s="391">
        <v>0</v>
      </c>
      <c r="X499" s="391"/>
      <c r="Y499" s="391"/>
      <c r="Z499" s="391">
        <v>0</v>
      </c>
      <c r="AA499" s="391">
        <v>0</v>
      </c>
      <c r="AB499" s="391"/>
      <c r="AC499" s="391"/>
      <c r="AD499" s="391">
        <v>0</v>
      </c>
      <c r="AE499" s="391">
        <v>0</v>
      </c>
      <c r="AF499" s="394">
        <f>38000000</f>
        <v>38000000</v>
      </c>
      <c r="AG499" s="394"/>
      <c r="AH499" s="391">
        <v>0</v>
      </c>
      <c r="AI499" s="393"/>
      <c r="AJ499" s="393"/>
      <c r="AK499" s="391">
        <f>Q499+R499+S499+T499+U499+V499+W499+X499+Y499+Z499+AA499+AB499+AC499+AD499+AE499+AF499+AG499+AH499+AI499+AJ499</f>
        <v>38000000</v>
      </c>
    </row>
    <row r="500" spans="1:37" ht="72" customHeight="1" x14ac:dyDescent="0.2">
      <c r="A500" s="39"/>
      <c r="B500" s="311"/>
      <c r="C500" s="661">
        <v>32</v>
      </c>
      <c r="D500" s="655" t="s">
        <v>646</v>
      </c>
      <c r="E500" s="661" t="s">
        <v>647</v>
      </c>
      <c r="F500" s="661" t="s">
        <v>648</v>
      </c>
      <c r="G500" s="46"/>
      <c r="H500" s="54">
        <v>189</v>
      </c>
      <c r="I500" s="679" t="s">
        <v>649</v>
      </c>
      <c r="J500" s="41" t="s">
        <v>37</v>
      </c>
      <c r="K500" s="186">
        <v>1</v>
      </c>
      <c r="L500" s="786"/>
      <c r="M500" s="782"/>
      <c r="N500" s="776"/>
      <c r="O500" s="779"/>
      <c r="P500" s="54" t="s">
        <v>46</v>
      </c>
      <c r="Q500" s="391">
        <v>0</v>
      </c>
      <c r="R500" s="391">
        <v>0</v>
      </c>
      <c r="S500" s="391">
        <v>0</v>
      </c>
      <c r="T500" s="391">
        <v>0</v>
      </c>
      <c r="U500" s="391">
        <v>0</v>
      </c>
      <c r="V500" s="391">
        <v>0</v>
      </c>
      <c r="W500" s="391">
        <v>0</v>
      </c>
      <c r="X500" s="391"/>
      <c r="Y500" s="391"/>
      <c r="Z500" s="391">
        <v>0</v>
      </c>
      <c r="AA500" s="391">
        <v>0</v>
      </c>
      <c r="AB500" s="391"/>
      <c r="AC500" s="391"/>
      <c r="AD500" s="391">
        <v>0</v>
      </c>
      <c r="AE500" s="391">
        <v>0</v>
      </c>
      <c r="AF500" s="394">
        <f>38000000</f>
        <v>38000000</v>
      </c>
      <c r="AG500" s="394"/>
      <c r="AH500" s="391">
        <v>0</v>
      </c>
      <c r="AI500" s="393"/>
      <c r="AJ500" s="393"/>
      <c r="AK500" s="391">
        <f>Q500+R500+S500+T500+U500+V500+W500+X500+Y500+Z500+AA500+AB500+AC500+AD500+AE500+AF500+AG500+AH500+AI500+AJ500</f>
        <v>38000000</v>
      </c>
    </row>
    <row r="501" spans="1:37" ht="30" customHeight="1" x14ac:dyDescent="0.2">
      <c r="A501" s="39"/>
      <c r="B501" s="312"/>
      <c r="C501" s="532"/>
      <c r="D501" s="657"/>
      <c r="E501" s="662"/>
      <c r="F501" s="662"/>
      <c r="G501" s="55"/>
      <c r="H501" s="56"/>
      <c r="I501" s="55"/>
      <c r="J501" s="57"/>
      <c r="K501" s="192"/>
      <c r="L501" s="192"/>
      <c r="M501" s="57"/>
      <c r="N501" s="56"/>
      <c r="O501" s="55"/>
      <c r="P501" s="56"/>
      <c r="Q501" s="400">
        <f t="shared" ref="Q501:AK501" si="129">SUM(Q498:Q500)</f>
        <v>0</v>
      </c>
      <c r="R501" s="400">
        <f t="shared" si="129"/>
        <v>0</v>
      </c>
      <c r="S501" s="400">
        <f t="shared" si="129"/>
        <v>0</v>
      </c>
      <c r="T501" s="400">
        <f t="shared" si="129"/>
        <v>0</v>
      </c>
      <c r="U501" s="400">
        <f t="shared" si="129"/>
        <v>0</v>
      </c>
      <c r="V501" s="400">
        <f t="shared" si="129"/>
        <v>0</v>
      </c>
      <c r="W501" s="400">
        <f t="shared" si="129"/>
        <v>0</v>
      </c>
      <c r="X501" s="400">
        <f t="shared" si="129"/>
        <v>0</v>
      </c>
      <c r="Y501" s="400">
        <f t="shared" si="129"/>
        <v>0</v>
      </c>
      <c r="Z501" s="400">
        <f t="shared" si="129"/>
        <v>0</v>
      </c>
      <c r="AA501" s="400">
        <f t="shared" si="129"/>
        <v>0</v>
      </c>
      <c r="AB501" s="400">
        <f t="shared" si="129"/>
        <v>0</v>
      </c>
      <c r="AC501" s="400">
        <f t="shared" si="129"/>
        <v>0</v>
      </c>
      <c r="AD501" s="400">
        <f t="shared" si="129"/>
        <v>0</v>
      </c>
      <c r="AE501" s="400">
        <f t="shared" si="129"/>
        <v>0</v>
      </c>
      <c r="AF501" s="400">
        <f t="shared" si="129"/>
        <v>101000000</v>
      </c>
      <c r="AG501" s="400">
        <f t="shared" si="129"/>
        <v>0</v>
      </c>
      <c r="AH501" s="400">
        <f t="shared" si="129"/>
        <v>0</v>
      </c>
      <c r="AI501" s="400">
        <f t="shared" si="129"/>
        <v>0</v>
      </c>
      <c r="AJ501" s="400">
        <f t="shared" si="129"/>
        <v>0</v>
      </c>
      <c r="AK501" s="400">
        <f t="shared" si="129"/>
        <v>101000000</v>
      </c>
    </row>
    <row r="502" spans="1:37" ht="30" customHeight="1" x14ac:dyDescent="0.2">
      <c r="A502" s="39"/>
      <c r="B502" s="312"/>
      <c r="C502" s="697"/>
      <c r="D502" s="698"/>
      <c r="E502" s="697"/>
      <c r="F502" s="697"/>
      <c r="G502" s="698"/>
      <c r="H502" s="697"/>
      <c r="I502" s="698"/>
      <c r="J502" s="699"/>
      <c r="K502" s="752"/>
      <c r="L502" s="752"/>
      <c r="M502" s="699"/>
      <c r="N502" s="697"/>
      <c r="O502" s="698"/>
      <c r="P502" s="697"/>
      <c r="Q502" s="742"/>
      <c r="R502" s="743"/>
      <c r="S502" s="742"/>
      <c r="T502" s="742"/>
      <c r="U502" s="742"/>
      <c r="V502" s="742"/>
      <c r="W502" s="742"/>
      <c r="X502" s="742"/>
      <c r="Y502" s="742"/>
      <c r="Z502" s="742"/>
      <c r="AA502" s="742"/>
      <c r="AB502" s="742"/>
      <c r="AC502" s="742"/>
      <c r="AD502" s="742"/>
      <c r="AE502" s="742"/>
      <c r="AF502" s="397"/>
      <c r="AG502" s="745"/>
      <c r="AH502" s="742"/>
      <c r="AI502" s="742"/>
      <c r="AJ502" s="742"/>
      <c r="AK502" s="593"/>
    </row>
    <row r="503" spans="1:37" ht="30" customHeight="1" x14ac:dyDescent="0.2">
      <c r="A503" s="39"/>
      <c r="B503" s="312"/>
      <c r="C503" s="533"/>
      <c r="D503" s="655"/>
      <c r="E503" s="661"/>
      <c r="F503" s="661"/>
      <c r="G503" s="75">
        <v>61</v>
      </c>
      <c r="H503" s="77" t="s">
        <v>650</v>
      </c>
      <c r="I503" s="77"/>
      <c r="J503" s="77"/>
      <c r="K503" s="149"/>
      <c r="L503" s="149"/>
      <c r="M503" s="77"/>
      <c r="N503" s="169"/>
      <c r="O503" s="77"/>
      <c r="P503" s="77"/>
      <c r="Q503" s="263"/>
      <c r="R503" s="263"/>
      <c r="S503" s="263"/>
      <c r="T503" s="263"/>
      <c r="U503" s="263"/>
      <c r="V503" s="263"/>
      <c r="W503" s="263"/>
      <c r="X503" s="263"/>
      <c r="Y503" s="263"/>
      <c r="Z503" s="263"/>
      <c r="AA503" s="263"/>
      <c r="AB503" s="263"/>
      <c r="AC503" s="263"/>
      <c r="AD503" s="263"/>
      <c r="AE503" s="263"/>
      <c r="AF503" s="404"/>
      <c r="AG503" s="263"/>
      <c r="AH503" s="263"/>
      <c r="AI503" s="263"/>
      <c r="AJ503" s="263"/>
      <c r="AK503" s="265"/>
    </row>
    <row r="504" spans="1:37" ht="63.75" customHeight="1" x14ac:dyDescent="0.2">
      <c r="A504" s="39"/>
      <c r="B504" s="311"/>
      <c r="C504" s="650">
        <v>34</v>
      </c>
      <c r="D504" s="656" t="s">
        <v>651</v>
      </c>
      <c r="E504" s="650" t="s">
        <v>37</v>
      </c>
      <c r="F504" s="650">
        <v>40</v>
      </c>
      <c r="G504" s="40"/>
      <c r="H504" s="54">
        <v>190</v>
      </c>
      <c r="I504" s="679" t="s">
        <v>652</v>
      </c>
      <c r="J504" s="54">
        <v>1</v>
      </c>
      <c r="K504" s="165">
        <v>1</v>
      </c>
      <c r="L504" s="43">
        <v>201700360057</v>
      </c>
      <c r="M504" s="679" t="s">
        <v>615</v>
      </c>
      <c r="N504" s="54" t="s">
        <v>653</v>
      </c>
      <c r="O504" s="679" t="s">
        <v>994</v>
      </c>
      <c r="P504" s="54" t="s">
        <v>46</v>
      </c>
      <c r="Q504" s="391"/>
      <c r="R504" s="391"/>
      <c r="S504" s="391"/>
      <c r="T504" s="391"/>
      <c r="U504" s="391"/>
      <c r="V504" s="391"/>
      <c r="W504" s="391"/>
      <c r="X504" s="391"/>
      <c r="Y504" s="391"/>
      <c r="Z504" s="391"/>
      <c r="AA504" s="391"/>
      <c r="AB504" s="391"/>
      <c r="AC504" s="391"/>
      <c r="AD504" s="391"/>
      <c r="AE504" s="391"/>
      <c r="AF504" s="392">
        <f>137000000+28810224+24189776</f>
        <v>190000000</v>
      </c>
      <c r="AG504" s="392"/>
      <c r="AH504" s="391"/>
      <c r="AI504" s="393"/>
      <c r="AJ504" s="393"/>
      <c r="AK504" s="391">
        <f>Q504+R504+S504+T504+U504+V504+W504+X504+Y504+Z504+AA504+AB504+AC504+AD504+AE504+AF504+AG504+AH504+AI504+AJ504</f>
        <v>190000000</v>
      </c>
    </row>
    <row r="505" spans="1:37" ht="30" customHeight="1" x14ac:dyDescent="0.2">
      <c r="A505" s="39"/>
      <c r="B505" s="315"/>
      <c r="C505" s="532"/>
      <c r="D505" s="657"/>
      <c r="E505" s="662"/>
      <c r="F505" s="662"/>
      <c r="G505" s="55"/>
      <c r="H505" s="56"/>
      <c r="I505" s="55"/>
      <c r="J505" s="56"/>
      <c r="K505" s="187"/>
      <c r="L505" s="187"/>
      <c r="M505" s="56"/>
      <c r="N505" s="56"/>
      <c r="O505" s="55"/>
      <c r="P505" s="56"/>
      <c r="Q505" s="463">
        <f t="shared" ref="Q505:AK505" si="130">SUM(Q504:Q504)</f>
        <v>0</v>
      </c>
      <c r="R505" s="463">
        <f t="shared" si="130"/>
        <v>0</v>
      </c>
      <c r="S505" s="463">
        <f t="shared" si="130"/>
        <v>0</v>
      </c>
      <c r="T505" s="463">
        <f t="shared" si="130"/>
        <v>0</v>
      </c>
      <c r="U505" s="463">
        <f t="shared" si="130"/>
        <v>0</v>
      </c>
      <c r="V505" s="463">
        <f t="shared" si="130"/>
        <v>0</v>
      </c>
      <c r="W505" s="463">
        <f t="shared" si="130"/>
        <v>0</v>
      </c>
      <c r="X505" s="463">
        <f t="shared" si="130"/>
        <v>0</v>
      </c>
      <c r="Y505" s="463">
        <f t="shared" si="130"/>
        <v>0</v>
      </c>
      <c r="Z505" s="463">
        <f t="shared" si="130"/>
        <v>0</v>
      </c>
      <c r="AA505" s="463">
        <f t="shared" si="130"/>
        <v>0</v>
      </c>
      <c r="AB505" s="463">
        <f t="shared" si="130"/>
        <v>0</v>
      </c>
      <c r="AC505" s="463">
        <f t="shared" si="130"/>
        <v>0</v>
      </c>
      <c r="AD505" s="463">
        <f t="shared" si="130"/>
        <v>0</v>
      </c>
      <c r="AE505" s="463">
        <f t="shared" si="130"/>
        <v>0</v>
      </c>
      <c r="AF505" s="463">
        <f t="shared" si="130"/>
        <v>190000000</v>
      </c>
      <c r="AG505" s="463">
        <f t="shared" si="130"/>
        <v>0</v>
      </c>
      <c r="AH505" s="463">
        <f t="shared" si="130"/>
        <v>0</v>
      </c>
      <c r="AI505" s="463">
        <f t="shared" si="130"/>
        <v>0</v>
      </c>
      <c r="AJ505" s="463">
        <f t="shared" si="130"/>
        <v>0</v>
      </c>
      <c r="AK505" s="463">
        <f t="shared" si="130"/>
        <v>190000000</v>
      </c>
    </row>
    <row r="506" spans="1:37" ht="30" customHeight="1" x14ac:dyDescent="0.2">
      <c r="A506" s="39"/>
      <c r="B506" s="93"/>
      <c r="C506" s="60"/>
      <c r="D506" s="59"/>
      <c r="E506" s="60"/>
      <c r="F506" s="60"/>
      <c r="G506" s="59"/>
      <c r="H506" s="60"/>
      <c r="I506" s="59"/>
      <c r="J506" s="60"/>
      <c r="K506" s="204"/>
      <c r="L506" s="204"/>
      <c r="M506" s="60"/>
      <c r="N506" s="60"/>
      <c r="O506" s="59"/>
      <c r="P506" s="60"/>
      <c r="Q506" s="464">
        <f t="shared" ref="Q506:AK506" si="131">Q505+Q501+Q495+Q489</f>
        <v>0</v>
      </c>
      <c r="R506" s="464">
        <f t="shared" si="131"/>
        <v>0</v>
      </c>
      <c r="S506" s="464">
        <f t="shared" si="131"/>
        <v>0</v>
      </c>
      <c r="T506" s="464">
        <f t="shared" si="131"/>
        <v>0</v>
      </c>
      <c r="U506" s="464">
        <f t="shared" si="131"/>
        <v>0</v>
      </c>
      <c r="V506" s="464">
        <f t="shared" si="131"/>
        <v>0</v>
      </c>
      <c r="W506" s="464">
        <f t="shared" si="131"/>
        <v>0</v>
      </c>
      <c r="X506" s="464">
        <f t="shared" si="131"/>
        <v>0</v>
      </c>
      <c r="Y506" s="464">
        <f t="shared" si="131"/>
        <v>0</v>
      </c>
      <c r="Z506" s="464">
        <f t="shared" si="131"/>
        <v>0</v>
      </c>
      <c r="AA506" s="464">
        <f t="shared" si="131"/>
        <v>0</v>
      </c>
      <c r="AB506" s="464">
        <f t="shared" si="131"/>
        <v>0</v>
      </c>
      <c r="AC506" s="464">
        <f t="shared" si="131"/>
        <v>0</v>
      </c>
      <c r="AD506" s="464">
        <f t="shared" si="131"/>
        <v>0</v>
      </c>
      <c r="AE506" s="464">
        <f t="shared" si="131"/>
        <v>0</v>
      </c>
      <c r="AF506" s="464">
        <f t="shared" si="131"/>
        <v>991000000</v>
      </c>
      <c r="AG506" s="464">
        <f t="shared" si="131"/>
        <v>0</v>
      </c>
      <c r="AH506" s="464">
        <f t="shared" si="131"/>
        <v>0</v>
      </c>
      <c r="AI506" s="464">
        <f t="shared" si="131"/>
        <v>0</v>
      </c>
      <c r="AJ506" s="464">
        <f t="shared" si="131"/>
        <v>0</v>
      </c>
      <c r="AK506" s="464">
        <f t="shared" si="131"/>
        <v>991000000</v>
      </c>
    </row>
    <row r="507" spans="1:37" ht="30" customHeight="1" x14ac:dyDescent="0.2">
      <c r="A507" s="39"/>
      <c r="B507" s="308"/>
      <c r="C507" s="309"/>
      <c r="D507" s="69"/>
      <c r="E507" s="146"/>
      <c r="F507" s="146"/>
      <c r="G507" s="69"/>
      <c r="H507" s="146"/>
      <c r="I507" s="69"/>
      <c r="J507" s="146"/>
      <c r="K507" s="191"/>
      <c r="L507" s="191"/>
      <c r="M507" s="146"/>
      <c r="N507" s="146"/>
      <c r="O507" s="69"/>
      <c r="P507" s="146"/>
      <c r="Q507" s="395"/>
      <c r="R507" s="395"/>
      <c r="S507" s="395"/>
      <c r="T507" s="395"/>
      <c r="U507" s="395"/>
      <c r="V507" s="395"/>
      <c r="W507" s="395"/>
      <c r="X507" s="395"/>
      <c r="Y507" s="395"/>
      <c r="Z507" s="395"/>
      <c r="AA507" s="395"/>
      <c r="AB507" s="396"/>
      <c r="AC507" s="396"/>
      <c r="AD507" s="395"/>
      <c r="AE507" s="395"/>
      <c r="AF507" s="749" t="s">
        <v>63</v>
      </c>
      <c r="AG507" s="398"/>
      <c r="AH507" s="395"/>
      <c r="AI507" s="395"/>
      <c r="AJ507" s="395"/>
      <c r="AK507" s="399"/>
    </row>
    <row r="508" spans="1:37" ht="30" customHeight="1" x14ac:dyDescent="0.2">
      <c r="A508" s="39"/>
      <c r="B508" s="121">
        <v>18</v>
      </c>
      <c r="C508" s="35" t="s">
        <v>655</v>
      </c>
      <c r="D508" s="36"/>
      <c r="E508" s="36"/>
      <c r="F508" s="36"/>
      <c r="G508" s="36"/>
      <c r="H508" s="37"/>
      <c r="I508" s="36"/>
      <c r="J508" s="36"/>
      <c r="K508" s="197"/>
      <c r="L508" s="197"/>
      <c r="M508" s="36"/>
      <c r="N508" s="37"/>
      <c r="O508" s="36"/>
      <c r="P508" s="36"/>
      <c r="Q508" s="402"/>
      <c r="R508" s="402"/>
      <c r="S508" s="402"/>
      <c r="T508" s="402"/>
      <c r="U508" s="402"/>
      <c r="V508" s="402"/>
      <c r="W508" s="402"/>
      <c r="X508" s="402"/>
      <c r="Y508" s="402"/>
      <c r="Z508" s="402"/>
      <c r="AA508" s="402"/>
      <c r="AB508" s="402"/>
      <c r="AC508" s="402"/>
      <c r="AD508" s="402"/>
      <c r="AE508" s="402"/>
      <c r="AF508" s="403"/>
      <c r="AG508" s="402"/>
      <c r="AH508" s="402"/>
      <c r="AI508" s="402"/>
      <c r="AJ508" s="402"/>
      <c r="AK508" s="407"/>
    </row>
    <row r="509" spans="1:37" ht="30" customHeight="1" x14ac:dyDescent="0.2">
      <c r="A509" s="39"/>
      <c r="B509" s="310"/>
      <c r="C509" s="531"/>
      <c r="D509" s="655"/>
      <c r="E509" s="661"/>
      <c r="F509" s="661"/>
      <c r="G509" s="215">
        <v>62</v>
      </c>
      <c r="H509" s="77" t="s">
        <v>656</v>
      </c>
      <c r="I509" s="77"/>
      <c r="J509" s="77"/>
      <c r="K509" s="149"/>
      <c r="L509" s="149"/>
      <c r="M509" s="77"/>
      <c r="N509" s="169"/>
      <c r="O509" s="77"/>
      <c r="P509" s="77"/>
      <c r="Q509" s="263"/>
      <c r="R509" s="263"/>
      <c r="S509" s="263"/>
      <c r="T509" s="263"/>
      <c r="U509" s="263"/>
      <c r="V509" s="263"/>
      <c r="W509" s="263"/>
      <c r="X509" s="263"/>
      <c r="Y509" s="263"/>
      <c r="Z509" s="263"/>
      <c r="AA509" s="263"/>
      <c r="AB509" s="263"/>
      <c r="AC509" s="263"/>
      <c r="AD509" s="263"/>
      <c r="AE509" s="263"/>
      <c r="AF509" s="404"/>
      <c r="AG509" s="263"/>
      <c r="AH509" s="263"/>
      <c r="AI509" s="263"/>
      <c r="AJ509" s="263"/>
      <c r="AK509" s="265"/>
    </row>
    <row r="510" spans="1:37" ht="105" customHeight="1" x14ac:dyDescent="0.2">
      <c r="A510" s="39"/>
      <c r="B510" s="311"/>
      <c r="C510" s="662">
        <v>22</v>
      </c>
      <c r="D510" s="657" t="s">
        <v>638</v>
      </c>
      <c r="E510" s="662" t="s">
        <v>639</v>
      </c>
      <c r="F510" s="662" t="s">
        <v>640</v>
      </c>
      <c r="G510" s="40"/>
      <c r="H510" s="54">
        <v>191</v>
      </c>
      <c r="I510" s="679" t="s">
        <v>657</v>
      </c>
      <c r="J510" s="54" t="s">
        <v>37</v>
      </c>
      <c r="K510" s="165">
        <v>1</v>
      </c>
      <c r="L510" s="43">
        <v>201700360051</v>
      </c>
      <c r="M510" s="679" t="s">
        <v>615</v>
      </c>
      <c r="N510" s="54" t="s">
        <v>658</v>
      </c>
      <c r="O510" s="679" t="s">
        <v>659</v>
      </c>
      <c r="P510" s="165" t="s">
        <v>46</v>
      </c>
      <c r="Q510" s="391">
        <v>0</v>
      </c>
      <c r="R510" s="391">
        <v>0</v>
      </c>
      <c r="S510" s="391">
        <v>0</v>
      </c>
      <c r="T510" s="391">
        <v>0</v>
      </c>
      <c r="U510" s="391">
        <v>0</v>
      </c>
      <c r="V510" s="391">
        <v>0</v>
      </c>
      <c r="W510" s="391">
        <v>0</v>
      </c>
      <c r="X510" s="391"/>
      <c r="Y510" s="391"/>
      <c r="Z510" s="391">
        <v>0</v>
      </c>
      <c r="AA510" s="391">
        <v>0</v>
      </c>
      <c r="AB510" s="391"/>
      <c r="AC510" s="391"/>
      <c r="AD510" s="391">
        <v>0</v>
      </c>
      <c r="AE510" s="391">
        <v>0</v>
      </c>
      <c r="AF510" s="392">
        <f>1015000000+170000000</f>
        <v>1185000000</v>
      </c>
      <c r="AG510" s="405"/>
      <c r="AH510" s="391">
        <v>0</v>
      </c>
      <c r="AI510" s="393"/>
      <c r="AJ510" s="393"/>
      <c r="AK510" s="391">
        <f>Q510+R510+S510+T510+U510+V510+W510+X510+Y510+Z510+AA510+AB510+AC510+AD510+AE510+AF510+AG510+AH510+AI510+AJ510</f>
        <v>1185000000</v>
      </c>
    </row>
    <row r="511" spans="1:37" ht="71.25" customHeight="1" x14ac:dyDescent="0.2">
      <c r="A511" s="39"/>
      <c r="B511" s="311"/>
      <c r="C511" s="661">
        <v>22</v>
      </c>
      <c r="D511" s="655" t="s">
        <v>638</v>
      </c>
      <c r="E511" s="661" t="s">
        <v>639</v>
      </c>
      <c r="F511" s="661" t="s">
        <v>640</v>
      </c>
      <c r="G511" s="46"/>
      <c r="H511" s="54">
        <v>192</v>
      </c>
      <c r="I511" s="679" t="s">
        <v>660</v>
      </c>
      <c r="J511" s="54">
        <v>1</v>
      </c>
      <c r="K511" s="165">
        <v>1</v>
      </c>
      <c r="L511" s="43">
        <v>201700360085</v>
      </c>
      <c r="M511" s="679" t="s">
        <v>615</v>
      </c>
      <c r="N511" s="54" t="s">
        <v>661</v>
      </c>
      <c r="O511" s="679" t="s">
        <v>995</v>
      </c>
      <c r="P511" s="165" t="s">
        <v>46</v>
      </c>
      <c r="Q511" s="391">
        <v>0</v>
      </c>
      <c r="R511" s="391">
        <v>0</v>
      </c>
      <c r="S511" s="391">
        <v>0</v>
      </c>
      <c r="T511" s="391">
        <v>0</v>
      </c>
      <c r="U511" s="391">
        <v>0</v>
      </c>
      <c r="V511" s="391">
        <v>0</v>
      </c>
      <c r="W511" s="391">
        <v>0</v>
      </c>
      <c r="X511" s="391"/>
      <c r="Y511" s="391"/>
      <c r="Z511" s="391">
        <v>0</v>
      </c>
      <c r="AA511" s="391">
        <v>0</v>
      </c>
      <c r="AB511" s="391"/>
      <c r="AC511" s="391"/>
      <c r="AD511" s="391">
        <v>0</v>
      </c>
      <c r="AE511" s="391">
        <v>0</v>
      </c>
      <c r="AF511" s="392">
        <f>43000000+37000000</f>
        <v>80000000</v>
      </c>
      <c r="AG511" s="405"/>
      <c r="AH511" s="391">
        <v>0</v>
      </c>
      <c r="AI511" s="393"/>
      <c r="AJ511" s="393"/>
      <c r="AK511" s="391">
        <f>Q511+R511+S511+T511+U511+V511+W511+X511+Y511+Z511+AA511+AB511+AC511+AD511+AE511+AF511+AG511+AH511+AI511+AJ511</f>
        <v>80000000</v>
      </c>
    </row>
    <row r="512" spans="1:37" ht="30" customHeight="1" x14ac:dyDescent="0.2">
      <c r="A512" s="39"/>
      <c r="B512" s="312"/>
      <c r="C512" s="532"/>
      <c r="D512" s="657"/>
      <c r="E512" s="662"/>
      <c r="F512" s="662"/>
      <c r="G512" s="55"/>
      <c r="H512" s="56"/>
      <c r="I512" s="55"/>
      <c r="J512" s="56"/>
      <c r="K512" s="187"/>
      <c r="L512" s="187"/>
      <c r="M512" s="56"/>
      <c r="N512" s="56"/>
      <c r="O512" s="55"/>
      <c r="P512" s="56"/>
      <c r="Q512" s="400">
        <f t="shared" ref="Q512:AJ512" si="132">SUM(Q510:Q511)</f>
        <v>0</v>
      </c>
      <c r="R512" s="400">
        <f t="shared" si="132"/>
        <v>0</v>
      </c>
      <c r="S512" s="400">
        <f t="shared" si="132"/>
        <v>0</v>
      </c>
      <c r="T512" s="400">
        <f t="shared" si="132"/>
        <v>0</v>
      </c>
      <c r="U512" s="400">
        <f t="shared" si="132"/>
        <v>0</v>
      </c>
      <c r="V512" s="400">
        <f t="shared" si="132"/>
        <v>0</v>
      </c>
      <c r="W512" s="400">
        <f t="shared" si="132"/>
        <v>0</v>
      </c>
      <c r="X512" s="400">
        <f t="shared" si="132"/>
        <v>0</v>
      </c>
      <c r="Y512" s="400">
        <f t="shared" si="132"/>
        <v>0</v>
      </c>
      <c r="Z512" s="400">
        <f t="shared" si="132"/>
        <v>0</v>
      </c>
      <c r="AA512" s="400">
        <f t="shared" si="132"/>
        <v>0</v>
      </c>
      <c r="AB512" s="400">
        <f t="shared" si="132"/>
        <v>0</v>
      </c>
      <c r="AC512" s="400">
        <f t="shared" si="132"/>
        <v>0</v>
      </c>
      <c r="AD512" s="400">
        <f t="shared" si="132"/>
        <v>0</v>
      </c>
      <c r="AE512" s="400">
        <f t="shared" si="132"/>
        <v>0</v>
      </c>
      <c r="AF512" s="400">
        <f t="shared" si="132"/>
        <v>1265000000</v>
      </c>
      <c r="AG512" s="400">
        <f t="shared" si="132"/>
        <v>0</v>
      </c>
      <c r="AH512" s="400">
        <f t="shared" si="132"/>
        <v>0</v>
      </c>
      <c r="AI512" s="400">
        <f t="shared" si="132"/>
        <v>0</v>
      </c>
      <c r="AJ512" s="400">
        <f t="shared" si="132"/>
        <v>0</v>
      </c>
      <c r="AK512" s="400">
        <f>SUM(AK510:AK511)</f>
        <v>1265000000</v>
      </c>
    </row>
    <row r="513" spans="1:37" ht="30" customHeight="1" x14ac:dyDescent="0.2">
      <c r="A513" s="39"/>
      <c r="B513" s="312"/>
      <c r="C513" s="697"/>
      <c r="D513" s="698"/>
      <c r="E513" s="697"/>
      <c r="F513" s="697"/>
      <c r="G513" s="698"/>
      <c r="H513" s="697"/>
      <c r="I513" s="698"/>
      <c r="J513" s="699"/>
      <c r="K513" s="752"/>
      <c r="L513" s="752"/>
      <c r="M513" s="699"/>
      <c r="N513" s="697"/>
      <c r="O513" s="698"/>
      <c r="P513" s="697"/>
      <c r="Q513" s="742"/>
      <c r="R513" s="743"/>
      <c r="S513" s="742"/>
      <c r="T513" s="742"/>
      <c r="U513" s="742"/>
      <c r="V513" s="742"/>
      <c r="W513" s="742"/>
      <c r="X513" s="742"/>
      <c r="Y513" s="742"/>
      <c r="Z513" s="742"/>
      <c r="AA513" s="742"/>
      <c r="AB513" s="742"/>
      <c r="AC513" s="742"/>
      <c r="AD513" s="742"/>
      <c r="AE513" s="742"/>
      <c r="AF513" s="744"/>
      <c r="AG513" s="745"/>
      <c r="AH513" s="742"/>
      <c r="AI513" s="742"/>
      <c r="AJ513" s="742"/>
      <c r="AK513" s="593"/>
    </row>
    <row r="514" spans="1:37" ht="30" customHeight="1" x14ac:dyDescent="0.2">
      <c r="A514" s="39"/>
      <c r="B514" s="312"/>
      <c r="C514" s="533"/>
      <c r="D514" s="655"/>
      <c r="E514" s="661"/>
      <c r="F514" s="661"/>
      <c r="G514" s="75">
        <v>63</v>
      </c>
      <c r="H514" s="77" t="s">
        <v>663</v>
      </c>
      <c r="I514" s="77"/>
      <c r="J514" s="77"/>
      <c r="K514" s="149"/>
      <c r="L514" s="149"/>
      <c r="M514" s="77"/>
      <c r="N514" s="169"/>
      <c r="O514" s="77"/>
      <c r="P514" s="77"/>
      <c r="Q514" s="263"/>
      <c r="R514" s="263"/>
      <c r="S514" s="263"/>
      <c r="T514" s="263"/>
      <c r="U514" s="263"/>
      <c r="V514" s="263"/>
      <c r="W514" s="263"/>
      <c r="X514" s="263"/>
      <c r="Y514" s="263"/>
      <c r="Z514" s="263"/>
      <c r="AA514" s="263"/>
      <c r="AB514" s="263"/>
      <c r="AC514" s="263"/>
      <c r="AD514" s="263"/>
      <c r="AE514" s="263"/>
      <c r="AF514" s="404"/>
      <c r="AG514" s="263"/>
      <c r="AH514" s="263"/>
      <c r="AI514" s="263"/>
      <c r="AJ514" s="263"/>
      <c r="AK514" s="265"/>
    </row>
    <row r="515" spans="1:37" ht="54" customHeight="1" x14ac:dyDescent="0.2">
      <c r="A515" s="39"/>
      <c r="B515" s="311"/>
      <c r="C515" s="662">
        <v>38</v>
      </c>
      <c r="D515" s="657" t="s">
        <v>47</v>
      </c>
      <c r="E515" s="662">
        <v>0</v>
      </c>
      <c r="F515" s="662">
        <v>2</v>
      </c>
      <c r="G515" s="40"/>
      <c r="H515" s="54">
        <v>193</v>
      </c>
      <c r="I515" s="679" t="s">
        <v>664</v>
      </c>
      <c r="J515" s="54">
        <v>1</v>
      </c>
      <c r="K515" s="165">
        <v>1</v>
      </c>
      <c r="L515" s="43">
        <v>201700360090</v>
      </c>
      <c r="M515" s="679" t="s">
        <v>615</v>
      </c>
      <c r="N515" s="54" t="s">
        <v>665</v>
      </c>
      <c r="O515" s="679" t="s">
        <v>996</v>
      </c>
      <c r="P515" s="54" t="s">
        <v>46</v>
      </c>
      <c r="Q515" s="391">
        <v>0</v>
      </c>
      <c r="R515" s="391">
        <v>0</v>
      </c>
      <c r="S515" s="391">
        <v>0</v>
      </c>
      <c r="T515" s="391">
        <v>0</v>
      </c>
      <c r="U515" s="391">
        <v>0</v>
      </c>
      <c r="V515" s="391">
        <v>0</v>
      </c>
      <c r="W515" s="391">
        <v>0</v>
      </c>
      <c r="X515" s="391"/>
      <c r="Y515" s="391"/>
      <c r="Z515" s="391">
        <v>0</v>
      </c>
      <c r="AA515" s="391">
        <v>0</v>
      </c>
      <c r="AB515" s="391"/>
      <c r="AC515" s="391"/>
      <c r="AD515" s="391">
        <v>0</v>
      </c>
      <c r="AE515" s="391">
        <v>0</v>
      </c>
      <c r="AF515" s="394">
        <f>40000000-10000000</f>
        <v>30000000</v>
      </c>
      <c r="AG515" s="394"/>
      <c r="AH515" s="391">
        <v>0</v>
      </c>
      <c r="AI515" s="393"/>
      <c r="AJ515" s="393"/>
      <c r="AK515" s="391">
        <f>Q515+R515+S515+T515+U515+V515+W515+X515+Y515+Z515+AA515+AB515+AC515+AD515+AE515+AF515+AG515+AH515+AI515+AJ515</f>
        <v>30000000</v>
      </c>
    </row>
    <row r="516" spans="1:37" ht="69" customHeight="1" x14ac:dyDescent="0.2">
      <c r="A516" s="39"/>
      <c r="B516" s="311"/>
      <c r="C516" s="661">
        <v>38</v>
      </c>
      <c r="D516" s="655" t="s">
        <v>47</v>
      </c>
      <c r="E516" s="661">
        <v>0</v>
      </c>
      <c r="F516" s="661">
        <v>2</v>
      </c>
      <c r="G516" s="90"/>
      <c r="H516" s="54">
        <v>194</v>
      </c>
      <c r="I516" s="679" t="s">
        <v>667</v>
      </c>
      <c r="J516" s="54">
        <v>1</v>
      </c>
      <c r="K516" s="165">
        <v>1</v>
      </c>
      <c r="L516" s="43">
        <v>201700360091</v>
      </c>
      <c r="M516" s="679" t="s">
        <v>615</v>
      </c>
      <c r="N516" s="54" t="s">
        <v>668</v>
      </c>
      <c r="O516" s="679" t="s">
        <v>669</v>
      </c>
      <c r="P516" s="54" t="s">
        <v>46</v>
      </c>
      <c r="Q516" s="391">
        <v>0</v>
      </c>
      <c r="R516" s="391">
        <v>0</v>
      </c>
      <c r="S516" s="391">
        <v>0</v>
      </c>
      <c r="T516" s="391">
        <v>0</v>
      </c>
      <c r="U516" s="391">
        <v>0</v>
      </c>
      <c r="V516" s="391">
        <v>0</v>
      </c>
      <c r="W516" s="391">
        <v>0</v>
      </c>
      <c r="X516" s="391"/>
      <c r="Y516" s="391"/>
      <c r="Z516" s="391">
        <v>0</v>
      </c>
      <c r="AA516" s="391">
        <v>0</v>
      </c>
      <c r="AB516" s="391"/>
      <c r="AC516" s="391"/>
      <c r="AD516" s="391">
        <v>0</v>
      </c>
      <c r="AE516" s="391">
        <v>0</v>
      </c>
      <c r="AF516" s="394">
        <f>35000000+35000000</f>
        <v>70000000</v>
      </c>
      <c r="AG516" s="394"/>
      <c r="AH516" s="391">
        <v>0</v>
      </c>
      <c r="AI516" s="393"/>
      <c r="AJ516" s="393"/>
      <c r="AK516" s="391">
        <f>Q516+R516+S516+T516+U516+V516+W516+X516+Y516+Z516+AA516+AB516+AC516+AD516+AE516+AF516+AG516+AH516+AI516+AJ516</f>
        <v>70000000</v>
      </c>
    </row>
    <row r="517" spans="1:37" ht="30" customHeight="1" x14ac:dyDescent="0.2">
      <c r="A517" s="39"/>
      <c r="B517" s="312"/>
      <c r="C517" s="532"/>
      <c r="D517" s="657"/>
      <c r="E517" s="662"/>
      <c r="F517" s="662"/>
      <c r="G517" s="55"/>
      <c r="H517" s="56"/>
      <c r="I517" s="55"/>
      <c r="J517" s="56"/>
      <c r="K517" s="187"/>
      <c r="L517" s="187"/>
      <c r="M517" s="56"/>
      <c r="N517" s="56"/>
      <c r="O517" s="55"/>
      <c r="P517" s="56"/>
      <c r="Q517" s="400">
        <f t="shared" ref="Q517:AJ517" si="133">SUM(Q515:Q516)</f>
        <v>0</v>
      </c>
      <c r="R517" s="400">
        <f t="shared" si="133"/>
        <v>0</v>
      </c>
      <c r="S517" s="400">
        <f t="shared" si="133"/>
        <v>0</v>
      </c>
      <c r="T517" s="400">
        <f t="shared" si="133"/>
        <v>0</v>
      </c>
      <c r="U517" s="400">
        <f t="shared" si="133"/>
        <v>0</v>
      </c>
      <c r="V517" s="400">
        <f t="shared" si="133"/>
        <v>0</v>
      </c>
      <c r="W517" s="400">
        <f t="shared" si="133"/>
        <v>0</v>
      </c>
      <c r="X517" s="400">
        <f t="shared" si="133"/>
        <v>0</v>
      </c>
      <c r="Y517" s="400">
        <f t="shared" si="133"/>
        <v>0</v>
      </c>
      <c r="Z517" s="400">
        <f t="shared" si="133"/>
        <v>0</v>
      </c>
      <c r="AA517" s="400">
        <f t="shared" si="133"/>
        <v>0</v>
      </c>
      <c r="AB517" s="400">
        <f t="shared" si="133"/>
        <v>0</v>
      </c>
      <c r="AC517" s="400">
        <f t="shared" si="133"/>
        <v>0</v>
      </c>
      <c r="AD517" s="400">
        <f t="shared" si="133"/>
        <v>0</v>
      </c>
      <c r="AE517" s="400">
        <f t="shared" si="133"/>
        <v>0</v>
      </c>
      <c r="AF517" s="400">
        <f t="shared" si="133"/>
        <v>100000000</v>
      </c>
      <c r="AG517" s="400">
        <f t="shared" si="133"/>
        <v>0</v>
      </c>
      <c r="AH517" s="400">
        <f t="shared" si="133"/>
        <v>0</v>
      </c>
      <c r="AI517" s="400">
        <f t="shared" si="133"/>
        <v>0</v>
      </c>
      <c r="AJ517" s="400">
        <f t="shared" si="133"/>
        <v>0</v>
      </c>
      <c r="AK517" s="400">
        <f>SUM(AK515:AK516)</f>
        <v>100000000</v>
      </c>
    </row>
    <row r="518" spans="1:37" ht="30" customHeight="1" x14ac:dyDescent="0.2">
      <c r="A518" s="39"/>
      <c r="B518" s="312"/>
      <c r="C518" s="697"/>
      <c r="D518" s="698"/>
      <c r="E518" s="697"/>
      <c r="F518" s="697"/>
      <c r="G518" s="698"/>
      <c r="H518" s="697"/>
      <c r="I518" s="698"/>
      <c r="J518" s="699"/>
      <c r="K518" s="752"/>
      <c r="L518" s="752"/>
      <c r="M518" s="699"/>
      <c r="N518" s="697"/>
      <c r="O518" s="698"/>
      <c r="P518" s="697"/>
      <c r="Q518" s="742"/>
      <c r="R518" s="743"/>
      <c r="S518" s="742"/>
      <c r="T518" s="742"/>
      <c r="U518" s="742"/>
      <c r="V518" s="742"/>
      <c r="W518" s="742"/>
      <c r="X518" s="742"/>
      <c r="Y518" s="742"/>
      <c r="Z518" s="742"/>
      <c r="AA518" s="742"/>
      <c r="AB518" s="742"/>
      <c r="AC518" s="742"/>
      <c r="AD518" s="742"/>
      <c r="AE518" s="742"/>
      <c r="AF518" s="744"/>
      <c r="AG518" s="745"/>
      <c r="AH518" s="742"/>
      <c r="AI518" s="742"/>
      <c r="AJ518" s="742"/>
      <c r="AK518" s="593"/>
    </row>
    <row r="519" spans="1:37" ht="30" customHeight="1" x14ac:dyDescent="0.2">
      <c r="A519" s="39"/>
      <c r="B519" s="312"/>
      <c r="C519" s="533"/>
      <c r="D519" s="655"/>
      <c r="E519" s="661"/>
      <c r="F519" s="661"/>
      <c r="G519" s="75">
        <v>64</v>
      </c>
      <c r="H519" s="77" t="s">
        <v>670</v>
      </c>
      <c r="I519" s="77"/>
      <c r="J519" s="77"/>
      <c r="K519" s="149"/>
      <c r="L519" s="149"/>
      <c r="M519" s="77"/>
      <c r="N519" s="169"/>
      <c r="O519" s="77"/>
      <c r="P519" s="77"/>
      <c r="Q519" s="263"/>
      <c r="R519" s="263"/>
      <c r="S519" s="263"/>
      <c r="T519" s="263"/>
      <c r="U519" s="263"/>
      <c r="V519" s="263"/>
      <c r="W519" s="263"/>
      <c r="X519" s="263"/>
      <c r="Y519" s="263"/>
      <c r="Z519" s="263"/>
      <c r="AA519" s="263"/>
      <c r="AB519" s="263"/>
      <c r="AC519" s="263"/>
      <c r="AD519" s="263"/>
      <c r="AE519" s="263"/>
      <c r="AF519" s="404"/>
      <c r="AG519" s="263"/>
      <c r="AH519" s="263"/>
      <c r="AI519" s="263"/>
      <c r="AJ519" s="263"/>
      <c r="AK519" s="265"/>
    </row>
    <row r="520" spans="1:37" ht="99" customHeight="1" x14ac:dyDescent="0.2">
      <c r="A520" s="39"/>
      <c r="B520" s="311"/>
      <c r="C520" s="650">
        <v>37</v>
      </c>
      <c r="D520" s="656" t="s">
        <v>671</v>
      </c>
      <c r="E520" s="653" t="s">
        <v>67</v>
      </c>
      <c r="F520" s="659">
        <v>0.6</v>
      </c>
      <c r="G520" s="90"/>
      <c r="H520" s="54">
        <v>195</v>
      </c>
      <c r="I520" s="679" t="s">
        <v>672</v>
      </c>
      <c r="J520" s="54">
        <v>0</v>
      </c>
      <c r="K520" s="165">
        <v>1</v>
      </c>
      <c r="L520" s="43">
        <v>201700360092</v>
      </c>
      <c r="M520" s="679" t="s">
        <v>615</v>
      </c>
      <c r="N520" s="54" t="s">
        <v>673</v>
      </c>
      <c r="O520" s="679" t="s">
        <v>997</v>
      </c>
      <c r="P520" s="54" t="s">
        <v>46</v>
      </c>
      <c r="Q520" s="391"/>
      <c r="R520" s="391"/>
      <c r="S520" s="391"/>
      <c r="T520" s="391"/>
      <c r="U520" s="391"/>
      <c r="V520" s="391"/>
      <c r="W520" s="391"/>
      <c r="X520" s="391"/>
      <c r="Y520" s="391"/>
      <c r="Z520" s="391"/>
      <c r="AA520" s="391"/>
      <c r="AB520" s="391"/>
      <c r="AC520" s="391"/>
      <c r="AD520" s="391"/>
      <c r="AE520" s="391"/>
      <c r="AF520" s="394">
        <f>60000000+30000000</f>
        <v>90000000</v>
      </c>
      <c r="AG520" s="394"/>
      <c r="AH520" s="391"/>
      <c r="AI520" s="393"/>
      <c r="AJ520" s="393"/>
      <c r="AK520" s="391">
        <f>Q520+R520+S520+T520+U520+V520+W520+X520+Y520+Z520+AA520+AB520+AC520+AD520+AE520+AF520+AG520+AH520+AI520+AJ520</f>
        <v>90000000</v>
      </c>
    </row>
    <row r="521" spans="1:37" ht="30" customHeight="1" x14ac:dyDescent="0.2">
      <c r="A521" s="39"/>
      <c r="B521" s="312"/>
      <c r="C521" s="532"/>
      <c r="D521" s="657"/>
      <c r="E521" s="662"/>
      <c r="F521" s="662"/>
      <c r="G521" s="55"/>
      <c r="H521" s="56"/>
      <c r="I521" s="55"/>
      <c r="J521" s="56"/>
      <c r="K521" s="187"/>
      <c r="L521" s="187"/>
      <c r="M521" s="56"/>
      <c r="N521" s="56"/>
      <c r="O521" s="55"/>
      <c r="P521" s="56"/>
      <c r="Q521" s="400">
        <f t="shared" ref="Q521:AK521" si="134">SUM(Q520:Q520)</f>
        <v>0</v>
      </c>
      <c r="R521" s="400">
        <f t="shared" si="134"/>
        <v>0</v>
      </c>
      <c r="S521" s="400">
        <f t="shared" si="134"/>
        <v>0</v>
      </c>
      <c r="T521" s="400">
        <f t="shared" si="134"/>
        <v>0</v>
      </c>
      <c r="U521" s="400">
        <f t="shared" si="134"/>
        <v>0</v>
      </c>
      <c r="V521" s="400">
        <f t="shared" si="134"/>
        <v>0</v>
      </c>
      <c r="W521" s="400">
        <f t="shared" si="134"/>
        <v>0</v>
      </c>
      <c r="X521" s="400">
        <f t="shared" si="134"/>
        <v>0</v>
      </c>
      <c r="Y521" s="400">
        <f t="shared" si="134"/>
        <v>0</v>
      </c>
      <c r="Z521" s="400">
        <f t="shared" si="134"/>
        <v>0</v>
      </c>
      <c r="AA521" s="400">
        <f t="shared" si="134"/>
        <v>0</v>
      </c>
      <c r="AB521" s="400">
        <f t="shared" si="134"/>
        <v>0</v>
      </c>
      <c r="AC521" s="400">
        <f t="shared" si="134"/>
        <v>0</v>
      </c>
      <c r="AD521" s="400">
        <f t="shared" si="134"/>
        <v>0</v>
      </c>
      <c r="AE521" s="400">
        <f t="shared" si="134"/>
        <v>0</v>
      </c>
      <c r="AF521" s="400">
        <f t="shared" si="134"/>
        <v>90000000</v>
      </c>
      <c r="AG521" s="400">
        <f t="shared" si="134"/>
        <v>0</v>
      </c>
      <c r="AH521" s="400">
        <f t="shared" si="134"/>
        <v>0</v>
      </c>
      <c r="AI521" s="400">
        <f t="shared" si="134"/>
        <v>0</v>
      </c>
      <c r="AJ521" s="400">
        <f t="shared" si="134"/>
        <v>0</v>
      </c>
      <c r="AK521" s="400">
        <f t="shared" si="134"/>
        <v>90000000</v>
      </c>
    </row>
    <row r="522" spans="1:37" ht="30" customHeight="1" x14ac:dyDescent="0.2">
      <c r="A522" s="39"/>
      <c r="B522" s="312"/>
      <c r="C522" s="697"/>
      <c r="D522" s="698"/>
      <c r="E522" s="697"/>
      <c r="F522" s="697"/>
      <c r="G522" s="698"/>
      <c r="H522" s="697"/>
      <c r="I522" s="698"/>
      <c r="J522" s="699"/>
      <c r="K522" s="752"/>
      <c r="L522" s="752"/>
      <c r="M522" s="699"/>
      <c r="N522" s="697"/>
      <c r="O522" s="698"/>
      <c r="P522" s="697"/>
      <c r="Q522" s="742"/>
      <c r="R522" s="743"/>
      <c r="S522" s="742"/>
      <c r="T522" s="742"/>
      <c r="U522" s="742"/>
      <c r="V522" s="742"/>
      <c r="W522" s="742"/>
      <c r="X522" s="742"/>
      <c r="Y522" s="742"/>
      <c r="Z522" s="742"/>
      <c r="AA522" s="742"/>
      <c r="AB522" s="742"/>
      <c r="AC522" s="742"/>
      <c r="AD522" s="742"/>
      <c r="AE522" s="742"/>
      <c r="AF522" s="744"/>
      <c r="AG522" s="745"/>
      <c r="AH522" s="742"/>
      <c r="AI522" s="742"/>
      <c r="AJ522" s="742"/>
      <c r="AK522" s="593"/>
    </row>
    <row r="523" spans="1:37" ht="30" customHeight="1" x14ac:dyDescent="0.2">
      <c r="A523" s="39"/>
      <c r="B523" s="312"/>
      <c r="C523" s="533"/>
      <c r="D523" s="655"/>
      <c r="E523" s="661"/>
      <c r="F523" s="661"/>
      <c r="G523" s="215">
        <v>65</v>
      </c>
      <c r="H523" s="77" t="s">
        <v>675</v>
      </c>
      <c r="I523" s="77"/>
      <c r="J523" s="77"/>
      <c r="K523" s="149"/>
      <c r="L523" s="149"/>
      <c r="M523" s="77"/>
      <c r="N523" s="169"/>
      <c r="O523" s="77"/>
      <c r="P523" s="77"/>
      <c r="Q523" s="263"/>
      <c r="R523" s="439"/>
      <c r="S523" s="263"/>
      <c r="T523" s="263"/>
      <c r="U523" s="263"/>
      <c r="V523" s="263"/>
      <c r="W523" s="263"/>
      <c r="X523" s="263"/>
      <c r="Y523" s="263"/>
      <c r="Z523" s="263"/>
      <c r="AA523" s="263"/>
      <c r="AB523" s="263"/>
      <c r="AC523" s="263"/>
      <c r="AD523" s="263"/>
      <c r="AE523" s="263"/>
      <c r="AF523" s="404"/>
      <c r="AG523" s="263"/>
      <c r="AH523" s="263"/>
      <c r="AI523" s="263"/>
      <c r="AJ523" s="263"/>
      <c r="AK523" s="265"/>
    </row>
    <row r="524" spans="1:37" ht="58.5" customHeight="1" x14ac:dyDescent="0.2">
      <c r="A524" s="39"/>
      <c r="B524" s="311"/>
      <c r="C524" s="650" t="s">
        <v>676</v>
      </c>
      <c r="D524" s="656" t="s">
        <v>677</v>
      </c>
      <c r="E524" s="650" t="s">
        <v>678</v>
      </c>
      <c r="F524" s="660" t="s">
        <v>679</v>
      </c>
      <c r="G524" s="79"/>
      <c r="H524" s="54">
        <v>196</v>
      </c>
      <c r="I524" s="679" t="s">
        <v>680</v>
      </c>
      <c r="J524" s="54">
        <v>0</v>
      </c>
      <c r="K524" s="165">
        <v>1</v>
      </c>
      <c r="L524" s="43">
        <v>201700360093</v>
      </c>
      <c r="M524" s="679" t="s">
        <v>615</v>
      </c>
      <c r="N524" s="54" t="s">
        <v>681</v>
      </c>
      <c r="O524" s="679" t="s">
        <v>998</v>
      </c>
      <c r="P524" s="54" t="s">
        <v>46</v>
      </c>
      <c r="Q524" s="391">
        <v>0</v>
      </c>
      <c r="R524" s="391">
        <v>0</v>
      </c>
      <c r="S524" s="391">
        <v>0</v>
      </c>
      <c r="T524" s="391">
        <v>0</v>
      </c>
      <c r="U524" s="391">
        <v>0</v>
      </c>
      <c r="V524" s="391">
        <v>0</v>
      </c>
      <c r="W524" s="391">
        <v>0</v>
      </c>
      <c r="X524" s="391"/>
      <c r="Y524" s="391"/>
      <c r="Z524" s="391">
        <v>0</v>
      </c>
      <c r="AA524" s="391">
        <v>0</v>
      </c>
      <c r="AB524" s="391"/>
      <c r="AC524" s="391"/>
      <c r="AD524" s="391">
        <v>0</v>
      </c>
      <c r="AE524" s="391">
        <v>0</v>
      </c>
      <c r="AF524" s="392">
        <f>25000000+31400000</f>
        <v>56400000</v>
      </c>
      <c r="AG524" s="392"/>
      <c r="AH524" s="391">
        <v>0</v>
      </c>
      <c r="AI524" s="393"/>
      <c r="AJ524" s="393"/>
      <c r="AK524" s="391">
        <f>Q524+R524+S524+T524+U524+V524+W524+X524+Y524+Z524+AA524+AB524+AC524+AD524+AE524+AF524+AG524+AH524+AI524+AJ524</f>
        <v>56400000</v>
      </c>
    </row>
    <row r="525" spans="1:37" ht="30" customHeight="1" x14ac:dyDescent="0.2">
      <c r="A525" s="39"/>
      <c r="B525" s="312"/>
      <c r="C525" s="532"/>
      <c r="D525" s="657"/>
      <c r="E525" s="662"/>
      <c r="F525" s="662"/>
      <c r="G525" s="272"/>
      <c r="H525" s="56"/>
      <c r="I525" s="55"/>
      <c r="J525" s="56"/>
      <c r="K525" s="187"/>
      <c r="L525" s="187"/>
      <c r="M525" s="56"/>
      <c r="N525" s="56"/>
      <c r="O525" s="55"/>
      <c r="P525" s="56"/>
      <c r="Q525" s="400">
        <f t="shared" ref="Q525:AJ525" si="135">SUM(Q524)</f>
        <v>0</v>
      </c>
      <c r="R525" s="400">
        <f t="shared" si="135"/>
        <v>0</v>
      </c>
      <c r="S525" s="400">
        <f t="shared" si="135"/>
        <v>0</v>
      </c>
      <c r="T525" s="400">
        <f t="shared" si="135"/>
        <v>0</v>
      </c>
      <c r="U525" s="400">
        <f t="shared" si="135"/>
        <v>0</v>
      </c>
      <c r="V525" s="400">
        <f t="shared" si="135"/>
        <v>0</v>
      </c>
      <c r="W525" s="400">
        <f t="shared" si="135"/>
        <v>0</v>
      </c>
      <c r="X525" s="400">
        <f t="shared" si="135"/>
        <v>0</v>
      </c>
      <c r="Y525" s="400">
        <f t="shared" si="135"/>
        <v>0</v>
      </c>
      <c r="Z525" s="400">
        <f t="shared" si="135"/>
        <v>0</v>
      </c>
      <c r="AA525" s="400">
        <f t="shared" si="135"/>
        <v>0</v>
      </c>
      <c r="AB525" s="400">
        <f t="shared" si="135"/>
        <v>0</v>
      </c>
      <c r="AC525" s="400">
        <f t="shared" si="135"/>
        <v>0</v>
      </c>
      <c r="AD525" s="400">
        <f t="shared" si="135"/>
        <v>0</v>
      </c>
      <c r="AE525" s="400">
        <f t="shared" si="135"/>
        <v>0</v>
      </c>
      <c r="AF525" s="400">
        <f t="shared" si="135"/>
        <v>56400000</v>
      </c>
      <c r="AG525" s="400">
        <f t="shared" si="135"/>
        <v>0</v>
      </c>
      <c r="AH525" s="400">
        <f t="shared" si="135"/>
        <v>0</v>
      </c>
      <c r="AI525" s="400">
        <f t="shared" si="135"/>
        <v>0</v>
      </c>
      <c r="AJ525" s="400">
        <f t="shared" si="135"/>
        <v>0</v>
      </c>
      <c r="AK525" s="400">
        <f>SUM(AK524)</f>
        <v>56400000</v>
      </c>
    </row>
    <row r="526" spans="1:37" ht="30" customHeight="1" x14ac:dyDescent="0.2">
      <c r="A526" s="39"/>
      <c r="B526" s="312"/>
      <c r="C526" s="697"/>
      <c r="D526" s="698"/>
      <c r="E526" s="697"/>
      <c r="F526" s="697"/>
      <c r="G526" s="698"/>
      <c r="H526" s="697"/>
      <c r="I526" s="698"/>
      <c r="J526" s="699"/>
      <c r="K526" s="752"/>
      <c r="L526" s="752"/>
      <c r="M526" s="699"/>
      <c r="N526" s="697"/>
      <c r="O526" s="698"/>
      <c r="P526" s="697"/>
      <c r="Q526" s="742"/>
      <c r="R526" s="742"/>
      <c r="S526" s="742"/>
      <c r="T526" s="742"/>
      <c r="U526" s="742"/>
      <c r="V526" s="742"/>
      <c r="W526" s="742"/>
      <c r="X526" s="742"/>
      <c r="Y526" s="742"/>
      <c r="Z526" s="742"/>
      <c r="AA526" s="742"/>
      <c r="AB526" s="742"/>
      <c r="AC526" s="742"/>
      <c r="AD526" s="742"/>
      <c r="AE526" s="742"/>
      <c r="AF526" s="744"/>
      <c r="AG526" s="745"/>
      <c r="AH526" s="742"/>
      <c r="AI526" s="742"/>
      <c r="AJ526" s="742"/>
      <c r="AK526" s="593"/>
    </row>
    <row r="527" spans="1:37" ht="30" customHeight="1" x14ac:dyDescent="0.2">
      <c r="A527" s="39"/>
      <c r="B527" s="312"/>
      <c r="C527" s="533"/>
      <c r="D527" s="655"/>
      <c r="E527" s="661"/>
      <c r="F527" s="661"/>
      <c r="G527" s="75">
        <v>66</v>
      </c>
      <c r="H527" s="77" t="s">
        <v>683</v>
      </c>
      <c r="I527" s="77"/>
      <c r="J527" s="77"/>
      <c r="K527" s="149"/>
      <c r="L527" s="149"/>
      <c r="M527" s="77"/>
      <c r="N527" s="169"/>
      <c r="O527" s="77"/>
      <c r="P527" s="77"/>
      <c r="Q527" s="263"/>
      <c r="R527" s="263"/>
      <c r="S527" s="263"/>
      <c r="T527" s="263"/>
      <c r="U527" s="263"/>
      <c r="V527" s="263"/>
      <c r="W527" s="263"/>
      <c r="X527" s="263"/>
      <c r="Y527" s="263"/>
      <c r="Z527" s="263"/>
      <c r="AA527" s="263"/>
      <c r="AB527" s="263"/>
      <c r="AC527" s="263"/>
      <c r="AD527" s="263"/>
      <c r="AE527" s="263"/>
      <c r="AF527" s="404"/>
      <c r="AG527" s="263"/>
      <c r="AH527" s="263"/>
      <c r="AI527" s="263"/>
      <c r="AJ527" s="263"/>
      <c r="AK527" s="265"/>
    </row>
    <row r="528" spans="1:37" ht="68.25" customHeight="1" x14ac:dyDescent="0.2">
      <c r="A528" s="39"/>
      <c r="B528" s="311"/>
      <c r="C528" s="650">
        <v>21</v>
      </c>
      <c r="D528" s="656" t="s">
        <v>684</v>
      </c>
      <c r="E528" s="650" t="s">
        <v>685</v>
      </c>
      <c r="F528" s="660">
        <v>0.27</v>
      </c>
      <c r="G528" s="90"/>
      <c r="H528" s="677">
        <v>197</v>
      </c>
      <c r="I528" s="679" t="s">
        <v>686</v>
      </c>
      <c r="J528" s="54">
        <v>1</v>
      </c>
      <c r="K528" s="165">
        <v>1</v>
      </c>
      <c r="L528" s="43">
        <v>201700360094</v>
      </c>
      <c r="M528" s="679" t="s">
        <v>615</v>
      </c>
      <c r="N528" s="54" t="s">
        <v>687</v>
      </c>
      <c r="O528" s="679" t="s">
        <v>688</v>
      </c>
      <c r="P528" s="54" t="s">
        <v>46</v>
      </c>
      <c r="Q528" s="391"/>
      <c r="R528" s="391"/>
      <c r="S528" s="391"/>
      <c r="T528" s="391"/>
      <c r="U528" s="391"/>
      <c r="V528" s="391"/>
      <c r="W528" s="391"/>
      <c r="X528" s="391"/>
      <c r="Y528" s="391"/>
      <c r="Z528" s="391"/>
      <c r="AA528" s="391"/>
      <c r="AB528" s="391"/>
      <c r="AC528" s="391"/>
      <c r="AD528" s="391"/>
      <c r="AE528" s="391"/>
      <c r="AF528" s="634">
        <f>45000000+24300000+33520000</f>
        <v>102820000</v>
      </c>
      <c r="AG528" s="405"/>
      <c r="AH528" s="391"/>
      <c r="AI528" s="393"/>
      <c r="AJ528" s="393"/>
      <c r="AK528" s="391">
        <f>Q528+R528+S528+T528+U528+V528+W528+X528+Y528+Z528+AA528+AB528+AC528+AD528+AE528+AF528+AG528+AH528+AI528+AJ528</f>
        <v>102820000</v>
      </c>
    </row>
    <row r="529" spans="1:37" ht="30" customHeight="1" x14ac:dyDescent="0.2">
      <c r="A529" s="39"/>
      <c r="B529" s="315"/>
      <c r="C529" s="532"/>
      <c r="D529" s="657"/>
      <c r="E529" s="662"/>
      <c r="F529" s="662"/>
      <c r="G529" s="55"/>
      <c r="H529" s="56"/>
      <c r="I529" s="55"/>
      <c r="J529" s="56"/>
      <c r="K529" s="187"/>
      <c r="L529" s="187"/>
      <c r="M529" s="56"/>
      <c r="N529" s="56"/>
      <c r="O529" s="55"/>
      <c r="P529" s="56"/>
      <c r="Q529" s="400">
        <f t="shared" ref="Q529:AK529" si="136">SUM(Q528:Q528)</f>
        <v>0</v>
      </c>
      <c r="R529" s="400">
        <f t="shared" si="136"/>
        <v>0</v>
      </c>
      <c r="S529" s="400">
        <f t="shared" si="136"/>
        <v>0</v>
      </c>
      <c r="T529" s="400">
        <f t="shared" si="136"/>
        <v>0</v>
      </c>
      <c r="U529" s="400">
        <f t="shared" si="136"/>
        <v>0</v>
      </c>
      <c r="V529" s="400">
        <f t="shared" si="136"/>
        <v>0</v>
      </c>
      <c r="W529" s="400">
        <f t="shared" si="136"/>
        <v>0</v>
      </c>
      <c r="X529" s="400">
        <f t="shared" si="136"/>
        <v>0</v>
      </c>
      <c r="Y529" s="400">
        <f t="shared" si="136"/>
        <v>0</v>
      </c>
      <c r="Z529" s="400">
        <f t="shared" si="136"/>
        <v>0</v>
      </c>
      <c r="AA529" s="400">
        <f t="shared" si="136"/>
        <v>0</v>
      </c>
      <c r="AB529" s="400">
        <f t="shared" si="136"/>
        <v>0</v>
      </c>
      <c r="AC529" s="400">
        <f t="shared" si="136"/>
        <v>0</v>
      </c>
      <c r="AD529" s="400">
        <f t="shared" si="136"/>
        <v>0</v>
      </c>
      <c r="AE529" s="400">
        <f t="shared" si="136"/>
        <v>0</v>
      </c>
      <c r="AF529" s="400">
        <f t="shared" si="136"/>
        <v>102820000</v>
      </c>
      <c r="AG529" s="400">
        <f t="shared" si="136"/>
        <v>0</v>
      </c>
      <c r="AH529" s="400">
        <f t="shared" si="136"/>
        <v>0</v>
      </c>
      <c r="AI529" s="400">
        <f t="shared" si="136"/>
        <v>0</v>
      </c>
      <c r="AJ529" s="400">
        <f t="shared" si="136"/>
        <v>0</v>
      </c>
      <c r="AK529" s="400">
        <f t="shared" si="136"/>
        <v>102820000</v>
      </c>
    </row>
    <row r="530" spans="1:37" ht="30" customHeight="1" x14ac:dyDescent="0.2">
      <c r="A530" s="39"/>
      <c r="B530" s="93"/>
      <c r="C530" s="60"/>
      <c r="D530" s="59"/>
      <c r="E530" s="60"/>
      <c r="F530" s="60"/>
      <c r="G530" s="59"/>
      <c r="H530" s="60"/>
      <c r="I530" s="59"/>
      <c r="J530" s="60"/>
      <c r="K530" s="204"/>
      <c r="L530" s="204"/>
      <c r="M530" s="60"/>
      <c r="N530" s="60"/>
      <c r="O530" s="59"/>
      <c r="P530" s="60"/>
      <c r="Q530" s="406">
        <f t="shared" ref="Q530:AK530" si="137">Q529+Q525+Q521+Q517+Q512</f>
        <v>0</v>
      </c>
      <c r="R530" s="406">
        <f t="shared" si="137"/>
        <v>0</v>
      </c>
      <c r="S530" s="406">
        <f t="shared" si="137"/>
        <v>0</v>
      </c>
      <c r="T530" s="406">
        <f t="shared" si="137"/>
        <v>0</v>
      </c>
      <c r="U530" s="406">
        <f t="shared" si="137"/>
        <v>0</v>
      </c>
      <c r="V530" s="406">
        <f t="shared" si="137"/>
        <v>0</v>
      </c>
      <c r="W530" s="406">
        <f t="shared" si="137"/>
        <v>0</v>
      </c>
      <c r="X530" s="406">
        <f t="shared" si="137"/>
        <v>0</v>
      </c>
      <c r="Y530" s="406">
        <f t="shared" si="137"/>
        <v>0</v>
      </c>
      <c r="Z530" s="406">
        <f t="shared" si="137"/>
        <v>0</v>
      </c>
      <c r="AA530" s="406">
        <f t="shared" si="137"/>
        <v>0</v>
      </c>
      <c r="AB530" s="406">
        <f t="shared" si="137"/>
        <v>0</v>
      </c>
      <c r="AC530" s="406">
        <f t="shared" si="137"/>
        <v>0</v>
      </c>
      <c r="AD530" s="406">
        <f t="shared" si="137"/>
        <v>0</v>
      </c>
      <c r="AE530" s="406">
        <f t="shared" si="137"/>
        <v>0</v>
      </c>
      <c r="AF530" s="406">
        <f t="shared" si="137"/>
        <v>1614220000</v>
      </c>
      <c r="AG530" s="406">
        <f t="shared" si="137"/>
        <v>0</v>
      </c>
      <c r="AH530" s="406">
        <f t="shared" si="137"/>
        <v>0</v>
      </c>
      <c r="AI530" s="406">
        <f t="shared" si="137"/>
        <v>0</v>
      </c>
      <c r="AJ530" s="406">
        <f t="shared" si="137"/>
        <v>0</v>
      </c>
      <c r="AK530" s="406">
        <f t="shared" si="137"/>
        <v>1614220000</v>
      </c>
    </row>
    <row r="531" spans="1:37" ht="30" customHeight="1" x14ac:dyDescent="0.2">
      <c r="A531" s="39"/>
      <c r="B531" s="308"/>
      <c r="C531" s="309"/>
      <c r="D531" s="69"/>
      <c r="E531" s="146"/>
      <c r="F531" s="146"/>
      <c r="G531" s="69"/>
      <c r="H531" s="146"/>
      <c r="I531" s="69"/>
      <c r="J531" s="146"/>
      <c r="K531" s="191"/>
      <c r="L531" s="191"/>
      <c r="M531" s="146"/>
      <c r="N531" s="146"/>
      <c r="O531" s="69"/>
      <c r="P531" s="146"/>
      <c r="Q531" s="395"/>
      <c r="R531" s="395"/>
      <c r="S531" s="395"/>
      <c r="T531" s="395"/>
      <c r="U531" s="395"/>
      <c r="V531" s="395"/>
      <c r="W531" s="395"/>
      <c r="X531" s="395"/>
      <c r="Y531" s="395"/>
      <c r="Z531" s="395"/>
      <c r="AA531" s="395"/>
      <c r="AB531" s="395"/>
      <c r="AC531" s="395"/>
      <c r="AD531" s="395"/>
      <c r="AE531" s="395"/>
      <c r="AF531" s="397"/>
      <c r="AG531" s="398"/>
      <c r="AH531" s="395"/>
      <c r="AI531" s="395"/>
      <c r="AJ531" s="395"/>
      <c r="AK531" s="399"/>
    </row>
    <row r="532" spans="1:37" ht="30" customHeight="1" x14ac:dyDescent="0.2">
      <c r="A532" s="39"/>
      <c r="B532" s="121">
        <v>19</v>
      </c>
      <c r="C532" s="35" t="s">
        <v>689</v>
      </c>
      <c r="D532" s="36"/>
      <c r="E532" s="36"/>
      <c r="F532" s="36"/>
      <c r="G532" s="36"/>
      <c r="H532" s="37"/>
      <c r="I532" s="36"/>
      <c r="J532" s="36"/>
      <c r="K532" s="197"/>
      <c r="L532" s="197"/>
      <c r="M532" s="36"/>
      <c r="N532" s="37"/>
      <c r="O532" s="36"/>
      <c r="P532" s="36"/>
      <c r="Q532" s="402"/>
      <c r="R532" s="402"/>
      <c r="S532" s="402"/>
      <c r="T532" s="402"/>
      <c r="U532" s="402"/>
      <c r="V532" s="402"/>
      <c r="W532" s="402"/>
      <c r="X532" s="402"/>
      <c r="Y532" s="402"/>
      <c r="Z532" s="402"/>
      <c r="AA532" s="402"/>
      <c r="AB532" s="402"/>
      <c r="AC532" s="402"/>
      <c r="AD532" s="402"/>
      <c r="AE532" s="402"/>
      <c r="AF532" s="403"/>
      <c r="AG532" s="402"/>
      <c r="AH532" s="402"/>
      <c r="AI532" s="402"/>
      <c r="AJ532" s="402"/>
      <c r="AK532" s="407"/>
    </row>
    <row r="533" spans="1:37" ht="32.25" customHeight="1" x14ac:dyDescent="0.2">
      <c r="A533" s="39"/>
      <c r="B533" s="310"/>
      <c r="C533" s="317"/>
      <c r="D533" s="679"/>
      <c r="E533" s="54"/>
      <c r="F533" s="54"/>
      <c r="G533" s="215">
        <v>67</v>
      </c>
      <c r="H533" s="77" t="s">
        <v>690</v>
      </c>
      <c r="I533" s="77"/>
      <c r="J533" s="77"/>
      <c r="K533" s="149"/>
      <c r="L533" s="149"/>
      <c r="M533" s="77"/>
      <c r="N533" s="169"/>
      <c r="O533" s="77"/>
      <c r="P533" s="77"/>
      <c r="Q533" s="263"/>
      <c r="R533" s="263"/>
      <c r="S533" s="263"/>
      <c r="T533" s="263"/>
      <c r="U533" s="263"/>
      <c r="V533" s="263"/>
      <c r="W533" s="263"/>
      <c r="X533" s="263"/>
      <c r="Y533" s="263"/>
      <c r="Z533" s="263"/>
      <c r="AA533" s="263"/>
      <c r="AB533" s="263"/>
      <c r="AC533" s="263"/>
      <c r="AD533" s="263"/>
      <c r="AE533" s="263"/>
      <c r="AF533" s="404"/>
      <c r="AG533" s="263"/>
      <c r="AH533" s="263"/>
      <c r="AI533" s="263"/>
      <c r="AJ533" s="263"/>
      <c r="AK533" s="265"/>
    </row>
    <row r="534" spans="1:37" s="2" customFormat="1" ht="65.25" customHeight="1" x14ac:dyDescent="0.25">
      <c r="A534" s="39"/>
      <c r="B534" s="311"/>
      <c r="C534" s="774">
        <v>35</v>
      </c>
      <c r="D534" s="774" t="s">
        <v>691</v>
      </c>
      <c r="E534" s="774" t="s">
        <v>692</v>
      </c>
      <c r="F534" s="774" t="s">
        <v>693</v>
      </c>
      <c r="G534" s="40"/>
      <c r="H534" s="146">
        <v>198</v>
      </c>
      <c r="I534" s="679" t="s">
        <v>694</v>
      </c>
      <c r="J534" s="54">
        <v>1</v>
      </c>
      <c r="K534" s="165">
        <v>1</v>
      </c>
      <c r="L534" s="784">
        <v>201700360095</v>
      </c>
      <c r="M534" s="777" t="s">
        <v>615</v>
      </c>
      <c r="N534" s="774" t="s">
        <v>695</v>
      </c>
      <c r="O534" s="777" t="s">
        <v>999</v>
      </c>
      <c r="P534" s="54" t="s">
        <v>46</v>
      </c>
      <c r="Q534" s="391">
        <v>0</v>
      </c>
      <c r="R534" s="391">
        <v>0</v>
      </c>
      <c r="S534" s="391"/>
      <c r="T534" s="391">
        <v>0</v>
      </c>
      <c r="U534" s="391">
        <v>0</v>
      </c>
      <c r="V534" s="391">
        <v>0</v>
      </c>
      <c r="W534" s="391">
        <v>0</v>
      </c>
      <c r="X534" s="391"/>
      <c r="Y534" s="391"/>
      <c r="Z534" s="391">
        <v>0</v>
      </c>
      <c r="AA534" s="391">
        <v>0</v>
      </c>
      <c r="AB534" s="391"/>
      <c r="AC534" s="391"/>
      <c r="AD534" s="391">
        <v>0</v>
      </c>
      <c r="AE534" s="391">
        <v>0</v>
      </c>
      <c r="AF534" s="636">
        <f>44000000+40480000</f>
        <v>84480000</v>
      </c>
      <c r="AG534" s="394"/>
      <c r="AH534" s="391">
        <v>0</v>
      </c>
      <c r="AI534" s="393"/>
      <c r="AJ534" s="393"/>
      <c r="AK534" s="391">
        <f>Q534+R534+S534+T534+U534+V534+W534+X534+Y534+Z534+AA534+AB534+AC534+AD534+AE534+AF534+AG534+AH534+AI534+AJ534</f>
        <v>84480000</v>
      </c>
    </row>
    <row r="535" spans="1:37" s="2" customFormat="1" ht="65.25" customHeight="1" x14ac:dyDescent="0.25">
      <c r="A535" s="39"/>
      <c r="B535" s="311"/>
      <c r="C535" s="775"/>
      <c r="D535" s="775"/>
      <c r="E535" s="775"/>
      <c r="F535" s="775"/>
      <c r="G535" s="46"/>
      <c r="H535" s="54">
        <v>199</v>
      </c>
      <c r="I535" s="679" t="s">
        <v>697</v>
      </c>
      <c r="J535" s="54">
        <v>0</v>
      </c>
      <c r="K535" s="165">
        <v>4</v>
      </c>
      <c r="L535" s="785"/>
      <c r="M535" s="778"/>
      <c r="N535" s="775"/>
      <c r="O535" s="778"/>
      <c r="P535" s="54" t="s">
        <v>46</v>
      </c>
      <c r="Q535" s="391"/>
      <c r="R535" s="391"/>
      <c r="S535" s="391"/>
      <c r="T535" s="391"/>
      <c r="U535" s="391"/>
      <c r="V535" s="391"/>
      <c r="W535" s="391"/>
      <c r="X535" s="391"/>
      <c r="Y535" s="391"/>
      <c r="Z535" s="391"/>
      <c r="AA535" s="391"/>
      <c r="AB535" s="391"/>
      <c r="AC535" s="391"/>
      <c r="AD535" s="391"/>
      <c r="AE535" s="391"/>
      <c r="AF535" s="394">
        <f>37000000+24300000</f>
        <v>61300000</v>
      </c>
      <c r="AG535" s="394"/>
      <c r="AH535" s="391"/>
      <c r="AI535" s="393"/>
      <c r="AJ535" s="393"/>
      <c r="AK535" s="391">
        <f>Q535+R535+S535+T535+U535+V535+W535+X535+Y535+Z535+AA535+AB535+AC535+AD535+AE535+AF535+AG535+AH535+AI535+AJ535</f>
        <v>61300000</v>
      </c>
    </row>
    <row r="536" spans="1:37" ht="65.25" customHeight="1" x14ac:dyDescent="0.2">
      <c r="A536" s="39"/>
      <c r="B536" s="311"/>
      <c r="C536" s="775"/>
      <c r="D536" s="775"/>
      <c r="E536" s="775"/>
      <c r="F536" s="775"/>
      <c r="G536" s="46"/>
      <c r="H536" s="146">
        <v>200</v>
      </c>
      <c r="I536" s="679" t="s">
        <v>698</v>
      </c>
      <c r="J536" s="54">
        <v>12</v>
      </c>
      <c r="K536" s="165">
        <v>12</v>
      </c>
      <c r="L536" s="785"/>
      <c r="M536" s="778"/>
      <c r="N536" s="775"/>
      <c r="O536" s="778"/>
      <c r="P536" s="54" t="s">
        <v>46</v>
      </c>
      <c r="Q536" s="391">
        <v>0</v>
      </c>
      <c r="R536" s="394">
        <f>1059360000+186430364.4</f>
        <v>1245790364.4000001</v>
      </c>
      <c r="S536" s="391"/>
      <c r="T536" s="391">
        <v>0</v>
      </c>
      <c r="U536" s="391">
        <v>0</v>
      </c>
      <c r="V536" s="391">
        <v>0</v>
      </c>
      <c r="W536" s="391">
        <v>0</v>
      </c>
      <c r="X536" s="391"/>
      <c r="Y536" s="391"/>
      <c r="Z536" s="391">
        <v>0</v>
      </c>
      <c r="AA536" s="391">
        <v>0</v>
      </c>
      <c r="AB536" s="391"/>
      <c r="AC536" s="391"/>
      <c r="AD536" s="391">
        <v>0</v>
      </c>
      <c r="AE536" s="391">
        <v>0</v>
      </c>
      <c r="AF536" s="392"/>
      <c r="AG536" s="405"/>
      <c r="AH536" s="391">
        <v>0</v>
      </c>
      <c r="AI536" s="393"/>
      <c r="AJ536" s="393"/>
      <c r="AK536" s="391">
        <f>Q536+R536+S536+T536+U536+V536+W536+X536+Y536+Z536+AA536+AB536+AC536+AD536+AE536+AF536+AG536+AH536+AI536+AJ536</f>
        <v>1245790364.4000001</v>
      </c>
    </row>
    <row r="537" spans="1:37" ht="75" customHeight="1" x14ac:dyDescent="0.2">
      <c r="A537" s="39"/>
      <c r="B537" s="311"/>
      <c r="C537" s="776"/>
      <c r="D537" s="776"/>
      <c r="E537" s="776"/>
      <c r="F537" s="776"/>
      <c r="G537" s="90"/>
      <c r="H537" s="146">
        <v>201</v>
      </c>
      <c r="I537" s="679" t="s">
        <v>699</v>
      </c>
      <c r="J537" s="54">
        <v>14</v>
      </c>
      <c r="K537" s="165">
        <v>14</v>
      </c>
      <c r="L537" s="786"/>
      <c r="M537" s="779"/>
      <c r="N537" s="776"/>
      <c r="O537" s="779"/>
      <c r="P537" s="54" t="s">
        <v>46</v>
      </c>
      <c r="Q537" s="391">
        <v>0</v>
      </c>
      <c r="R537" s="636">
        <f>2471840000+79898727.6+87901586</f>
        <v>2639640313.5999999</v>
      </c>
      <c r="S537" s="391">
        <v>0</v>
      </c>
      <c r="T537" s="391">
        <v>0</v>
      </c>
      <c r="U537" s="391">
        <v>0</v>
      </c>
      <c r="V537" s="391">
        <v>0</v>
      </c>
      <c r="W537" s="391">
        <v>0</v>
      </c>
      <c r="X537" s="391"/>
      <c r="Y537" s="391"/>
      <c r="Z537" s="391">
        <v>0</v>
      </c>
      <c r="AA537" s="391">
        <v>0</v>
      </c>
      <c r="AB537" s="391"/>
      <c r="AC537" s="391"/>
      <c r="AD537" s="391">
        <v>0</v>
      </c>
      <c r="AE537" s="391">
        <v>0</v>
      </c>
      <c r="AF537" s="392">
        <v>0</v>
      </c>
      <c r="AG537" s="405"/>
      <c r="AH537" s="391">
        <v>0</v>
      </c>
      <c r="AI537" s="393"/>
      <c r="AJ537" s="393"/>
      <c r="AK537" s="391">
        <f>Q537+R537+S537+T537+U537+V537+W537+X537+Y537+Z537+AA537+AB537+AC537+AD537+AE537+AF537+AG537+AH537+AI537+AJ537</f>
        <v>2639640313.5999999</v>
      </c>
    </row>
    <row r="538" spans="1:37" ht="30" customHeight="1" x14ac:dyDescent="0.2">
      <c r="A538" s="39"/>
      <c r="B538" s="315"/>
      <c r="C538" s="318"/>
      <c r="D538" s="679"/>
      <c r="E538" s="54"/>
      <c r="F538" s="54"/>
      <c r="G538" s="55"/>
      <c r="H538" s="56"/>
      <c r="I538" s="55"/>
      <c r="J538" s="56"/>
      <c r="K538" s="187"/>
      <c r="L538" s="187"/>
      <c r="M538" s="56"/>
      <c r="N538" s="56"/>
      <c r="O538" s="319"/>
      <c r="P538" s="56"/>
      <c r="Q538" s="400">
        <f t="shared" ref="Q538:AJ538" si="138">SUM(Q534:Q537)</f>
        <v>0</v>
      </c>
      <c r="R538" s="400">
        <f t="shared" si="138"/>
        <v>3885430678</v>
      </c>
      <c r="S538" s="400">
        <f t="shared" si="138"/>
        <v>0</v>
      </c>
      <c r="T538" s="400">
        <f t="shared" si="138"/>
        <v>0</v>
      </c>
      <c r="U538" s="400">
        <f t="shared" si="138"/>
        <v>0</v>
      </c>
      <c r="V538" s="400">
        <f t="shared" si="138"/>
        <v>0</v>
      </c>
      <c r="W538" s="400">
        <f t="shared" si="138"/>
        <v>0</v>
      </c>
      <c r="X538" s="400">
        <f t="shared" si="138"/>
        <v>0</v>
      </c>
      <c r="Y538" s="400">
        <f t="shared" si="138"/>
        <v>0</v>
      </c>
      <c r="Z538" s="400">
        <f t="shared" si="138"/>
        <v>0</v>
      </c>
      <c r="AA538" s="400">
        <f t="shared" si="138"/>
        <v>0</v>
      </c>
      <c r="AB538" s="400">
        <f t="shared" si="138"/>
        <v>0</v>
      </c>
      <c r="AC538" s="400">
        <f t="shared" si="138"/>
        <v>0</v>
      </c>
      <c r="AD538" s="400">
        <f t="shared" si="138"/>
        <v>0</v>
      </c>
      <c r="AE538" s="400">
        <f t="shared" si="138"/>
        <v>0</v>
      </c>
      <c r="AF538" s="400">
        <f t="shared" si="138"/>
        <v>145780000</v>
      </c>
      <c r="AG538" s="400">
        <f t="shared" si="138"/>
        <v>0</v>
      </c>
      <c r="AH538" s="400">
        <f t="shared" si="138"/>
        <v>0</v>
      </c>
      <c r="AI538" s="400">
        <f t="shared" si="138"/>
        <v>0</v>
      </c>
      <c r="AJ538" s="400">
        <f t="shared" si="138"/>
        <v>0</v>
      </c>
      <c r="AK538" s="400">
        <f>SUM(AK534:AK537)</f>
        <v>4031210678</v>
      </c>
    </row>
    <row r="539" spans="1:37" ht="30" customHeight="1" x14ac:dyDescent="0.2">
      <c r="A539" s="52"/>
      <c r="B539" s="93"/>
      <c r="C539" s="60"/>
      <c r="D539" s="59"/>
      <c r="E539" s="60"/>
      <c r="F539" s="60"/>
      <c r="G539" s="59"/>
      <c r="H539" s="60"/>
      <c r="I539" s="59"/>
      <c r="J539" s="60"/>
      <c r="K539" s="204"/>
      <c r="L539" s="204"/>
      <c r="M539" s="60"/>
      <c r="N539" s="60"/>
      <c r="O539" s="320"/>
      <c r="P539" s="60"/>
      <c r="Q539" s="406">
        <f t="shared" ref="Q539:AK539" si="139">Q538</f>
        <v>0</v>
      </c>
      <c r="R539" s="406">
        <f t="shared" si="139"/>
        <v>3885430678</v>
      </c>
      <c r="S539" s="406">
        <f t="shared" si="139"/>
        <v>0</v>
      </c>
      <c r="T539" s="406">
        <f t="shared" si="139"/>
        <v>0</v>
      </c>
      <c r="U539" s="406">
        <f t="shared" si="139"/>
        <v>0</v>
      </c>
      <c r="V539" s="406">
        <f t="shared" si="139"/>
        <v>0</v>
      </c>
      <c r="W539" s="406">
        <f t="shared" si="139"/>
        <v>0</v>
      </c>
      <c r="X539" s="406">
        <f t="shared" si="139"/>
        <v>0</v>
      </c>
      <c r="Y539" s="406">
        <f t="shared" si="139"/>
        <v>0</v>
      </c>
      <c r="Z539" s="406">
        <f t="shared" si="139"/>
        <v>0</v>
      </c>
      <c r="AA539" s="406">
        <f t="shared" si="139"/>
        <v>0</v>
      </c>
      <c r="AB539" s="406">
        <f t="shared" si="139"/>
        <v>0</v>
      </c>
      <c r="AC539" s="406">
        <f t="shared" si="139"/>
        <v>0</v>
      </c>
      <c r="AD539" s="406">
        <f t="shared" si="139"/>
        <v>0</v>
      </c>
      <c r="AE539" s="406">
        <f t="shared" si="139"/>
        <v>0</v>
      </c>
      <c r="AF539" s="406">
        <f t="shared" si="139"/>
        <v>145780000</v>
      </c>
      <c r="AG539" s="406">
        <f t="shared" si="139"/>
        <v>0</v>
      </c>
      <c r="AH539" s="406">
        <f t="shared" si="139"/>
        <v>0</v>
      </c>
      <c r="AI539" s="406">
        <f t="shared" si="139"/>
        <v>0</v>
      </c>
      <c r="AJ539" s="406">
        <f t="shared" si="139"/>
        <v>0</v>
      </c>
      <c r="AK539" s="406">
        <f t="shared" si="139"/>
        <v>4031210678</v>
      </c>
    </row>
    <row r="540" spans="1:37" ht="30" customHeight="1" x14ac:dyDescent="0.2">
      <c r="A540" s="62"/>
      <c r="B540" s="62"/>
      <c r="C540" s="63"/>
      <c r="D540" s="62"/>
      <c r="E540" s="63"/>
      <c r="F540" s="63"/>
      <c r="G540" s="62"/>
      <c r="H540" s="63"/>
      <c r="I540" s="62"/>
      <c r="J540" s="63"/>
      <c r="K540" s="207"/>
      <c r="L540" s="207"/>
      <c r="M540" s="63"/>
      <c r="N540" s="63"/>
      <c r="O540" s="321"/>
      <c r="P540" s="63"/>
      <c r="Q540" s="412">
        <f t="shared" ref="Q540:AJ540" si="140">Q539+Q530+Q506+Q484</f>
        <v>0</v>
      </c>
      <c r="R540" s="412">
        <f t="shared" si="140"/>
        <v>3885430678</v>
      </c>
      <c r="S540" s="412">
        <f t="shared" si="140"/>
        <v>0</v>
      </c>
      <c r="T540" s="412">
        <f t="shared" si="140"/>
        <v>0</v>
      </c>
      <c r="U540" s="412">
        <f t="shared" si="140"/>
        <v>0</v>
      </c>
      <c r="V540" s="412">
        <f t="shared" si="140"/>
        <v>0</v>
      </c>
      <c r="W540" s="412">
        <f t="shared" si="140"/>
        <v>0</v>
      </c>
      <c r="X540" s="412">
        <f t="shared" si="140"/>
        <v>0</v>
      </c>
      <c r="Y540" s="412">
        <f t="shared" si="140"/>
        <v>0</v>
      </c>
      <c r="Z540" s="412">
        <f t="shared" si="140"/>
        <v>0</v>
      </c>
      <c r="AA540" s="412">
        <f t="shared" si="140"/>
        <v>0</v>
      </c>
      <c r="AB540" s="412">
        <f t="shared" si="140"/>
        <v>0</v>
      </c>
      <c r="AC540" s="412">
        <f t="shared" si="140"/>
        <v>0</v>
      </c>
      <c r="AD540" s="412">
        <f t="shared" si="140"/>
        <v>0</v>
      </c>
      <c r="AE540" s="412">
        <f t="shared" si="140"/>
        <v>0</v>
      </c>
      <c r="AF540" s="412">
        <f t="shared" si="140"/>
        <v>2811000000</v>
      </c>
      <c r="AG540" s="412">
        <f t="shared" si="140"/>
        <v>0</v>
      </c>
      <c r="AH540" s="412">
        <f t="shared" si="140"/>
        <v>0</v>
      </c>
      <c r="AI540" s="412">
        <f t="shared" si="140"/>
        <v>0</v>
      </c>
      <c r="AJ540" s="412">
        <f t="shared" si="140"/>
        <v>0</v>
      </c>
      <c r="AK540" s="412">
        <f>AK539+AK530+AK506+AK484</f>
        <v>6696430678</v>
      </c>
    </row>
    <row r="541" spans="1:37" ht="30" customHeight="1" x14ac:dyDescent="0.2">
      <c r="A541" s="65"/>
      <c r="B541" s="65"/>
      <c r="C541" s="66"/>
      <c r="D541" s="65"/>
      <c r="E541" s="66"/>
      <c r="F541" s="66"/>
      <c r="G541" s="65"/>
      <c r="H541" s="66"/>
      <c r="I541" s="322"/>
      <c r="J541" s="67"/>
      <c r="K541" s="307"/>
      <c r="L541" s="307"/>
      <c r="M541" s="67"/>
      <c r="N541" s="66"/>
      <c r="O541" s="65"/>
      <c r="P541" s="66"/>
      <c r="Q541" s="413">
        <f t="shared" ref="Q541:AK541" si="141">+Q540</f>
        <v>0</v>
      </c>
      <c r="R541" s="413">
        <f t="shared" si="141"/>
        <v>3885430678</v>
      </c>
      <c r="S541" s="413">
        <f t="shared" si="141"/>
        <v>0</v>
      </c>
      <c r="T541" s="413">
        <f t="shared" si="141"/>
        <v>0</v>
      </c>
      <c r="U541" s="413">
        <f t="shared" si="141"/>
        <v>0</v>
      </c>
      <c r="V541" s="413">
        <f t="shared" si="141"/>
        <v>0</v>
      </c>
      <c r="W541" s="413">
        <f t="shared" si="141"/>
        <v>0</v>
      </c>
      <c r="X541" s="413">
        <f t="shared" si="141"/>
        <v>0</v>
      </c>
      <c r="Y541" s="413">
        <f t="shared" si="141"/>
        <v>0</v>
      </c>
      <c r="Z541" s="413">
        <f t="shared" si="141"/>
        <v>0</v>
      </c>
      <c r="AA541" s="413">
        <f t="shared" si="141"/>
        <v>0</v>
      </c>
      <c r="AB541" s="413">
        <f t="shared" si="141"/>
        <v>0</v>
      </c>
      <c r="AC541" s="413">
        <f t="shared" si="141"/>
        <v>0</v>
      </c>
      <c r="AD541" s="413">
        <f t="shared" si="141"/>
        <v>0</v>
      </c>
      <c r="AE541" s="413">
        <f t="shared" si="141"/>
        <v>0</v>
      </c>
      <c r="AF541" s="413">
        <f t="shared" si="141"/>
        <v>2811000000</v>
      </c>
      <c r="AG541" s="413">
        <f t="shared" si="141"/>
        <v>0</v>
      </c>
      <c r="AH541" s="413">
        <f t="shared" si="141"/>
        <v>0</v>
      </c>
      <c r="AI541" s="413">
        <f t="shared" si="141"/>
        <v>0</v>
      </c>
      <c r="AJ541" s="413">
        <f t="shared" si="141"/>
        <v>0</v>
      </c>
      <c r="AK541" s="413">
        <f t="shared" si="141"/>
        <v>6696430678</v>
      </c>
    </row>
    <row r="542" spans="1:37" ht="30" customHeight="1" x14ac:dyDescent="0.2">
      <c r="A542" s="68"/>
      <c r="B542" s="69"/>
      <c r="C542" s="146"/>
      <c r="D542" s="69"/>
      <c r="E542" s="146"/>
      <c r="F542" s="146"/>
      <c r="G542" s="69"/>
      <c r="H542" s="146"/>
      <c r="I542" s="87"/>
      <c r="J542" s="70"/>
      <c r="K542" s="193"/>
      <c r="L542" s="193"/>
      <c r="M542" s="70"/>
      <c r="N542" s="146"/>
      <c r="O542" s="69"/>
      <c r="P542" s="146"/>
      <c r="Q542" s="395"/>
      <c r="R542" s="396"/>
      <c r="S542" s="395"/>
      <c r="T542" s="395"/>
      <c r="U542" s="395"/>
      <c r="V542" s="395"/>
      <c r="W542" s="395"/>
      <c r="X542" s="395"/>
      <c r="Y542" s="395"/>
      <c r="Z542" s="395"/>
      <c r="AA542" s="395"/>
      <c r="AB542" s="396"/>
      <c r="AC542" s="396"/>
      <c r="AD542" s="395"/>
      <c r="AE542" s="395"/>
      <c r="AF542" s="397" t="s">
        <v>63</v>
      </c>
      <c r="AG542" s="398"/>
      <c r="AH542" s="395"/>
      <c r="AI542" s="395"/>
      <c r="AJ542" s="395"/>
      <c r="AK542" s="399" t="s">
        <v>63</v>
      </c>
    </row>
    <row r="543" spans="1:37" s="2" customFormat="1" ht="30" customHeight="1" x14ac:dyDescent="0.25">
      <c r="A543" s="28" t="s">
        <v>700</v>
      </c>
      <c r="B543" s="29"/>
      <c r="C543" s="30"/>
      <c r="D543" s="29"/>
      <c r="E543" s="29"/>
      <c r="F543" s="29"/>
      <c r="G543" s="29"/>
      <c r="H543" s="30"/>
      <c r="I543" s="29"/>
      <c r="J543" s="29"/>
      <c r="K543" s="213"/>
      <c r="L543" s="213"/>
      <c r="M543" s="29"/>
      <c r="N543" s="30"/>
      <c r="O543" s="29"/>
      <c r="P543" s="30"/>
      <c r="Q543" s="459"/>
      <c r="R543" s="459"/>
      <c r="S543" s="459"/>
      <c r="T543" s="459"/>
      <c r="U543" s="459"/>
      <c r="V543" s="459"/>
      <c r="W543" s="459"/>
      <c r="X543" s="459"/>
      <c r="Y543" s="459"/>
      <c r="Z543" s="459"/>
      <c r="AA543" s="459"/>
      <c r="AB543" s="459"/>
      <c r="AC543" s="459"/>
      <c r="AD543" s="459"/>
      <c r="AE543" s="459"/>
      <c r="AF543" s="460"/>
      <c r="AG543" s="461"/>
      <c r="AH543" s="459"/>
      <c r="AI543" s="459"/>
      <c r="AJ543" s="459"/>
      <c r="AK543" s="462"/>
    </row>
    <row r="544" spans="1:37" s="2" customFormat="1" ht="30" customHeight="1" x14ac:dyDescent="0.25">
      <c r="A544" s="738">
        <v>5</v>
      </c>
      <c r="B544" s="31" t="s">
        <v>31</v>
      </c>
      <c r="C544" s="32"/>
      <c r="D544" s="31"/>
      <c r="E544" s="31"/>
      <c r="F544" s="31"/>
      <c r="G544" s="31"/>
      <c r="H544" s="32"/>
      <c r="I544" s="31"/>
      <c r="J544" s="31"/>
      <c r="K544" s="214"/>
      <c r="L544" s="214"/>
      <c r="M544" s="31"/>
      <c r="N544" s="32"/>
      <c r="O544" s="31"/>
      <c r="P544" s="31"/>
      <c r="Q544" s="421"/>
      <c r="R544" s="421"/>
      <c r="S544" s="421"/>
      <c r="T544" s="421"/>
      <c r="U544" s="421"/>
      <c r="V544" s="421"/>
      <c r="W544" s="421"/>
      <c r="X544" s="421"/>
      <c r="Y544" s="421"/>
      <c r="Z544" s="421"/>
      <c r="AA544" s="421"/>
      <c r="AB544" s="421"/>
      <c r="AC544" s="421"/>
      <c r="AD544" s="421"/>
      <c r="AE544" s="421"/>
      <c r="AF544" s="422"/>
      <c r="AG544" s="421"/>
      <c r="AH544" s="421"/>
      <c r="AI544" s="421"/>
      <c r="AJ544" s="421"/>
      <c r="AK544" s="423"/>
    </row>
    <row r="545" spans="1:37" s="2" customFormat="1" ht="30" customHeight="1" x14ac:dyDescent="0.25">
      <c r="A545" s="73"/>
      <c r="B545" s="121">
        <v>26</v>
      </c>
      <c r="C545" s="37" t="s">
        <v>64</v>
      </c>
      <c r="D545" s="36"/>
      <c r="E545" s="36"/>
      <c r="F545" s="36"/>
      <c r="G545" s="36"/>
      <c r="H545" s="37"/>
      <c r="I545" s="36"/>
      <c r="J545" s="36"/>
      <c r="K545" s="197"/>
      <c r="L545" s="197"/>
      <c r="M545" s="36"/>
      <c r="N545" s="37"/>
      <c r="O545" s="36"/>
      <c r="P545" s="36"/>
      <c r="Q545" s="402"/>
      <c r="R545" s="402"/>
      <c r="S545" s="402"/>
      <c r="T545" s="402"/>
      <c r="U545" s="402"/>
      <c r="V545" s="402"/>
      <c r="W545" s="402"/>
      <c r="X545" s="402"/>
      <c r="Y545" s="402"/>
      <c r="Z545" s="402"/>
      <c r="AA545" s="402"/>
      <c r="AB545" s="402"/>
      <c r="AC545" s="402"/>
      <c r="AD545" s="402"/>
      <c r="AE545" s="402"/>
      <c r="AF545" s="403"/>
      <c r="AG545" s="402"/>
      <c r="AH545" s="402"/>
      <c r="AI545" s="402"/>
      <c r="AJ545" s="402"/>
      <c r="AK545" s="407"/>
    </row>
    <row r="546" spans="1:37" s="2" customFormat="1" ht="30" customHeight="1" x14ac:dyDescent="0.25">
      <c r="A546" s="39"/>
      <c r="B546" s="73"/>
      <c r="C546" s="661"/>
      <c r="D546" s="655"/>
      <c r="E546" s="661"/>
      <c r="F546" s="661"/>
      <c r="G546" s="215">
        <v>83</v>
      </c>
      <c r="H546" s="77" t="s">
        <v>65</v>
      </c>
      <c r="I546" s="77"/>
      <c r="J546" s="77"/>
      <c r="K546" s="149"/>
      <c r="L546" s="149"/>
      <c r="M546" s="77"/>
      <c r="N546" s="169"/>
      <c r="O546" s="77"/>
      <c r="P546" s="77"/>
      <c r="Q546" s="263"/>
      <c r="R546" s="263"/>
      <c r="S546" s="263"/>
      <c r="T546" s="263"/>
      <c r="U546" s="263"/>
      <c r="V546" s="263"/>
      <c r="W546" s="263"/>
      <c r="X546" s="263"/>
      <c r="Y546" s="263"/>
      <c r="Z546" s="263"/>
      <c r="AA546" s="263"/>
      <c r="AB546" s="263"/>
      <c r="AC546" s="263"/>
      <c r="AD546" s="263"/>
      <c r="AE546" s="263"/>
      <c r="AF546" s="404"/>
      <c r="AG546" s="263"/>
      <c r="AH546" s="263"/>
      <c r="AI546" s="263"/>
      <c r="AJ546" s="263"/>
      <c r="AK546" s="265"/>
    </row>
    <row r="547" spans="1:37" ht="112.5" customHeight="1" x14ac:dyDescent="0.2">
      <c r="A547" s="39"/>
      <c r="B547" s="39"/>
      <c r="C547" s="650">
        <v>37</v>
      </c>
      <c r="D547" s="656" t="s">
        <v>701</v>
      </c>
      <c r="E547" s="664">
        <v>0.54610000000000003</v>
      </c>
      <c r="F547" s="660">
        <v>0.6</v>
      </c>
      <c r="G547" s="90"/>
      <c r="H547" s="54">
        <v>243</v>
      </c>
      <c r="I547" s="679" t="s">
        <v>702</v>
      </c>
      <c r="J547" s="41" t="s">
        <v>37</v>
      </c>
      <c r="K547" s="186">
        <v>6</v>
      </c>
      <c r="L547" s="43">
        <v>2017003630017</v>
      </c>
      <c r="M547" s="679" t="s">
        <v>464</v>
      </c>
      <c r="N547" s="54" t="s">
        <v>703</v>
      </c>
      <c r="O547" s="679" t="s">
        <v>704</v>
      </c>
      <c r="P547" s="54" t="s">
        <v>61</v>
      </c>
      <c r="Q547" s="391"/>
      <c r="R547" s="391"/>
      <c r="S547" s="391"/>
      <c r="T547" s="391"/>
      <c r="U547" s="391"/>
      <c r="V547" s="391"/>
      <c r="W547" s="391"/>
      <c r="X547" s="391"/>
      <c r="Y547" s="391"/>
      <c r="Z547" s="391"/>
      <c r="AA547" s="391"/>
      <c r="AB547" s="391"/>
      <c r="AC547" s="391"/>
      <c r="AD547" s="391"/>
      <c r="AE547" s="391"/>
      <c r="AF547" s="394">
        <v>72000000</v>
      </c>
      <c r="AG547" s="394"/>
      <c r="AH547" s="391"/>
      <c r="AI547" s="393"/>
      <c r="AJ547" s="393"/>
      <c r="AK547" s="391">
        <f>Q547+R547+S547+T547+U547+V547+W547+X547+Y547+Z547+AA547+AB547+AC547+AD547+AE547+AF547+AG547+AH547+AI547+AJ547</f>
        <v>72000000</v>
      </c>
    </row>
    <row r="548" spans="1:37" ht="30" customHeight="1" x14ac:dyDescent="0.2">
      <c r="A548" s="39"/>
      <c r="B548" s="52"/>
      <c r="C548" s="662"/>
      <c r="D548" s="657"/>
      <c r="E548" s="662"/>
      <c r="F548" s="662"/>
      <c r="G548" s="285"/>
      <c r="H548" s="286"/>
      <c r="I548" s="55"/>
      <c r="J548" s="57"/>
      <c r="K548" s="192"/>
      <c r="L548" s="192"/>
      <c r="M548" s="57"/>
      <c r="N548" s="56"/>
      <c r="O548" s="55"/>
      <c r="P548" s="56"/>
      <c r="Q548" s="400">
        <f t="shared" ref="Q548:AJ548" si="142">SUM(Q547:Q547)</f>
        <v>0</v>
      </c>
      <c r="R548" s="400">
        <f t="shared" si="142"/>
        <v>0</v>
      </c>
      <c r="S548" s="400">
        <f t="shared" si="142"/>
        <v>0</v>
      </c>
      <c r="T548" s="400">
        <f t="shared" si="142"/>
        <v>0</v>
      </c>
      <c r="U548" s="400">
        <f t="shared" si="142"/>
        <v>0</v>
      </c>
      <c r="V548" s="400">
        <f t="shared" si="142"/>
        <v>0</v>
      </c>
      <c r="W548" s="400">
        <f t="shared" si="142"/>
        <v>0</v>
      </c>
      <c r="X548" s="400">
        <f t="shared" si="142"/>
        <v>0</v>
      </c>
      <c r="Y548" s="400">
        <f t="shared" si="142"/>
        <v>0</v>
      </c>
      <c r="Z548" s="400">
        <f t="shared" si="142"/>
        <v>0</v>
      </c>
      <c r="AA548" s="400">
        <f t="shared" si="142"/>
        <v>0</v>
      </c>
      <c r="AB548" s="400">
        <f t="shared" si="142"/>
        <v>0</v>
      </c>
      <c r="AC548" s="400">
        <f t="shared" si="142"/>
        <v>0</v>
      </c>
      <c r="AD548" s="400">
        <f t="shared" si="142"/>
        <v>0</v>
      </c>
      <c r="AE548" s="400">
        <f t="shared" si="142"/>
        <v>0</v>
      </c>
      <c r="AF548" s="400">
        <f t="shared" si="142"/>
        <v>72000000</v>
      </c>
      <c r="AG548" s="400">
        <f t="shared" si="142"/>
        <v>0</v>
      </c>
      <c r="AH548" s="400">
        <f t="shared" si="142"/>
        <v>0</v>
      </c>
      <c r="AI548" s="400">
        <f t="shared" si="142"/>
        <v>0</v>
      </c>
      <c r="AJ548" s="400">
        <f t="shared" si="142"/>
        <v>0</v>
      </c>
      <c r="AK548" s="400">
        <f>SUM(AK547:AK547)</f>
        <v>72000000</v>
      </c>
    </row>
    <row r="549" spans="1:37" ht="30" customHeight="1" x14ac:dyDescent="0.2">
      <c r="A549" s="52"/>
      <c r="B549" s="93"/>
      <c r="C549" s="60"/>
      <c r="D549" s="59"/>
      <c r="E549" s="60"/>
      <c r="F549" s="60"/>
      <c r="G549" s="59"/>
      <c r="H549" s="60"/>
      <c r="I549" s="59"/>
      <c r="J549" s="61"/>
      <c r="K549" s="196"/>
      <c r="L549" s="196"/>
      <c r="M549" s="61"/>
      <c r="N549" s="60"/>
      <c r="O549" s="59"/>
      <c r="P549" s="60"/>
      <c r="Q549" s="406">
        <f t="shared" ref="Q549:AK551" si="143">Q548</f>
        <v>0</v>
      </c>
      <c r="R549" s="406">
        <f t="shared" si="143"/>
        <v>0</v>
      </c>
      <c r="S549" s="406">
        <f t="shared" si="143"/>
        <v>0</v>
      </c>
      <c r="T549" s="406">
        <f t="shared" si="143"/>
        <v>0</v>
      </c>
      <c r="U549" s="406">
        <f t="shared" si="143"/>
        <v>0</v>
      </c>
      <c r="V549" s="406">
        <f t="shared" si="143"/>
        <v>0</v>
      </c>
      <c r="W549" s="406">
        <f t="shared" si="143"/>
        <v>0</v>
      </c>
      <c r="X549" s="406">
        <f t="shared" si="143"/>
        <v>0</v>
      </c>
      <c r="Y549" s="406">
        <f t="shared" si="143"/>
        <v>0</v>
      </c>
      <c r="Z549" s="406">
        <f t="shared" si="143"/>
        <v>0</v>
      </c>
      <c r="AA549" s="406">
        <f t="shared" si="143"/>
        <v>0</v>
      </c>
      <c r="AB549" s="406">
        <f t="shared" si="143"/>
        <v>0</v>
      </c>
      <c r="AC549" s="406">
        <f t="shared" si="143"/>
        <v>0</v>
      </c>
      <c r="AD549" s="406">
        <f t="shared" si="143"/>
        <v>0</v>
      </c>
      <c r="AE549" s="406">
        <f t="shared" si="143"/>
        <v>0</v>
      </c>
      <c r="AF549" s="406">
        <f t="shared" si="143"/>
        <v>72000000</v>
      </c>
      <c r="AG549" s="406">
        <f t="shared" si="143"/>
        <v>0</v>
      </c>
      <c r="AH549" s="406">
        <f t="shared" si="143"/>
        <v>0</v>
      </c>
      <c r="AI549" s="406">
        <f t="shared" si="143"/>
        <v>0</v>
      </c>
      <c r="AJ549" s="406">
        <f t="shared" si="143"/>
        <v>0</v>
      </c>
      <c r="AK549" s="406">
        <f t="shared" si="143"/>
        <v>72000000</v>
      </c>
    </row>
    <row r="550" spans="1:37" ht="30" customHeight="1" x14ac:dyDescent="0.2">
      <c r="A550" s="62"/>
      <c r="B550" s="62"/>
      <c r="C550" s="63"/>
      <c r="D550" s="62"/>
      <c r="E550" s="63"/>
      <c r="F550" s="63"/>
      <c r="G550" s="62"/>
      <c r="H550" s="63"/>
      <c r="I550" s="62"/>
      <c r="J550" s="64"/>
      <c r="K550" s="323"/>
      <c r="L550" s="323"/>
      <c r="M550" s="64"/>
      <c r="N550" s="63"/>
      <c r="O550" s="62"/>
      <c r="P550" s="63"/>
      <c r="Q550" s="412">
        <f t="shared" si="143"/>
        <v>0</v>
      </c>
      <c r="R550" s="412">
        <f t="shared" si="143"/>
        <v>0</v>
      </c>
      <c r="S550" s="412">
        <f t="shared" si="143"/>
        <v>0</v>
      </c>
      <c r="T550" s="412">
        <f t="shared" si="143"/>
        <v>0</v>
      </c>
      <c r="U550" s="412">
        <f t="shared" si="143"/>
        <v>0</v>
      </c>
      <c r="V550" s="412">
        <f t="shared" si="143"/>
        <v>0</v>
      </c>
      <c r="W550" s="412">
        <f t="shared" si="143"/>
        <v>0</v>
      </c>
      <c r="X550" s="412">
        <f t="shared" si="143"/>
        <v>0</v>
      </c>
      <c r="Y550" s="412">
        <f t="shared" si="143"/>
        <v>0</v>
      </c>
      <c r="Z550" s="412">
        <f t="shared" si="143"/>
        <v>0</v>
      </c>
      <c r="AA550" s="412">
        <f t="shared" si="143"/>
        <v>0</v>
      </c>
      <c r="AB550" s="412">
        <f t="shared" si="143"/>
        <v>0</v>
      </c>
      <c r="AC550" s="412">
        <f t="shared" si="143"/>
        <v>0</v>
      </c>
      <c r="AD550" s="412">
        <f t="shared" si="143"/>
        <v>0</v>
      </c>
      <c r="AE550" s="412">
        <f t="shared" si="143"/>
        <v>0</v>
      </c>
      <c r="AF550" s="412">
        <f t="shared" si="143"/>
        <v>72000000</v>
      </c>
      <c r="AG550" s="412">
        <f t="shared" si="143"/>
        <v>0</v>
      </c>
      <c r="AH550" s="412">
        <f t="shared" si="143"/>
        <v>0</v>
      </c>
      <c r="AI550" s="412">
        <f t="shared" si="143"/>
        <v>0</v>
      </c>
      <c r="AJ550" s="412">
        <f t="shared" si="143"/>
        <v>0</v>
      </c>
      <c r="AK550" s="412">
        <f t="shared" si="143"/>
        <v>72000000</v>
      </c>
    </row>
    <row r="551" spans="1:37" ht="30" customHeight="1" x14ac:dyDescent="0.2">
      <c r="A551" s="65"/>
      <c r="B551" s="65"/>
      <c r="C551" s="66"/>
      <c r="D551" s="65"/>
      <c r="E551" s="66"/>
      <c r="F551" s="66"/>
      <c r="G551" s="65"/>
      <c r="H551" s="66"/>
      <c r="I551" s="65"/>
      <c r="J551" s="67"/>
      <c r="K551" s="307"/>
      <c r="L551" s="307"/>
      <c r="M551" s="67"/>
      <c r="N551" s="66"/>
      <c r="O551" s="65"/>
      <c r="P551" s="66"/>
      <c r="Q551" s="413">
        <f t="shared" si="143"/>
        <v>0</v>
      </c>
      <c r="R551" s="413">
        <f t="shared" si="143"/>
        <v>0</v>
      </c>
      <c r="S551" s="413">
        <f t="shared" si="143"/>
        <v>0</v>
      </c>
      <c r="T551" s="413">
        <f t="shared" si="143"/>
        <v>0</v>
      </c>
      <c r="U551" s="413">
        <f t="shared" si="143"/>
        <v>0</v>
      </c>
      <c r="V551" s="413">
        <f t="shared" si="143"/>
        <v>0</v>
      </c>
      <c r="W551" s="413">
        <f t="shared" si="143"/>
        <v>0</v>
      </c>
      <c r="X551" s="413">
        <f t="shared" si="143"/>
        <v>0</v>
      </c>
      <c r="Y551" s="413">
        <f t="shared" si="143"/>
        <v>0</v>
      </c>
      <c r="Z551" s="413">
        <f t="shared" si="143"/>
        <v>0</v>
      </c>
      <c r="AA551" s="413">
        <f t="shared" si="143"/>
        <v>0</v>
      </c>
      <c r="AB551" s="413">
        <f t="shared" si="143"/>
        <v>0</v>
      </c>
      <c r="AC551" s="413">
        <f t="shared" si="143"/>
        <v>0</v>
      </c>
      <c r="AD551" s="413">
        <f t="shared" si="143"/>
        <v>0</v>
      </c>
      <c r="AE551" s="413">
        <f t="shared" si="143"/>
        <v>0</v>
      </c>
      <c r="AF551" s="413">
        <f t="shared" si="143"/>
        <v>72000000</v>
      </c>
      <c r="AG551" s="413">
        <f t="shared" si="143"/>
        <v>0</v>
      </c>
      <c r="AH551" s="413">
        <f t="shared" si="143"/>
        <v>0</v>
      </c>
      <c r="AI551" s="413">
        <f t="shared" si="143"/>
        <v>0</v>
      </c>
      <c r="AJ551" s="413">
        <f t="shared" si="143"/>
        <v>0</v>
      </c>
      <c r="AK551" s="413">
        <f t="shared" si="143"/>
        <v>72000000</v>
      </c>
    </row>
    <row r="552" spans="1:37" ht="30" customHeight="1" x14ac:dyDescent="0.2">
      <c r="A552" s="68"/>
      <c r="B552" s="69"/>
      <c r="C552" s="146"/>
      <c r="D552" s="69"/>
      <c r="E552" s="146"/>
      <c r="F552" s="146"/>
      <c r="G552" s="69"/>
      <c r="H552" s="146"/>
      <c r="I552" s="69"/>
      <c r="J552" s="70"/>
      <c r="K552" s="193"/>
      <c r="L552" s="193"/>
      <c r="M552" s="70"/>
      <c r="N552" s="146"/>
      <c r="O552" s="69"/>
      <c r="P552" s="146"/>
      <c r="Q552" s="395"/>
      <c r="R552" s="396"/>
      <c r="S552" s="395"/>
      <c r="T552" s="395"/>
      <c r="U552" s="395"/>
      <c r="V552" s="395"/>
      <c r="W552" s="395"/>
      <c r="X552" s="395"/>
      <c r="Y552" s="395"/>
      <c r="Z552" s="395"/>
      <c r="AA552" s="395"/>
      <c r="AB552" s="396"/>
      <c r="AC552" s="396"/>
      <c r="AD552" s="395"/>
      <c r="AE552" s="395"/>
      <c r="AF552" s="397"/>
      <c r="AG552" s="398"/>
      <c r="AH552" s="395"/>
      <c r="AI552" s="395"/>
      <c r="AJ552" s="395"/>
      <c r="AK552" s="399" t="s">
        <v>63</v>
      </c>
    </row>
    <row r="553" spans="1:37" ht="30" customHeight="1" x14ac:dyDescent="0.2">
      <c r="A553" s="28" t="s">
        <v>705</v>
      </c>
      <c r="B553" s="29"/>
      <c r="C553" s="30"/>
      <c r="D553" s="29"/>
      <c r="E553" s="29"/>
      <c r="F553" s="29"/>
      <c r="G553" s="29"/>
      <c r="H553" s="30"/>
      <c r="I553" s="29"/>
      <c r="J553" s="29"/>
      <c r="K553" s="213"/>
      <c r="L553" s="213"/>
      <c r="M553" s="29"/>
      <c r="N553" s="30"/>
      <c r="O553" s="29"/>
      <c r="P553" s="30"/>
      <c r="Q553" s="459"/>
      <c r="R553" s="459"/>
      <c r="S553" s="459"/>
      <c r="T553" s="459"/>
      <c r="U553" s="459"/>
      <c r="V553" s="459"/>
      <c r="W553" s="459"/>
      <c r="X553" s="459"/>
      <c r="Y553" s="459"/>
      <c r="Z553" s="459"/>
      <c r="AA553" s="459"/>
      <c r="AB553" s="459"/>
      <c r="AC553" s="459"/>
      <c r="AD553" s="459"/>
      <c r="AE553" s="459"/>
      <c r="AF553" s="460"/>
      <c r="AG553" s="461"/>
      <c r="AH553" s="459"/>
      <c r="AI553" s="459"/>
      <c r="AJ553" s="459"/>
      <c r="AK553" s="462" t="s">
        <v>63</v>
      </c>
    </row>
    <row r="554" spans="1:37" ht="30" customHeight="1" x14ac:dyDescent="0.2">
      <c r="A554" s="738">
        <v>3</v>
      </c>
      <c r="B554" s="31" t="s">
        <v>448</v>
      </c>
      <c r="C554" s="32"/>
      <c r="D554" s="31"/>
      <c r="E554" s="31"/>
      <c r="F554" s="31"/>
      <c r="G554" s="31"/>
      <c r="H554" s="32"/>
      <c r="I554" s="31"/>
      <c r="J554" s="31"/>
      <c r="K554" s="214"/>
      <c r="L554" s="214"/>
      <c r="M554" s="31"/>
      <c r="N554" s="32"/>
      <c r="O554" s="31"/>
      <c r="P554" s="31"/>
      <c r="Q554" s="421"/>
      <c r="R554" s="421"/>
      <c r="S554" s="421"/>
      <c r="T554" s="421"/>
      <c r="U554" s="421"/>
      <c r="V554" s="421"/>
      <c r="W554" s="421"/>
      <c r="X554" s="421"/>
      <c r="Y554" s="421"/>
      <c r="Z554" s="421"/>
      <c r="AA554" s="421"/>
      <c r="AB554" s="421"/>
      <c r="AC554" s="421"/>
      <c r="AD554" s="421"/>
      <c r="AE554" s="421"/>
      <c r="AF554" s="422"/>
      <c r="AG554" s="421"/>
      <c r="AH554" s="421"/>
      <c r="AI554" s="421"/>
      <c r="AJ554" s="421"/>
      <c r="AK554" s="423"/>
    </row>
    <row r="555" spans="1:37" ht="30" customHeight="1" x14ac:dyDescent="0.2">
      <c r="A555" s="73"/>
      <c r="B555" s="121">
        <v>11</v>
      </c>
      <c r="C555" s="35" t="s">
        <v>449</v>
      </c>
      <c r="D555" s="36"/>
      <c r="E555" s="36"/>
      <c r="F555" s="36"/>
      <c r="G555" s="36"/>
      <c r="H555" s="37"/>
      <c r="I555" s="36"/>
      <c r="J555" s="36"/>
      <c r="K555" s="197"/>
      <c r="L555" s="197"/>
      <c r="M555" s="36"/>
      <c r="N555" s="37"/>
      <c r="O555" s="36"/>
      <c r="P555" s="36"/>
      <c r="Q555" s="402"/>
      <c r="R555" s="402"/>
      <c r="S555" s="402"/>
      <c r="T555" s="402"/>
      <c r="U555" s="402"/>
      <c r="V555" s="402"/>
      <c r="W555" s="402"/>
      <c r="X555" s="402"/>
      <c r="Y555" s="402"/>
      <c r="Z555" s="402"/>
      <c r="AA555" s="402"/>
      <c r="AB555" s="402"/>
      <c r="AC555" s="402"/>
      <c r="AD555" s="402"/>
      <c r="AE555" s="402"/>
      <c r="AF555" s="403"/>
      <c r="AG555" s="402"/>
      <c r="AH555" s="402"/>
      <c r="AI555" s="402"/>
      <c r="AJ555" s="402"/>
      <c r="AK555" s="407"/>
    </row>
    <row r="556" spans="1:37" ht="30" customHeight="1" x14ac:dyDescent="0.2">
      <c r="A556" s="39"/>
      <c r="B556" s="73"/>
      <c r="C556" s="661"/>
      <c r="D556" s="655"/>
      <c r="E556" s="661"/>
      <c r="F556" s="661"/>
      <c r="G556" s="215">
        <v>35</v>
      </c>
      <c r="H556" s="76" t="s">
        <v>706</v>
      </c>
      <c r="I556" s="76"/>
      <c r="J556" s="76"/>
      <c r="K556" s="314"/>
      <c r="L556" s="314"/>
      <c r="M556" s="76"/>
      <c r="N556" s="169"/>
      <c r="O556" s="76"/>
      <c r="P556" s="76"/>
      <c r="Q556" s="263"/>
      <c r="R556" s="263"/>
      <c r="S556" s="263"/>
      <c r="T556" s="263"/>
      <c r="U556" s="263"/>
      <c r="V556" s="263"/>
      <c r="W556" s="263"/>
      <c r="X556" s="263"/>
      <c r="Y556" s="263"/>
      <c r="Z556" s="263"/>
      <c r="AA556" s="263"/>
      <c r="AB556" s="263"/>
      <c r="AC556" s="263"/>
      <c r="AD556" s="263"/>
      <c r="AE556" s="263"/>
      <c r="AF556" s="404"/>
      <c r="AG556" s="263"/>
      <c r="AH556" s="263"/>
      <c r="AI556" s="263"/>
      <c r="AJ556" s="263"/>
      <c r="AK556" s="265"/>
    </row>
    <row r="557" spans="1:37" ht="78.75" customHeight="1" x14ac:dyDescent="0.2">
      <c r="A557" s="39"/>
      <c r="B557" s="201"/>
      <c r="C557" s="370"/>
      <c r="D557" s="371"/>
      <c r="E557" s="371"/>
      <c r="F557" s="371"/>
      <c r="G557" s="161"/>
      <c r="H557" s="677">
        <v>127</v>
      </c>
      <c r="I557" s="679" t="s">
        <v>707</v>
      </c>
      <c r="J557" s="54" t="s">
        <v>37</v>
      </c>
      <c r="K557" s="165">
        <v>1</v>
      </c>
      <c r="L557" s="784">
        <v>2017003630103</v>
      </c>
      <c r="M557" s="774" t="s">
        <v>708</v>
      </c>
      <c r="N557" s="774" t="s">
        <v>709</v>
      </c>
      <c r="O557" s="777" t="s">
        <v>1000</v>
      </c>
      <c r="P557" s="54" t="s">
        <v>46</v>
      </c>
      <c r="Q557" s="391">
        <v>0</v>
      </c>
      <c r="R557" s="391">
        <v>0</v>
      </c>
      <c r="S557" s="391">
        <v>0</v>
      </c>
      <c r="T557" s="391">
        <v>0</v>
      </c>
      <c r="U557" s="391">
        <v>0</v>
      </c>
      <c r="V557" s="391">
        <v>0</v>
      </c>
      <c r="W557" s="391">
        <v>0</v>
      </c>
      <c r="X557" s="392">
        <f>65000000+27282000</f>
        <v>92282000</v>
      </c>
      <c r="Y557" s="392"/>
      <c r="Z557" s="391"/>
      <c r="AA557" s="391">
        <v>0</v>
      </c>
      <c r="AB557" s="391"/>
      <c r="AC557" s="391"/>
      <c r="AD557" s="391">
        <v>0</v>
      </c>
      <c r="AE557" s="391">
        <v>0</v>
      </c>
      <c r="AF557" s="392">
        <v>0</v>
      </c>
      <c r="AG557" s="405"/>
      <c r="AH557" s="391">
        <v>0</v>
      </c>
      <c r="AI557" s="393"/>
      <c r="AJ557" s="393"/>
      <c r="AK557" s="391">
        <f>Q557+R557+S557+T557+U557+V557+W557+X557+Y557+Z557+AA557+AB557+AC557+AD557+AE557+AF557+AG557+AH557+AI557+AJ557</f>
        <v>92282000</v>
      </c>
    </row>
    <row r="558" spans="1:37" ht="54" customHeight="1" x14ac:dyDescent="0.2">
      <c r="A558" s="39"/>
      <c r="B558" s="201"/>
      <c r="C558" s="650">
        <v>24</v>
      </c>
      <c r="D558" s="656" t="s">
        <v>710</v>
      </c>
      <c r="E558" s="650" t="s">
        <v>711</v>
      </c>
      <c r="F558" s="650" t="s">
        <v>711</v>
      </c>
      <c r="G558" s="48"/>
      <c r="H558" s="677">
        <v>128</v>
      </c>
      <c r="I558" s="679" t="s">
        <v>712</v>
      </c>
      <c r="J558" s="54">
        <v>1</v>
      </c>
      <c r="K558" s="165">
        <v>1</v>
      </c>
      <c r="L558" s="785"/>
      <c r="M558" s="775"/>
      <c r="N558" s="775"/>
      <c r="O558" s="778"/>
      <c r="P558" s="54" t="s">
        <v>46</v>
      </c>
      <c r="Q558" s="391">
        <v>0</v>
      </c>
      <c r="R558" s="391">
        <v>0</v>
      </c>
      <c r="S558" s="391">
        <v>0</v>
      </c>
      <c r="T558" s="391">
        <v>0</v>
      </c>
      <c r="U558" s="391">
        <v>0</v>
      </c>
      <c r="V558" s="391">
        <v>0</v>
      </c>
      <c r="W558" s="391">
        <v>0</v>
      </c>
      <c r="X558" s="392">
        <v>26000000</v>
      </c>
      <c r="Y558" s="392"/>
      <c r="Z558" s="391">
        <v>11000000</v>
      </c>
      <c r="AA558" s="391">
        <v>0</v>
      </c>
      <c r="AB558" s="391"/>
      <c r="AC558" s="391"/>
      <c r="AD558" s="391">
        <v>0</v>
      </c>
      <c r="AE558" s="391">
        <v>0</v>
      </c>
      <c r="AF558" s="392">
        <v>0</v>
      </c>
      <c r="AG558" s="405"/>
      <c r="AH558" s="391">
        <v>0</v>
      </c>
      <c r="AI558" s="393"/>
      <c r="AJ558" s="393"/>
      <c r="AK558" s="391">
        <f>Q558+R558+S558+T558+U558+V558+W558+X558+Y558+Z558+AA558+AB558+AC558+AD558+AE558+AF558+AG558+AH558+AI558+AJ558</f>
        <v>37000000</v>
      </c>
    </row>
    <row r="559" spans="1:37" ht="54" customHeight="1" x14ac:dyDescent="0.2">
      <c r="A559" s="39"/>
      <c r="B559" s="201"/>
      <c r="C559" s="650"/>
      <c r="D559" s="656"/>
      <c r="E559" s="650"/>
      <c r="F559" s="650"/>
      <c r="G559" s="50"/>
      <c r="H559" s="677">
        <v>129</v>
      </c>
      <c r="I559" s="679" t="s">
        <v>713</v>
      </c>
      <c r="J559" s="54" t="s">
        <v>37</v>
      </c>
      <c r="K559" s="165">
        <v>6</v>
      </c>
      <c r="L559" s="786"/>
      <c r="M559" s="776"/>
      <c r="N559" s="776"/>
      <c r="O559" s="779"/>
      <c r="P559" s="54" t="s">
        <v>46</v>
      </c>
      <c r="Q559" s="391">
        <v>0</v>
      </c>
      <c r="R559" s="391">
        <v>0</v>
      </c>
      <c r="S559" s="391">
        <v>0</v>
      </c>
      <c r="T559" s="391">
        <v>0</v>
      </c>
      <c r="U559" s="391">
        <v>0</v>
      </c>
      <c r="V559" s="391">
        <v>0</v>
      </c>
      <c r="W559" s="391">
        <v>0</v>
      </c>
      <c r="X559" s="392">
        <v>39000000</v>
      </c>
      <c r="Y559" s="392"/>
      <c r="Z559" s="391">
        <v>14000000</v>
      </c>
      <c r="AA559" s="391">
        <v>0</v>
      </c>
      <c r="AB559" s="391"/>
      <c r="AC559" s="391"/>
      <c r="AD559" s="391">
        <v>0</v>
      </c>
      <c r="AE559" s="391">
        <v>0</v>
      </c>
      <c r="AF559" s="392">
        <v>0</v>
      </c>
      <c r="AG559" s="405"/>
      <c r="AH559" s="391">
        <v>0</v>
      </c>
      <c r="AI559" s="393"/>
      <c r="AJ559" s="393"/>
      <c r="AK559" s="391">
        <f>Q559+R559+S559+T559+U559+V559+W559+X559+Y559+Z559+AA559+AB559+AC559+AD559+AE559+AF559+AG559+AH559+AI559+AJ559</f>
        <v>53000000</v>
      </c>
    </row>
    <row r="560" spans="1:37" ht="30" customHeight="1" x14ac:dyDescent="0.2">
      <c r="A560" s="39"/>
      <c r="B560" s="52"/>
      <c r="C560" s="662"/>
      <c r="D560" s="657"/>
      <c r="E560" s="662"/>
      <c r="F560" s="662"/>
      <c r="G560" s="55"/>
      <c r="H560" s="56"/>
      <c r="I560" s="55"/>
      <c r="J560" s="56"/>
      <c r="K560" s="187"/>
      <c r="L560" s="187"/>
      <c r="M560" s="56"/>
      <c r="N560" s="56"/>
      <c r="O560" s="55"/>
      <c r="P560" s="56"/>
      <c r="Q560" s="400">
        <f t="shared" ref="Q560:AK560" si="144">SUM(Q557:Q559)</f>
        <v>0</v>
      </c>
      <c r="R560" s="400">
        <f t="shared" si="144"/>
        <v>0</v>
      </c>
      <c r="S560" s="400">
        <f t="shared" si="144"/>
        <v>0</v>
      </c>
      <c r="T560" s="400">
        <f t="shared" si="144"/>
        <v>0</v>
      </c>
      <c r="U560" s="400">
        <f t="shared" si="144"/>
        <v>0</v>
      </c>
      <c r="V560" s="400">
        <f t="shared" si="144"/>
        <v>0</v>
      </c>
      <c r="W560" s="400">
        <f t="shared" si="144"/>
        <v>0</v>
      </c>
      <c r="X560" s="400">
        <f t="shared" si="144"/>
        <v>157282000</v>
      </c>
      <c r="Y560" s="400">
        <f t="shared" si="144"/>
        <v>0</v>
      </c>
      <c r="Z560" s="400">
        <f t="shared" si="144"/>
        <v>25000000</v>
      </c>
      <c r="AA560" s="400">
        <f t="shared" si="144"/>
        <v>0</v>
      </c>
      <c r="AB560" s="400">
        <f t="shared" si="144"/>
        <v>0</v>
      </c>
      <c r="AC560" s="400">
        <f t="shared" si="144"/>
        <v>0</v>
      </c>
      <c r="AD560" s="400">
        <f t="shared" si="144"/>
        <v>0</v>
      </c>
      <c r="AE560" s="400">
        <f t="shared" si="144"/>
        <v>0</v>
      </c>
      <c r="AF560" s="400">
        <f t="shared" si="144"/>
        <v>0</v>
      </c>
      <c r="AG560" s="400">
        <f t="shared" si="144"/>
        <v>0</v>
      </c>
      <c r="AH560" s="400">
        <f t="shared" si="144"/>
        <v>0</v>
      </c>
      <c r="AI560" s="400">
        <f t="shared" si="144"/>
        <v>0</v>
      </c>
      <c r="AJ560" s="400">
        <f t="shared" si="144"/>
        <v>0</v>
      </c>
      <c r="AK560" s="400">
        <f t="shared" si="144"/>
        <v>182282000</v>
      </c>
    </row>
    <row r="561" spans="1:37" ht="30" customHeight="1" x14ac:dyDescent="0.2">
      <c r="A561" s="39"/>
      <c r="B561" s="93"/>
      <c r="C561" s="60"/>
      <c r="D561" s="59"/>
      <c r="E561" s="60"/>
      <c r="F561" s="60"/>
      <c r="G561" s="59"/>
      <c r="H561" s="60"/>
      <c r="I561" s="59"/>
      <c r="J561" s="60"/>
      <c r="K561" s="204"/>
      <c r="L561" s="204"/>
      <c r="M561" s="60"/>
      <c r="N561" s="60"/>
      <c r="O561" s="59"/>
      <c r="P561" s="60"/>
      <c r="Q561" s="406">
        <f t="shared" ref="Q561:AK561" si="145">Q560</f>
        <v>0</v>
      </c>
      <c r="R561" s="406">
        <f t="shared" si="145"/>
        <v>0</v>
      </c>
      <c r="S561" s="406">
        <f t="shared" si="145"/>
        <v>0</v>
      </c>
      <c r="T561" s="406">
        <f t="shared" si="145"/>
        <v>0</v>
      </c>
      <c r="U561" s="406">
        <f t="shared" si="145"/>
        <v>0</v>
      </c>
      <c r="V561" s="406">
        <f t="shared" si="145"/>
        <v>0</v>
      </c>
      <c r="W561" s="406">
        <f t="shared" si="145"/>
        <v>0</v>
      </c>
      <c r="X561" s="406">
        <f t="shared" si="145"/>
        <v>157282000</v>
      </c>
      <c r="Y561" s="406">
        <f t="shared" si="145"/>
        <v>0</v>
      </c>
      <c r="Z561" s="406">
        <f t="shared" si="145"/>
        <v>25000000</v>
      </c>
      <c r="AA561" s="406">
        <f t="shared" si="145"/>
        <v>0</v>
      </c>
      <c r="AB561" s="406">
        <f t="shared" si="145"/>
        <v>0</v>
      </c>
      <c r="AC561" s="406">
        <f t="shared" si="145"/>
        <v>0</v>
      </c>
      <c r="AD561" s="406">
        <f t="shared" si="145"/>
        <v>0</v>
      </c>
      <c r="AE561" s="406">
        <f t="shared" si="145"/>
        <v>0</v>
      </c>
      <c r="AF561" s="406">
        <f t="shared" si="145"/>
        <v>0</v>
      </c>
      <c r="AG561" s="406">
        <f t="shared" si="145"/>
        <v>0</v>
      </c>
      <c r="AH561" s="406">
        <f t="shared" si="145"/>
        <v>0</v>
      </c>
      <c r="AI561" s="406">
        <f t="shared" si="145"/>
        <v>0</v>
      </c>
      <c r="AJ561" s="406">
        <f t="shared" si="145"/>
        <v>0</v>
      </c>
      <c r="AK561" s="406">
        <f t="shared" si="145"/>
        <v>182282000</v>
      </c>
    </row>
    <row r="562" spans="1:37" ht="30" customHeight="1" x14ac:dyDescent="0.2">
      <c r="A562" s="39"/>
      <c r="B562" s="69"/>
      <c r="C562" s="146"/>
      <c r="D562" s="69"/>
      <c r="E562" s="146"/>
      <c r="F562" s="146"/>
      <c r="G562" s="69"/>
      <c r="H562" s="146"/>
      <c r="I562" s="69"/>
      <c r="J562" s="146"/>
      <c r="K562" s="191"/>
      <c r="L562" s="262"/>
      <c r="M562" s="390"/>
      <c r="N562" s="390"/>
      <c r="O562" s="99"/>
      <c r="P562" s="146"/>
      <c r="Q562" s="395"/>
      <c r="R562" s="395"/>
      <c r="S562" s="395"/>
      <c r="T562" s="395"/>
      <c r="U562" s="395"/>
      <c r="V562" s="395"/>
      <c r="W562" s="395"/>
      <c r="X562" s="395"/>
      <c r="Y562" s="395"/>
      <c r="Z562" s="395"/>
      <c r="AA562" s="395"/>
      <c r="AB562" s="395"/>
      <c r="AC562" s="395"/>
      <c r="AD562" s="395"/>
      <c r="AE562" s="395"/>
      <c r="AF562" s="397"/>
      <c r="AG562" s="395"/>
      <c r="AH562" s="395"/>
      <c r="AI562" s="395"/>
      <c r="AJ562" s="395"/>
      <c r="AK562" s="399"/>
    </row>
    <row r="563" spans="1:37" ht="30" customHeight="1" x14ac:dyDescent="0.2">
      <c r="A563" s="39"/>
      <c r="B563" s="324">
        <v>12</v>
      </c>
      <c r="C563" s="35" t="s">
        <v>714</v>
      </c>
      <c r="D563" s="36"/>
      <c r="E563" s="36"/>
      <c r="F563" s="36"/>
      <c r="G563" s="36"/>
      <c r="H563" s="37"/>
      <c r="I563" s="36"/>
      <c r="J563" s="36"/>
      <c r="K563" s="197"/>
      <c r="L563" s="197"/>
      <c r="M563" s="36"/>
      <c r="N563" s="37"/>
      <c r="O563" s="36"/>
      <c r="P563" s="36"/>
      <c r="Q563" s="402"/>
      <c r="R563" s="402"/>
      <c r="S563" s="402"/>
      <c r="T563" s="402"/>
      <c r="U563" s="402"/>
      <c r="V563" s="402"/>
      <c r="W563" s="402"/>
      <c r="X563" s="402"/>
      <c r="Y563" s="402"/>
      <c r="Z563" s="402"/>
      <c r="AA563" s="402"/>
      <c r="AB563" s="402"/>
      <c r="AC563" s="402"/>
      <c r="AD563" s="402"/>
      <c r="AE563" s="402"/>
      <c r="AF563" s="403"/>
      <c r="AG563" s="402"/>
      <c r="AH563" s="402"/>
      <c r="AI563" s="402"/>
      <c r="AJ563" s="402"/>
      <c r="AK563" s="407"/>
    </row>
    <row r="564" spans="1:37" ht="30" customHeight="1" x14ac:dyDescent="0.2">
      <c r="A564" s="201"/>
      <c r="B564" s="39"/>
      <c r="C564" s="661"/>
      <c r="D564" s="655"/>
      <c r="E564" s="661"/>
      <c r="F564" s="661"/>
      <c r="G564" s="215">
        <v>36</v>
      </c>
      <c r="H564" s="77" t="s">
        <v>715</v>
      </c>
      <c r="I564" s="77"/>
      <c r="J564" s="77"/>
      <c r="K564" s="149"/>
      <c r="L564" s="149"/>
      <c r="M564" s="77"/>
      <c r="N564" s="169"/>
      <c r="O564" s="77"/>
      <c r="P564" s="77"/>
      <c r="Q564" s="263"/>
      <c r="R564" s="263"/>
      <c r="S564" s="263"/>
      <c r="T564" s="263"/>
      <c r="U564" s="263"/>
      <c r="V564" s="263"/>
      <c r="W564" s="263"/>
      <c r="X564" s="263"/>
      <c r="Y564" s="263"/>
      <c r="Z564" s="263"/>
      <c r="AA564" s="263"/>
      <c r="AB564" s="263"/>
      <c r="AC564" s="263"/>
      <c r="AD564" s="263"/>
      <c r="AE564" s="263"/>
      <c r="AF564" s="404"/>
      <c r="AG564" s="263"/>
      <c r="AH564" s="263"/>
      <c r="AI564" s="263"/>
      <c r="AJ564" s="263"/>
      <c r="AK564" s="265"/>
    </row>
    <row r="565" spans="1:37" ht="56.25" customHeight="1" x14ac:dyDescent="0.2">
      <c r="A565" s="201"/>
      <c r="B565" s="39"/>
      <c r="C565" s="775">
        <v>3</v>
      </c>
      <c r="D565" s="778" t="s">
        <v>383</v>
      </c>
      <c r="E565" s="775" t="s">
        <v>156</v>
      </c>
      <c r="F565" s="775" t="s">
        <v>157</v>
      </c>
      <c r="G565" s="774"/>
      <c r="H565" s="54">
        <v>130</v>
      </c>
      <c r="I565" s="679" t="s">
        <v>716</v>
      </c>
      <c r="J565" s="54">
        <v>0</v>
      </c>
      <c r="K565" s="165">
        <v>1</v>
      </c>
      <c r="L565" s="784">
        <v>2017003630082</v>
      </c>
      <c r="M565" s="774">
        <v>2</v>
      </c>
      <c r="N565" s="774" t="s">
        <v>717</v>
      </c>
      <c r="O565" s="777" t="s">
        <v>718</v>
      </c>
      <c r="P565" s="54" t="s">
        <v>46</v>
      </c>
      <c r="Q565" s="391">
        <v>0</v>
      </c>
      <c r="R565" s="391">
        <v>0</v>
      </c>
      <c r="S565" s="391">
        <v>0</v>
      </c>
      <c r="T565" s="391">
        <v>0</v>
      </c>
      <c r="U565" s="391">
        <v>0</v>
      </c>
      <c r="V565" s="391">
        <v>0</v>
      </c>
      <c r="W565" s="391">
        <v>0</v>
      </c>
      <c r="X565" s="443">
        <v>68000000</v>
      </c>
      <c r="Y565" s="392"/>
      <c r="Z565" s="391">
        <v>25000000</v>
      </c>
      <c r="AA565" s="391">
        <v>0</v>
      </c>
      <c r="AB565" s="391"/>
      <c r="AC565" s="391"/>
      <c r="AD565" s="391">
        <v>0</v>
      </c>
      <c r="AE565" s="391">
        <v>0</v>
      </c>
      <c r="AF565" s="392">
        <v>0</v>
      </c>
      <c r="AG565" s="405"/>
      <c r="AH565" s="391">
        <v>0</v>
      </c>
      <c r="AI565" s="393"/>
      <c r="AJ565" s="393"/>
      <c r="AK565" s="391">
        <f>Q565+R565+S565+T565+U565+V565+W565+X565+Y565+Z565+AA565+AB565+AC565+AD565+AE565+AF565+AG565+AH565+AI565+AJ565</f>
        <v>93000000</v>
      </c>
    </row>
    <row r="566" spans="1:37" ht="56.25" customHeight="1" x14ac:dyDescent="0.2">
      <c r="A566" s="201"/>
      <c r="B566" s="39"/>
      <c r="C566" s="775"/>
      <c r="D566" s="778"/>
      <c r="E566" s="775"/>
      <c r="F566" s="775"/>
      <c r="G566" s="776"/>
      <c r="H566" s="54">
        <v>131</v>
      </c>
      <c r="I566" s="679" t="s">
        <v>719</v>
      </c>
      <c r="J566" s="54">
        <v>0</v>
      </c>
      <c r="K566" s="165">
        <v>5</v>
      </c>
      <c r="L566" s="786"/>
      <c r="M566" s="776"/>
      <c r="N566" s="776"/>
      <c r="O566" s="779"/>
      <c r="P566" s="54" t="s">
        <v>61</v>
      </c>
      <c r="Q566" s="391">
        <v>0</v>
      </c>
      <c r="R566" s="391">
        <v>0</v>
      </c>
      <c r="S566" s="391">
        <v>0</v>
      </c>
      <c r="T566" s="391">
        <v>0</v>
      </c>
      <c r="U566" s="391">
        <v>0</v>
      </c>
      <c r="V566" s="391">
        <v>0</v>
      </c>
      <c r="W566" s="391">
        <v>0</v>
      </c>
      <c r="X566" s="443">
        <v>42000000</v>
      </c>
      <c r="Y566" s="392"/>
      <c r="Z566" s="391">
        <v>10000000</v>
      </c>
      <c r="AA566" s="391">
        <v>0</v>
      </c>
      <c r="AB566" s="391"/>
      <c r="AC566" s="391"/>
      <c r="AD566" s="391">
        <v>0</v>
      </c>
      <c r="AE566" s="391">
        <v>0</v>
      </c>
      <c r="AF566" s="392">
        <v>0</v>
      </c>
      <c r="AG566" s="405"/>
      <c r="AH566" s="391">
        <v>0</v>
      </c>
      <c r="AI566" s="393"/>
      <c r="AJ566" s="393"/>
      <c r="AK566" s="391">
        <f>Q566+R566+S566+T566+U566+V566+W566+X566+Y566+Z566+AA566+AB566+AC566+AD566+AE566+AF566+AG566+AH566+AI566+AJ566</f>
        <v>52000000</v>
      </c>
    </row>
    <row r="567" spans="1:37" ht="30" customHeight="1" x14ac:dyDescent="0.2">
      <c r="A567" s="201"/>
      <c r="B567" s="39"/>
      <c r="C567" s="662"/>
      <c r="D567" s="657"/>
      <c r="E567" s="662"/>
      <c r="F567" s="662"/>
      <c r="G567" s="55"/>
      <c r="H567" s="56"/>
      <c r="I567" s="55"/>
      <c r="J567" s="56"/>
      <c r="K567" s="187"/>
      <c r="L567" s="187"/>
      <c r="M567" s="56"/>
      <c r="N567" s="56"/>
      <c r="O567" s="55"/>
      <c r="P567" s="56"/>
      <c r="Q567" s="400">
        <f t="shared" ref="Q567:AK567" si="146">SUM(Q565:Q566)</f>
        <v>0</v>
      </c>
      <c r="R567" s="400">
        <f t="shared" si="146"/>
        <v>0</v>
      </c>
      <c r="S567" s="400">
        <f t="shared" si="146"/>
        <v>0</v>
      </c>
      <c r="T567" s="400">
        <f t="shared" si="146"/>
        <v>0</v>
      </c>
      <c r="U567" s="400">
        <f t="shared" si="146"/>
        <v>0</v>
      </c>
      <c r="V567" s="400">
        <f t="shared" si="146"/>
        <v>0</v>
      </c>
      <c r="W567" s="400">
        <f t="shared" si="146"/>
        <v>0</v>
      </c>
      <c r="X567" s="400">
        <f t="shared" si="146"/>
        <v>110000000</v>
      </c>
      <c r="Y567" s="400">
        <f t="shared" si="146"/>
        <v>0</v>
      </c>
      <c r="Z567" s="400">
        <f t="shared" si="146"/>
        <v>35000000</v>
      </c>
      <c r="AA567" s="400">
        <f t="shared" si="146"/>
        <v>0</v>
      </c>
      <c r="AB567" s="400">
        <f t="shared" si="146"/>
        <v>0</v>
      </c>
      <c r="AC567" s="400">
        <f t="shared" si="146"/>
        <v>0</v>
      </c>
      <c r="AD567" s="400">
        <f t="shared" si="146"/>
        <v>0</v>
      </c>
      <c r="AE567" s="400">
        <f t="shared" si="146"/>
        <v>0</v>
      </c>
      <c r="AF567" s="400">
        <f t="shared" si="146"/>
        <v>0</v>
      </c>
      <c r="AG567" s="400">
        <f t="shared" si="146"/>
        <v>0</v>
      </c>
      <c r="AH567" s="400">
        <f t="shared" si="146"/>
        <v>0</v>
      </c>
      <c r="AI567" s="400">
        <f t="shared" si="146"/>
        <v>0</v>
      </c>
      <c r="AJ567" s="400">
        <f t="shared" si="146"/>
        <v>0</v>
      </c>
      <c r="AK567" s="400">
        <f t="shared" si="146"/>
        <v>145000000</v>
      </c>
    </row>
    <row r="568" spans="1:37" ht="30" customHeight="1" x14ac:dyDescent="0.2">
      <c r="A568" s="201"/>
      <c r="B568" s="39"/>
      <c r="C568" s="146"/>
      <c r="D568" s="69"/>
      <c r="E568" s="146"/>
      <c r="F568" s="146"/>
      <c r="G568" s="69"/>
      <c r="H568" s="146"/>
      <c r="I568" s="69"/>
      <c r="J568" s="146"/>
      <c r="K568" s="191"/>
      <c r="L568" s="262"/>
      <c r="M568" s="390"/>
      <c r="N568" s="390"/>
      <c r="O568" s="99"/>
      <c r="P568" s="146"/>
      <c r="Q568" s="395"/>
      <c r="R568" s="395"/>
      <c r="S568" s="395"/>
      <c r="T568" s="395"/>
      <c r="U568" s="395"/>
      <c r="V568" s="395"/>
      <c r="W568" s="395"/>
      <c r="X568" s="395"/>
      <c r="Y568" s="395"/>
      <c r="Z568" s="395"/>
      <c r="AA568" s="395"/>
      <c r="AB568" s="395"/>
      <c r="AC568" s="395"/>
      <c r="AD568" s="395"/>
      <c r="AE568" s="395"/>
      <c r="AF568" s="397"/>
      <c r="AG568" s="398"/>
      <c r="AH568" s="395"/>
      <c r="AI568" s="395"/>
      <c r="AJ568" s="395"/>
      <c r="AK568" s="399"/>
    </row>
    <row r="569" spans="1:37" ht="30" customHeight="1" x14ac:dyDescent="0.2">
      <c r="A569" s="201"/>
      <c r="B569" s="39"/>
      <c r="C569" s="661"/>
      <c r="D569" s="655"/>
      <c r="E569" s="661"/>
      <c r="F569" s="661"/>
      <c r="G569" s="215">
        <v>37</v>
      </c>
      <c r="H569" s="77" t="s">
        <v>720</v>
      </c>
      <c r="I569" s="77"/>
      <c r="J569" s="77"/>
      <c r="K569" s="149"/>
      <c r="L569" s="149"/>
      <c r="M569" s="77"/>
      <c r="N569" s="169"/>
      <c r="O569" s="77"/>
      <c r="P569" s="77"/>
      <c r="Q569" s="263"/>
      <c r="R569" s="263"/>
      <c r="S569" s="263"/>
      <c r="T569" s="263"/>
      <c r="U569" s="263"/>
      <c r="V569" s="263"/>
      <c r="W569" s="263"/>
      <c r="X569" s="263"/>
      <c r="Y569" s="263"/>
      <c r="Z569" s="263"/>
      <c r="AA569" s="263"/>
      <c r="AB569" s="263"/>
      <c r="AC569" s="263"/>
      <c r="AD569" s="263"/>
      <c r="AE569" s="263"/>
      <c r="AF569" s="404"/>
      <c r="AG569" s="263"/>
      <c r="AH569" s="263"/>
      <c r="AI569" s="263"/>
      <c r="AJ569" s="263"/>
      <c r="AK569" s="265"/>
    </row>
    <row r="570" spans="1:37" ht="62.25" customHeight="1" x14ac:dyDescent="0.2">
      <c r="A570" s="201"/>
      <c r="B570" s="39"/>
      <c r="C570" s="662">
        <v>22</v>
      </c>
      <c r="D570" s="657" t="s">
        <v>721</v>
      </c>
      <c r="E570" s="662" t="s">
        <v>639</v>
      </c>
      <c r="F570" s="662" t="s">
        <v>722</v>
      </c>
      <c r="G570" s="40"/>
      <c r="H570" s="677">
        <v>132</v>
      </c>
      <c r="I570" s="679" t="s">
        <v>723</v>
      </c>
      <c r="J570" s="54" t="s">
        <v>37</v>
      </c>
      <c r="K570" s="325">
        <v>8</v>
      </c>
      <c r="L570" s="784">
        <v>2017003630081</v>
      </c>
      <c r="M570" s="774" t="s">
        <v>708</v>
      </c>
      <c r="N570" s="774" t="s">
        <v>724</v>
      </c>
      <c r="O570" s="777" t="s">
        <v>1001</v>
      </c>
      <c r="P570" s="54" t="s">
        <v>46</v>
      </c>
      <c r="Q570" s="391">
        <v>0</v>
      </c>
      <c r="R570" s="391">
        <v>0</v>
      </c>
      <c r="S570" s="391">
        <v>0</v>
      </c>
      <c r="T570" s="391">
        <v>0</v>
      </c>
      <c r="U570" s="391">
        <v>0</v>
      </c>
      <c r="V570" s="391">
        <v>0</v>
      </c>
      <c r="W570" s="391">
        <v>0</v>
      </c>
      <c r="X570" s="443">
        <v>30000000</v>
      </c>
      <c r="Y570" s="392"/>
      <c r="Z570" s="391">
        <v>7000000</v>
      </c>
      <c r="AA570" s="391">
        <v>0</v>
      </c>
      <c r="AB570" s="391"/>
      <c r="AC570" s="391"/>
      <c r="AD570" s="391">
        <v>0</v>
      </c>
      <c r="AE570" s="391">
        <v>0</v>
      </c>
      <c r="AF570" s="392">
        <v>0</v>
      </c>
      <c r="AG570" s="405"/>
      <c r="AH570" s="391">
        <v>0</v>
      </c>
      <c r="AI570" s="393"/>
      <c r="AJ570" s="393"/>
      <c r="AK570" s="391">
        <f>Q570+R570+S570+T570+U570+V570+W570+X570+Y570+Z570+AA570+AB570+AC570+AD570+AE570+AF570+AG570+AH570+AI570+AJ570</f>
        <v>37000000</v>
      </c>
    </row>
    <row r="571" spans="1:37" ht="81" customHeight="1" x14ac:dyDescent="0.2">
      <c r="A571" s="201"/>
      <c r="B571" s="39"/>
      <c r="C571" s="146">
        <v>31</v>
      </c>
      <c r="D571" s="679" t="s">
        <v>726</v>
      </c>
      <c r="E571" s="259">
        <v>0.249</v>
      </c>
      <c r="F571" s="316">
        <v>0.2</v>
      </c>
      <c r="G571" s="46"/>
      <c r="H571" s="677">
        <v>133</v>
      </c>
      <c r="I571" s="679" t="s">
        <v>727</v>
      </c>
      <c r="J571" s="54">
        <v>0</v>
      </c>
      <c r="K571" s="325">
        <v>12</v>
      </c>
      <c r="L571" s="785"/>
      <c r="M571" s="775"/>
      <c r="N571" s="775"/>
      <c r="O571" s="778"/>
      <c r="P571" s="54" t="s">
        <v>46</v>
      </c>
      <c r="Q571" s="391">
        <v>0</v>
      </c>
      <c r="R571" s="391">
        <v>0</v>
      </c>
      <c r="S571" s="391">
        <v>0</v>
      </c>
      <c r="T571" s="391">
        <v>0</v>
      </c>
      <c r="U571" s="391">
        <v>0</v>
      </c>
      <c r="V571" s="391">
        <v>0</v>
      </c>
      <c r="W571" s="391">
        <v>0</v>
      </c>
      <c r="X571" s="443">
        <f>20000000+1500000</f>
        <v>21500000</v>
      </c>
      <c r="Y571" s="392"/>
      <c r="Z571" s="391">
        <v>4140000</v>
      </c>
      <c r="AA571" s="391">
        <v>0</v>
      </c>
      <c r="AB571" s="391"/>
      <c r="AC571" s="391"/>
      <c r="AD571" s="391">
        <v>0</v>
      </c>
      <c r="AE571" s="391">
        <v>0</v>
      </c>
      <c r="AF571" s="392">
        <v>0</v>
      </c>
      <c r="AG571" s="405"/>
      <c r="AH571" s="391">
        <v>0</v>
      </c>
      <c r="AI571" s="393"/>
      <c r="AJ571" s="393"/>
      <c r="AK571" s="391">
        <f>Q571+R571+S571+T571+U571+V571+W571+X571+Y571+Z571+AA571+AB571+AC571+AD571+AE571+AF571+AG571+AH571+AI571+AJ571</f>
        <v>25640000</v>
      </c>
    </row>
    <row r="572" spans="1:37" ht="62.25" customHeight="1" x14ac:dyDescent="0.2">
      <c r="A572" s="201"/>
      <c r="B572" s="39"/>
      <c r="C572" s="390">
        <v>33</v>
      </c>
      <c r="D572" s="655" t="s">
        <v>728</v>
      </c>
      <c r="E572" s="661">
        <v>0</v>
      </c>
      <c r="F572" s="661">
        <v>0</v>
      </c>
      <c r="G572" s="46"/>
      <c r="H572" s="54">
        <v>134</v>
      </c>
      <c r="I572" s="679" t="s">
        <v>729</v>
      </c>
      <c r="J572" s="150">
        <v>3600</v>
      </c>
      <c r="K572" s="325">
        <v>4800</v>
      </c>
      <c r="L572" s="785"/>
      <c r="M572" s="775"/>
      <c r="N572" s="775"/>
      <c r="O572" s="778"/>
      <c r="P572" s="54" t="s">
        <v>46</v>
      </c>
      <c r="Q572" s="391">
        <v>0</v>
      </c>
      <c r="R572" s="391">
        <v>0</v>
      </c>
      <c r="S572" s="391">
        <v>0</v>
      </c>
      <c r="T572" s="391">
        <v>0</v>
      </c>
      <c r="U572" s="391">
        <v>0</v>
      </c>
      <c r="V572" s="391">
        <v>0</v>
      </c>
      <c r="W572" s="391">
        <v>0</v>
      </c>
      <c r="X572" s="443">
        <f>35000000+2100000</f>
        <v>37100000</v>
      </c>
      <c r="Y572" s="392"/>
      <c r="Z572" s="391">
        <v>33860000</v>
      </c>
      <c r="AA572" s="391">
        <v>0</v>
      </c>
      <c r="AB572" s="391"/>
      <c r="AC572" s="391"/>
      <c r="AD572" s="391">
        <v>0</v>
      </c>
      <c r="AE572" s="391">
        <v>0</v>
      </c>
      <c r="AF572" s="392">
        <v>0</v>
      </c>
      <c r="AG572" s="405"/>
      <c r="AH572" s="391">
        <v>0</v>
      </c>
      <c r="AI572" s="393"/>
      <c r="AJ572" s="393"/>
      <c r="AK572" s="391">
        <f>Q572+R572+S572+T572+U572+V572+W572+X572+Y572+Z572+AA572+AB572+AC572+AD572+AE572+AF572+AG572+AH572+AI572+AJ572</f>
        <v>70960000</v>
      </c>
    </row>
    <row r="573" spans="1:37" ht="62.25" customHeight="1" x14ac:dyDescent="0.2">
      <c r="A573" s="201"/>
      <c r="B573" s="39"/>
      <c r="C573" s="661">
        <v>31</v>
      </c>
      <c r="D573" s="655" t="s">
        <v>644</v>
      </c>
      <c r="E573" s="682">
        <v>0.249</v>
      </c>
      <c r="F573" s="681">
        <v>0.2</v>
      </c>
      <c r="G573" s="90"/>
      <c r="H573" s="54">
        <v>135</v>
      </c>
      <c r="I573" s="679" t="s">
        <v>730</v>
      </c>
      <c r="J573" s="150">
        <v>12</v>
      </c>
      <c r="K573" s="325">
        <v>12</v>
      </c>
      <c r="L573" s="786"/>
      <c r="M573" s="776"/>
      <c r="N573" s="776"/>
      <c r="O573" s="779"/>
      <c r="P573" s="54" t="s">
        <v>46</v>
      </c>
      <c r="Q573" s="391"/>
      <c r="R573" s="391"/>
      <c r="S573" s="391"/>
      <c r="T573" s="391"/>
      <c r="U573" s="391"/>
      <c r="V573" s="391"/>
      <c r="W573" s="391"/>
      <c r="X573" s="443">
        <f>35000000-2100000-1500000</f>
        <v>31400000</v>
      </c>
      <c r="Y573" s="392"/>
      <c r="Z573" s="391"/>
      <c r="AA573" s="391"/>
      <c r="AB573" s="391"/>
      <c r="AC573" s="391"/>
      <c r="AD573" s="391"/>
      <c r="AE573" s="391"/>
      <c r="AF573" s="392"/>
      <c r="AG573" s="405"/>
      <c r="AH573" s="391">
        <v>0</v>
      </c>
      <c r="AI573" s="391"/>
      <c r="AJ573" s="391"/>
      <c r="AK573" s="391">
        <f>Q573+R573+S573+T573+U573+V573+W573+X573+Y573+Z573+AA573+AB573+AC573+AD573+AE573+AF573+AG573+AH573+AI573+AJ573</f>
        <v>31400000</v>
      </c>
    </row>
    <row r="574" spans="1:37" ht="30" customHeight="1" x14ac:dyDescent="0.2">
      <c r="A574" s="201"/>
      <c r="B574" s="39"/>
      <c r="C574" s="662"/>
      <c r="D574" s="657"/>
      <c r="E574" s="662"/>
      <c r="F574" s="662"/>
      <c r="G574" s="55"/>
      <c r="H574" s="56"/>
      <c r="I574" s="55"/>
      <c r="J574" s="326"/>
      <c r="K574" s="327"/>
      <c r="L574" s="327"/>
      <c r="M574" s="326"/>
      <c r="N574" s="56"/>
      <c r="O574" s="55"/>
      <c r="P574" s="56"/>
      <c r="Q574" s="400">
        <f t="shared" ref="Q574:AJ574" si="147">SUM(Q570:Q573)</f>
        <v>0</v>
      </c>
      <c r="R574" s="400">
        <f t="shared" si="147"/>
        <v>0</v>
      </c>
      <c r="S574" s="400">
        <f t="shared" si="147"/>
        <v>0</v>
      </c>
      <c r="T574" s="400">
        <f t="shared" si="147"/>
        <v>0</v>
      </c>
      <c r="U574" s="400">
        <f t="shared" si="147"/>
        <v>0</v>
      </c>
      <c r="V574" s="400">
        <f t="shared" si="147"/>
        <v>0</v>
      </c>
      <c r="W574" s="400">
        <f t="shared" si="147"/>
        <v>0</v>
      </c>
      <c r="X574" s="400">
        <f t="shared" si="147"/>
        <v>120000000</v>
      </c>
      <c r="Y574" s="400">
        <f t="shared" si="147"/>
        <v>0</v>
      </c>
      <c r="Z574" s="400">
        <f t="shared" si="147"/>
        <v>45000000</v>
      </c>
      <c r="AA574" s="400">
        <f t="shared" si="147"/>
        <v>0</v>
      </c>
      <c r="AB574" s="400">
        <f t="shared" si="147"/>
        <v>0</v>
      </c>
      <c r="AC574" s="400">
        <f t="shared" si="147"/>
        <v>0</v>
      </c>
      <c r="AD574" s="400">
        <f t="shared" si="147"/>
        <v>0</v>
      </c>
      <c r="AE574" s="400">
        <f t="shared" si="147"/>
        <v>0</v>
      </c>
      <c r="AF574" s="400">
        <f t="shared" si="147"/>
        <v>0</v>
      </c>
      <c r="AG574" s="400">
        <f t="shared" si="147"/>
        <v>0</v>
      </c>
      <c r="AH574" s="400">
        <f t="shared" si="147"/>
        <v>0</v>
      </c>
      <c r="AI574" s="400">
        <f t="shared" si="147"/>
        <v>0</v>
      </c>
      <c r="AJ574" s="400">
        <f t="shared" si="147"/>
        <v>0</v>
      </c>
      <c r="AK574" s="400">
        <f>SUM(AK570:AK573)</f>
        <v>165000000</v>
      </c>
    </row>
    <row r="575" spans="1:37" ht="30" customHeight="1" x14ac:dyDescent="0.2">
      <c r="A575" s="201"/>
      <c r="B575" s="39"/>
      <c r="C575" s="146"/>
      <c r="D575" s="69"/>
      <c r="E575" s="146"/>
      <c r="F575" s="146"/>
      <c r="G575" s="69"/>
      <c r="H575" s="146"/>
      <c r="I575" s="69"/>
      <c r="J575" s="146"/>
      <c r="K575" s="191"/>
      <c r="L575" s="262"/>
      <c r="M575" s="390"/>
      <c r="N575" s="390"/>
      <c r="O575" s="99"/>
      <c r="P575" s="146"/>
      <c r="Q575" s="395"/>
      <c r="R575" s="395"/>
      <c r="S575" s="395"/>
      <c r="T575" s="395"/>
      <c r="U575" s="395"/>
      <c r="V575" s="395"/>
      <c r="W575" s="395"/>
      <c r="X575" s="395"/>
      <c r="Y575" s="395"/>
      <c r="Z575" s="395"/>
      <c r="AA575" s="395"/>
      <c r="AB575" s="395"/>
      <c r="AC575" s="395"/>
      <c r="AD575" s="395"/>
      <c r="AE575" s="395"/>
      <c r="AF575" s="397"/>
      <c r="AG575" s="398"/>
      <c r="AH575" s="395"/>
      <c r="AI575" s="395"/>
      <c r="AJ575" s="396"/>
      <c r="AK575" s="399"/>
    </row>
    <row r="576" spans="1:37" ht="30" customHeight="1" x14ac:dyDescent="0.2">
      <c r="A576" s="201"/>
      <c r="B576" s="39"/>
      <c r="C576" s="661"/>
      <c r="D576" s="655"/>
      <c r="E576" s="661"/>
      <c r="F576" s="661"/>
      <c r="G576" s="215">
        <v>38</v>
      </c>
      <c r="H576" s="77" t="s">
        <v>731</v>
      </c>
      <c r="I576" s="77"/>
      <c r="J576" s="77"/>
      <c r="K576" s="149"/>
      <c r="L576" s="149"/>
      <c r="M576" s="77"/>
      <c r="N576" s="169"/>
      <c r="O576" s="77"/>
      <c r="P576" s="77"/>
      <c r="Q576" s="263"/>
      <c r="R576" s="263"/>
      <c r="S576" s="263"/>
      <c r="T576" s="263"/>
      <c r="U576" s="263"/>
      <c r="V576" s="263"/>
      <c r="W576" s="263"/>
      <c r="X576" s="263"/>
      <c r="Y576" s="263"/>
      <c r="Z576" s="263"/>
      <c r="AA576" s="263"/>
      <c r="AB576" s="263"/>
      <c r="AC576" s="263"/>
      <c r="AD576" s="263"/>
      <c r="AE576" s="263"/>
      <c r="AF576" s="404"/>
      <c r="AG576" s="263"/>
      <c r="AH576" s="263"/>
      <c r="AI576" s="263"/>
      <c r="AJ576" s="263"/>
      <c r="AK576" s="265"/>
    </row>
    <row r="577" spans="1:37" ht="75" customHeight="1" x14ac:dyDescent="0.2">
      <c r="A577" s="201"/>
      <c r="B577" s="39"/>
      <c r="C577" s="775">
        <v>22</v>
      </c>
      <c r="D577" s="775" t="s">
        <v>638</v>
      </c>
      <c r="E577" s="775" t="s">
        <v>639</v>
      </c>
      <c r="F577" s="775" t="s">
        <v>640</v>
      </c>
      <c r="G577" s="328"/>
      <c r="H577" s="41">
        <v>136</v>
      </c>
      <c r="I577" s="679" t="s">
        <v>732</v>
      </c>
      <c r="J577" s="54" t="s">
        <v>37</v>
      </c>
      <c r="K577" s="329">
        <v>12</v>
      </c>
      <c r="L577" s="784">
        <v>2017003630102</v>
      </c>
      <c r="M577" s="827" t="s">
        <v>708</v>
      </c>
      <c r="N577" s="774" t="s">
        <v>733</v>
      </c>
      <c r="O577" s="777" t="s">
        <v>734</v>
      </c>
      <c r="P577" s="54" t="s">
        <v>46</v>
      </c>
      <c r="Q577" s="391">
        <v>0</v>
      </c>
      <c r="R577" s="391">
        <v>0</v>
      </c>
      <c r="S577" s="391">
        <v>0</v>
      </c>
      <c r="T577" s="391">
        <v>0</v>
      </c>
      <c r="U577" s="391">
        <v>0</v>
      </c>
      <c r="V577" s="391">
        <v>0</v>
      </c>
      <c r="W577" s="391">
        <v>0</v>
      </c>
      <c r="X577" s="45">
        <f>40000000+2649900</f>
        <v>42649900</v>
      </c>
      <c r="Y577" s="392"/>
      <c r="Z577" s="391">
        <v>0</v>
      </c>
      <c r="AA577" s="391">
        <v>0</v>
      </c>
      <c r="AB577" s="391"/>
      <c r="AC577" s="391"/>
      <c r="AD577" s="391">
        <v>0</v>
      </c>
      <c r="AE577" s="391">
        <v>0</v>
      </c>
      <c r="AF577" s="392">
        <v>0</v>
      </c>
      <c r="AG577" s="405"/>
      <c r="AH577" s="391">
        <v>0</v>
      </c>
      <c r="AI577" s="393"/>
      <c r="AJ577" s="393">
        <v>0</v>
      </c>
      <c r="AK577" s="391">
        <f>Q577+R577+S577+T577+U577+V577+W577+X577+Y577+Z577+AA577+AB577+AC577+AD577+AE577+AF577+AG577+AH577+AI577+AJ577</f>
        <v>42649900</v>
      </c>
    </row>
    <row r="578" spans="1:37" ht="75" customHeight="1" x14ac:dyDescent="0.2">
      <c r="A578" s="201"/>
      <c r="B578" s="39"/>
      <c r="C578" s="775"/>
      <c r="D578" s="775"/>
      <c r="E578" s="775"/>
      <c r="F578" s="775"/>
      <c r="G578" s="246"/>
      <c r="H578" s="41">
        <v>137</v>
      </c>
      <c r="I578" s="679" t="s">
        <v>735</v>
      </c>
      <c r="J578" s="54">
        <v>0</v>
      </c>
      <c r="K578" s="329">
        <v>12</v>
      </c>
      <c r="L578" s="785"/>
      <c r="M578" s="828"/>
      <c r="N578" s="775"/>
      <c r="O578" s="778"/>
      <c r="P578" s="54" t="s">
        <v>46</v>
      </c>
      <c r="Q578" s="391">
        <v>0</v>
      </c>
      <c r="R578" s="391">
        <v>0</v>
      </c>
      <c r="S578" s="391">
        <v>0</v>
      </c>
      <c r="T578" s="391">
        <v>0</v>
      </c>
      <c r="U578" s="391">
        <v>0</v>
      </c>
      <c r="V578" s="391">
        <v>0</v>
      </c>
      <c r="W578" s="391">
        <v>0</v>
      </c>
      <c r="X578" s="45">
        <f>30000000+23000000</f>
        <v>53000000</v>
      </c>
      <c r="Y578" s="392"/>
      <c r="Z578" s="391">
        <v>0</v>
      </c>
      <c r="AA578" s="391">
        <v>0</v>
      </c>
      <c r="AB578" s="391"/>
      <c r="AC578" s="391"/>
      <c r="AD578" s="391">
        <v>0</v>
      </c>
      <c r="AE578" s="391">
        <v>0</v>
      </c>
      <c r="AF578" s="392">
        <v>0</v>
      </c>
      <c r="AG578" s="405"/>
      <c r="AH578" s="391">
        <v>0</v>
      </c>
      <c r="AI578" s="393"/>
      <c r="AJ578" s="393">
        <v>0</v>
      </c>
      <c r="AK578" s="391">
        <f>Q578+R578+S578+T578+U578+V578+W578+X578+Y578+Z578+AA578+AB578+AC578+AD578+AE578+AF578+AG578+AH578+AI578+AJ578</f>
        <v>53000000</v>
      </c>
    </row>
    <row r="579" spans="1:37" ht="75" customHeight="1" x14ac:dyDescent="0.2">
      <c r="A579" s="201"/>
      <c r="B579" s="39"/>
      <c r="C579" s="775"/>
      <c r="D579" s="775"/>
      <c r="E579" s="775"/>
      <c r="F579" s="775"/>
      <c r="G579" s="246"/>
      <c r="H579" s="41">
        <v>138</v>
      </c>
      <c r="I579" s="679" t="s">
        <v>736</v>
      </c>
      <c r="J579" s="54" t="s">
        <v>37</v>
      </c>
      <c r="K579" s="186">
        <v>12</v>
      </c>
      <c r="L579" s="786"/>
      <c r="M579" s="829"/>
      <c r="N579" s="776"/>
      <c r="O579" s="779"/>
      <c r="P579" s="54" t="s">
        <v>46</v>
      </c>
      <c r="Q579" s="391">
        <v>0</v>
      </c>
      <c r="R579" s="391">
        <v>0</v>
      </c>
      <c r="S579" s="391">
        <v>0</v>
      </c>
      <c r="T579" s="391">
        <v>0</v>
      </c>
      <c r="U579" s="391">
        <v>0</v>
      </c>
      <c r="V579" s="391">
        <v>0</v>
      </c>
      <c r="W579" s="391">
        <v>0</v>
      </c>
      <c r="X579" s="45">
        <f>30000000+23000000</f>
        <v>53000000</v>
      </c>
      <c r="Y579" s="392"/>
      <c r="Z579" s="391">
        <v>0</v>
      </c>
      <c r="AA579" s="391">
        <v>0</v>
      </c>
      <c r="AB579" s="391"/>
      <c r="AC579" s="391"/>
      <c r="AD579" s="391">
        <v>0</v>
      </c>
      <c r="AE579" s="391">
        <v>0</v>
      </c>
      <c r="AF579" s="392">
        <v>0</v>
      </c>
      <c r="AG579" s="405"/>
      <c r="AH579" s="391">
        <v>0</v>
      </c>
      <c r="AI579" s="393"/>
      <c r="AJ579" s="393">
        <v>0</v>
      </c>
      <c r="AK579" s="391">
        <f>Q579+R579+S579+T579+U579+V579+W579+X579+Y579+Z579+AA579+AB579+AC579+AD579+AE579+AF579+AG579+AH579+AI579+AJ579</f>
        <v>53000000</v>
      </c>
    </row>
    <row r="580" spans="1:37" ht="30" customHeight="1" x14ac:dyDescent="0.2">
      <c r="A580" s="201"/>
      <c r="B580" s="39"/>
      <c r="C580" s="662"/>
      <c r="D580" s="657"/>
      <c r="E580" s="662"/>
      <c r="F580" s="662"/>
      <c r="G580" s="184"/>
      <c r="H580" s="57"/>
      <c r="I580" s="55"/>
      <c r="J580" s="56"/>
      <c r="K580" s="81"/>
      <c r="L580" s="81"/>
      <c r="M580" s="57"/>
      <c r="N580" s="56"/>
      <c r="O580" s="232"/>
      <c r="P580" s="56"/>
      <c r="Q580" s="400">
        <f t="shared" ref="Q580:AK580" si="148">SUM(Q577:Q579)</f>
        <v>0</v>
      </c>
      <c r="R580" s="400">
        <f t="shared" si="148"/>
        <v>0</v>
      </c>
      <c r="S580" s="400">
        <f t="shared" si="148"/>
        <v>0</v>
      </c>
      <c r="T580" s="400">
        <f t="shared" si="148"/>
        <v>0</v>
      </c>
      <c r="U580" s="400">
        <f t="shared" si="148"/>
        <v>0</v>
      </c>
      <c r="V580" s="400">
        <f t="shared" si="148"/>
        <v>0</v>
      </c>
      <c r="W580" s="400">
        <f t="shared" si="148"/>
        <v>0</v>
      </c>
      <c r="X580" s="400">
        <f t="shared" si="148"/>
        <v>148649900</v>
      </c>
      <c r="Y580" s="400">
        <f t="shared" si="148"/>
        <v>0</v>
      </c>
      <c r="Z580" s="400">
        <f t="shared" si="148"/>
        <v>0</v>
      </c>
      <c r="AA580" s="400">
        <f t="shared" si="148"/>
        <v>0</v>
      </c>
      <c r="AB580" s="400">
        <f t="shared" si="148"/>
        <v>0</v>
      </c>
      <c r="AC580" s="400">
        <f t="shared" si="148"/>
        <v>0</v>
      </c>
      <c r="AD580" s="400">
        <f t="shared" si="148"/>
        <v>0</v>
      </c>
      <c r="AE580" s="400">
        <f t="shared" si="148"/>
        <v>0</v>
      </c>
      <c r="AF580" s="400">
        <f t="shared" si="148"/>
        <v>0</v>
      </c>
      <c r="AG580" s="400">
        <f t="shared" si="148"/>
        <v>0</v>
      </c>
      <c r="AH580" s="400">
        <f t="shared" si="148"/>
        <v>0</v>
      </c>
      <c r="AI580" s="400">
        <f t="shared" si="148"/>
        <v>0</v>
      </c>
      <c r="AJ580" s="400">
        <f t="shared" si="148"/>
        <v>0</v>
      </c>
      <c r="AK580" s="400">
        <f t="shared" si="148"/>
        <v>148649900</v>
      </c>
    </row>
    <row r="581" spans="1:37" ht="17.25" customHeight="1" x14ac:dyDescent="0.2">
      <c r="A581" s="201"/>
      <c r="B581" s="39"/>
      <c r="C581" s="146"/>
      <c r="D581" s="69"/>
      <c r="E581" s="146"/>
      <c r="F581" s="146"/>
      <c r="G581" s="69"/>
      <c r="H581" s="146"/>
      <c r="I581" s="69"/>
      <c r="J581" s="146"/>
      <c r="K581" s="251"/>
      <c r="L581" s="330"/>
      <c r="M581" s="390"/>
      <c r="N581" s="390"/>
      <c r="O581" s="99"/>
      <c r="P581" s="146"/>
      <c r="Q581" s="395"/>
      <c r="R581" s="395"/>
      <c r="S581" s="395"/>
      <c r="T581" s="395"/>
      <c r="U581" s="395"/>
      <c r="V581" s="395"/>
      <c r="W581" s="395"/>
      <c r="X581" s="395"/>
      <c r="Y581" s="395"/>
      <c r="Z581" s="395"/>
      <c r="AA581" s="395"/>
      <c r="AB581" s="395"/>
      <c r="AC581" s="395"/>
      <c r="AD581" s="395"/>
      <c r="AE581" s="395"/>
      <c r="AF581" s="397"/>
      <c r="AG581" s="398"/>
      <c r="AH581" s="395"/>
      <c r="AI581" s="395"/>
      <c r="AJ581" s="395"/>
      <c r="AK581" s="399"/>
    </row>
    <row r="582" spans="1:37" ht="30" customHeight="1" x14ac:dyDescent="0.2">
      <c r="A582" s="201"/>
      <c r="B582" s="39"/>
      <c r="C582" s="661"/>
      <c r="D582" s="655"/>
      <c r="E582" s="661"/>
      <c r="F582" s="661"/>
      <c r="G582" s="215">
        <v>39</v>
      </c>
      <c r="H582" s="76" t="s">
        <v>737</v>
      </c>
      <c r="I582" s="77"/>
      <c r="J582" s="77"/>
      <c r="K582" s="89"/>
      <c r="L582" s="89"/>
      <c r="M582" s="77"/>
      <c r="N582" s="169"/>
      <c r="O582" s="77"/>
      <c r="P582" s="77"/>
      <c r="Q582" s="263"/>
      <c r="R582" s="263"/>
      <c r="S582" s="263"/>
      <c r="T582" s="263"/>
      <c r="U582" s="263"/>
      <c r="V582" s="263"/>
      <c r="W582" s="263"/>
      <c r="X582" s="263"/>
      <c r="Y582" s="263"/>
      <c r="Z582" s="263"/>
      <c r="AA582" s="263"/>
      <c r="AB582" s="263"/>
      <c r="AC582" s="263"/>
      <c r="AD582" s="263"/>
      <c r="AE582" s="263"/>
      <c r="AF582" s="404"/>
      <c r="AG582" s="263"/>
      <c r="AH582" s="263"/>
      <c r="AI582" s="263"/>
      <c r="AJ582" s="263"/>
      <c r="AK582" s="265"/>
    </row>
    <row r="583" spans="1:37" ht="61.5" customHeight="1" x14ac:dyDescent="0.2">
      <c r="A583" s="201"/>
      <c r="B583" s="39"/>
      <c r="C583" s="662">
        <v>36</v>
      </c>
      <c r="D583" s="90" t="s">
        <v>738</v>
      </c>
      <c r="E583" s="663">
        <v>0.4</v>
      </c>
      <c r="F583" s="663">
        <v>0.6</v>
      </c>
      <c r="G583" s="775"/>
      <c r="H583" s="54">
        <v>139</v>
      </c>
      <c r="I583" s="679" t="s">
        <v>739</v>
      </c>
      <c r="J583" s="54">
        <v>0</v>
      </c>
      <c r="K583" s="105">
        <v>1</v>
      </c>
      <c r="L583" s="784">
        <v>2017003630080</v>
      </c>
      <c r="M583" s="775"/>
      <c r="N583" s="774" t="s">
        <v>740</v>
      </c>
      <c r="O583" s="777" t="s">
        <v>1002</v>
      </c>
      <c r="P583" s="54" t="s">
        <v>46</v>
      </c>
      <c r="Q583" s="391"/>
      <c r="R583" s="391"/>
      <c r="S583" s="391"/>
      <c r="T583" s="391"/>
      <c r="U583" s="391"/>
      <c r="V583" s="391"/>
      <c r="W583" s="391"/>
      <c r="X583" s="391">
        <v>72000000</v>
      </c>
      <c r="Y583" s="443"/>
      <c r="Z583" s="391">
        <v>40000000</v>
      </c>
      <c r="AA583" s="391"/>
      <c r="AB583" s="391"/>
      <c r="AC583" s="391"/>
      <c r="AD583" s="391"/>
      <c r="AE583" s="391"/>
      <c r="AF583" s="392"/>
      <c r="AG583" s="405"/>
      <c r="AH583" s="391"/>
      <c r="AI583" s="393"/>
      <c r="AJ583" s="393"/>
      <c r="AK583" s="391">
        <f>Q583+R583+S583+T583+U583+V583+W583+X583+Y583+Z583+AA583+AB583+AC583+AD583+AE583+AF583+AG583+AH583+AI583+AJ583</f>
        <v>112000000</v>
      </c>
    </row>
    <row r="584" spans="1:37" ht="61.5" customHeight="1" x14ac:dyDescent="0.2">
      <c r="A584" s="201"/>
      <c r="B584" s="39"/>
      <c r="C584" s="774" t="s">
        <v>742</v>
      </c>
      <c r="D584" s="777" t="s">
        <v>743</v>
      </c>
      <c r="E584" s="774">
        <v>1</v>
      </c>
      <c r="F584" s="774">
        <v>1</v>
      </c>
      <c r="G584" s="775"/>
      <c r="H584" s="54">
        <v>140</v>
      </c>
      <c r="I584" s="679" t="s">
        <v>744</v>
      </c>
      <c r="J584" s="54">
        <v>1</v>
      </c>
      <c r="K584" s="105">
        <v>1</v>
      </c>
      <c r="L584" s="785"/>
      <c r="M584" s="775"/>
      <c r="N584" s="775"/>
      <c r="O584" s="778"/>
      <c r="P584" s="54" t="s">
        <v>46</v>
      </c>
      <c r="Q584" s="391">
        <v>0</v>
      </c>
      <c r="R584" s="391">
        <v>0</v>
      </c>
      <c r="S584" s="391">
        <v>0</v>
      </c>
      <c r="T584" s="391">
        <v>0</v>
      </c>
      <c r="U584" s="391">
        <v>0</v>
      </c>
      <c r="V584" s="391">
        <v>0</v>
      </c>
      <c r="W584" s="391">
        <v>0</v>
      </c>
      <c r="X584" s="391">
        <v>24000000</v>
      </c>
      <c r="Y584" s="443"/>
      <c r="Z584" s="391">
        <v>2500000</v>
      </c>
      <c r="AA584" s="391">
        <v>0</v>
      </c>
      <c r="AB584" s="391"/>
      <c r="AC584" s="391"/>
      <c r="AD584" s="391">
        <v>0</v>
      </c>
      <c r="AE584" s="391">
        <v>0</v>
      </c>
      <c r="AF584" s="392">
        <v>0</v>
      </c>
      <c r="AG584" s="405"/>
      <c r="AH584" s="391">
        <v>0</v>
      </c>
      <c r="AI584" s="393"/>
      <c r="AJ584" s="393"/>
      <c r="AK584" s="391">
        <f>Q584+R584+S584+T584+U584+V584+W584+X584+Y584+Z584+AA584+AB584+AC584+AD584+AE584+AF584+AG584+AH584+AI584+AJ584</f>
        <v>26500000</v>
      </c>
    </row>
    <row r="585" spans="1:37" ht="48.75" customHeight="1" x14ac:dyDescent="0.2">
      <c r="A585" s="201"/>
      <c r="B585" s="39"/>
      <c r="C585" s="775"/>
      <c r="D585" s="778"/>
      <c r="E585" s="775"/>
      <c r="F585" s="775"/>
      <c r="G585" s="776"/>
      <c r="H585" s="54">
        <v>141</v>
      </c>
      <c r="I585" s="679" t="s">
        <v>745</v>
      </c>
      <c r="J585" s="54" t="s">
        <v>37</v>
      </c>
      <c r="K585" s="105">
        <v>1</v>
      </c>
      <c r="L585" s="786"/>
      <c r="M585" s="776"/>
      <c r="N585" s="776"/>
      <c r="O585" s="779"/>
      <c r="P585" s="54" t="s">
        <v>46</v>
      </c>
      <c r="Q585" s="391">
        <v>0</v>
      </c>
      <c r="R585" s="391">
        <v>0</v>
      </c>
      <c r="S585" s="391">
        <v>0</v>
      </c>
      <c r="T585" s="391">
        <v>0</v>
      </c>
      <c r="U585" s="391">
        <v>0</v>
      </c>
      <c r="V585" s="391">
        <v>0</v>
      </c>
      <c r="W585" s="391">
        <v>0</v>
      </c>
      <c r="X585" s="391">
        <v>24000000</v>
      </c>
      <c r="Y585" s="443"/>
      <c r="Z585" s="391">
        <v>2500000</v>
      </c>
      <c r="AA585" s="391">
        <v>0</v>
      </c>
      <c r="AB585" s="391"/>
      <c r="AC585" s="391"/>
      <c r="AD585" s="391">
        <v>0</v>
      </c>
      <c r="AE585" s="391">
        <v>0</v>
      </c>
      <c r="AF585" s="392">
        <v>0</v>
      </c>
      <c r="AG585" s="405"/>
      <c r="AH585" s="391">
        <v>0</v>
      </c>
      <c r="AI585" s="393"/>
      <c r="AJ585" s="393"/>
      <c r="AK585" s="391">
        <f>Q585+R585+S585+T585+U585+V585+W585+X585+Y585+Z585+AA585+AB585+AC585+AD585+AE585+AF585+AG585+AH585+AI585+AJ585</f>
        <v>26500000</v>
      </c>
    </row>
    <row r="586" spans="1:37" ht="30" customHeight="1" x14ac:dyDescent="0.2">
      <c r="A586" s="201"/>
      <c r="B586" s="39"/>
      <c r="C586" s="662"/>
      <c r="D586" s="657"/>
      <c r="E586" s="662"/>
      <c r="F586" s="662"/>
      <c r="G586" s="55"/>
      <c r="H586" s="56"/>
      <c r="I586" s="55"/>
      <c r="J586" s="56"/>
      <c r="K586" s="132"/>
      <c r="L586" s="132"/>
      <c r="M586" s="56"/>
      <c r="N586" s="56"/>
      <c r="O586" s="55"/>
      <c r="P586" s="56"/>
      <c r="Q586" s="400">
        <f t="shared" ref="Q586:AK586" si="149">SUM(Q583:Q585)</f>
        <v>0</v>
      </c>
      <c r="R586" s="400">
        <f t="shared" si="149"/>
        <v>0</v>
      </c>
      <c r="S586" s="400">
        <f t="shared" si="149"/>
        <v>0</v>
      </c>
      <c r="T586" s="400">
        <f t="shared" si="149"/>
        <v>0</v>
      </c>
      <c r="U586" s="400">
        <f t="shared" si="149"/>
        <v>0</v>
      </c>
      <c r="V586" s="400">
        <f t="shared" si="149"/>
        <v>0</v>
      </c>
      <c r="W586" s="400">
        <f t="shared" si="149"/>
        <v>0</v>
      </c>
      <c r="X586" s="400">
        <f t="shared" si="149"/>
        <v>120000000</v>
      </c>
      <c r="Y586" s="400">
        <f t="shared" si="149"/>
        <v>0</v>
      </c>
      <c r="Z586" s="400">
        <f t="shared" si="149"/>
        <v>45000000</v>
      </c>
      <c r="AA586" s="400">
        <f t="shared" si="149"/>
        <v>0</v>
      </c>
      <c r="AB586" s="400">
        <f t="shared" si="149"/>
        <v>0</v>
      </c>
      <c r="AC586" s="400">
        <f t="shared" si="149"/>
        <v>0</v>
      </c>
      <c r="AD586" s="400">
        <f t="shared" si="149"/>
        <v>0</v>
      </c>
      <c r="AE586" s="400">
        <f t="shared" si="149"/>
        <v>0</v>
      </c>
      <c r="AF586" s="400">
        <f t="shared" si="149"/>
        <v>0</v>
      </c>
      <c r="AG586" s="400">
        <f t="shared" si="149"/>
        <v>0</v>
      </c>
      <c r="AH586" s="400">
        <f t="shared" si="149"/>
        <v>0</v>
      </c>
      <c r="AI586" s="400">
        <f t="shared" si="149"/>
        <v>0</v>
      </c>
      <c r="AJ586" s="400">
        <f t="shared" si="149"/>
        <v>0</v>
      </c>
      <c r="AK586" s="400">
        <f t="shared" si="149"/>
        <v>165000000</v>
      </c>
    </row>
    <row r="587" spans="1:37" ht="30" customHeight="1" x14ac:dyDescent="0.2">
      <c r="A587" s="201"/>
      <c r="B587" s="39"/>
      <c r="C587" s="146"/>
      <c r="D587" s="69"/>
      <c r="E587" s="146"/>
      <c r="F587" s="146"/>
      <c r="G587" s="69"/>
      <c r="H587" s="146"/>
      <c r="I587" s="69"/>
      <c r="J587" s="146"/>
      <c r="K587" s="147"/>
      <c r="L587" s="261"/>
      <c r="M587" s="390"/>
      <c r="N587" s="390"/>
      <c r="O587" s="99"/>
      <c r="P587" s="146"/>
      <c r="Q587" s="395"/>
      <c r="R587" s="395"/>
      <c r="S587" s="395"/>
      <c r="T587" s="395"/>
      <c r="U587" s="395"/>
      <c r="V587" s="395"/>
      <c r="W587" s="395"/>
      <c r="X587" s="395"/>
      <c r="Y587" s="395"/>
      <c r="Z587" s="395"/>
      <c r="AA587" s="395"/>
      <c r="AB587" s="395"/>
      <c r="AC587" s="395"/>
      <c r="AD587" s="395"/>
      <c r="AE587" s="395"/>
      <c r="AF587" s="397"/>
      <c r="AG587" s="398"/>
      <c r="AH587" s="395"/>
      <c r="AI587" s="395"/>
      <c r="AJ587" s="396"/>
      <c r="AK587" s="399"/>
    </row>
    <row r="588" spans="1:37" ht="30" customHeight="1" x14ac:dyDescent="0.2">
      <c r="A588" s="201"/>
      <c r="B588" s="39"/>
      <c r="C588" s="661"/>
      <c r="D588" s="655"/>
      <c r="E588" s="661"/>
      <c r="F588" s="661"/>
      <c r="G588" s="215">
        <v>40</v>
      </c>
      <c r="H588" s="77" t="s">
        <v>746</v>
      </c>
      <c r="I588" s="77"/>
      <c r="J588" s="77"/>
      <c r="K588" s="124"/>
      <c r="L588" s="124"/>
      <c r="M588" s="77"/>
      <c r="N588" s="169"/>
      <c r="O588" s="77"/>
      <c r="P588" s="77"/>
      <c r="Q588" s="263"/>
      <c r="R588" s="263"/>
      <c r="S588" s="263"/>
      <c r="T588" s="263"/>
      <c r="U588" s="263"/>
      <c r="V588" s="263"/>
      <c r="W588" s="263"/>
      <c r="X588" s="263"/>
      <c r="Y588" s="263"/>
      <c r="Z588" s="263"/>
      <c r="AA588" s="263"/>
      <c r="AB588" s="263"/>
      <c r="AC588" s="263"/>
      <c r="AD588" s="263"/>
      <c r="AE588" s="263"/>
      <c r="AF588" s="404"/>
      <c r="AG588" s="263"/>
      <c r="AH588" s="263"/>
      <c r="AI588" s="263"/>
      <c r="AJ588" s="263"/>
      <c r="AK588" s="265"/>
    </row>
    <row r="589" spans="1:37" ht="74.25" customHeight="1" x14ac:dyDescent="0.2">
      <c r="A589" s="201"/>
      <c r="B589" s="39"/>
      <c r="C589" s="662">
        <v>26</v>
      </c>
      <c r="D589" s="90" t="s">
        <v>747</v>
      </c>
      <c r="E589" s="662" t="s">
        <v>748</v>
      </c>
      <c r="F589" s="662" t="s">
        <v>749</v>
      </c>
      <c r="G589" s="40"/>
      <c r="H589" s="677">
        <v>142</v>
      </c>
      <c r="I589" s="679" t="s">
        <v>750</v>
      </c>
      <c r="J589" s="54" t="s">
        <v>37</v>
      </c>
      <c r="K589" s="105">
        <v>12</v>
      </c>
      <c r="L589" s="784">
        <v>2017003630106</v>
      </c>
      <c r="M589" s="774" t="s">
        <v>708</v>
      </c>
      <c r="N589" s="774" t="s">
        <v>751</v>
      </c>
      <c r="O589" s="777" t="s">
        <v>752</v>
      </c>
      <c r="P589" s="54" t="s">
        <v>46</v>
      </c>
      <c r="Q589" s="391">
        <v>0</v>
      </c>
      <c r="R589" s="391">
        <v>0</v>
      </c>
      <c r="S589" s="391">
        <v>0</v>
      </c>
      <c r="T589" s="391">
        <v>0</v>
      </c>
      <c r="U589" s="391">
        <v>0</v>
      </c>
      <c r="V589" s="391">
        <v>0</v>
      </c>
      <c r="W589" s="391">
        <v>0</v>
      </c>
      <c r="X589" s="391">
        <v>80000000</v>
      </c>
      <c r="Y589" s="392"/>
      <c r="Z589" s="391">
        <v>27000000</v>
      </c>
      <c r="AA589" s="391">
        <v>0</v>
      </c>
      <c r="AB589" s="391"/>
      <c r="AC589" s="391"/>
      <c r="AD589" s="391">
        <v>0</v>
      </c>
      <c r="AE589" s="391">
        <v>0</v>
      </c>
      <c r="AF589" s="392">
        <v>0</v>
      </c>
      <c r="AG589" s="405"/>
      <c r="AH589" s="391">
        <v>0</v>
      </c>
      <c r="AI589" s="393"/>
      <c r="AJ589" s="420">
        <v>0</v>
      </c>
      <c r="AK589" s="391">
        <f>Q589+R589+S589+T589+U589+V589+W589+X589+Y589+Z589+AA589+AB589+AC589+AD589+AE589+AF589+AG589+AH589+AI589+AJ589</f>
        <v>107000000</v>
      </c>
    </row>
    <row r="590" spans="1:37" ht="74.25" customHeight="1" x14ac:dyDescent="0.2">
      <c r="A590" s="201"/>
      <c r="B590" s="39"/>
      <c r="C590" s="146">
        <v>30</v>
      </c>
      <c r="D590" s="140" t="s">
        <v>753</v>
      </c>
      <c r="E590" s="54" t="s">
        <v>754</v>
      </c>
      <c r="F590" s="54" t="s">
        <v>754</v>
      </c>
      <c r="G590" s="46"/>
      <c r="H590" s="677">
        <v>143</v>
      </c>
      <c r="I590" s="679" t="s">
        <v>755</v>
      </c>
      <c r="J590" s="54">
        <v>1</v>
      </c>
      <c r="K590" s="105">
        <v>1</v>
      </c>
      <c r="L590" s="786"/>
      <c r="M590" s="776"/>
      <c r="N590" s="776"/>
      <c r="O590" s="779"/>
      <c r="P590" s="54" t="s">
        <v>46</v>
      </c>
      <c r="Q590" s="391">
        <v>0</v>
      </c>
      <c r="R590" s="391">
        <v>0</v>
      </c>
      <c r="S590" s="391">
        <v>0</v>
      </c>
      <c r="T590" s="391">
        <v>0</v>
      </c>
      <c r="U590" s="391">
        <v>0</v>
      </c>
      <c r="V590" s="391">
        <v>0</v>
      </c>
      <c r="W590" s="391">
        <v>0</v>
      </c>
      <c r="X590" s="391">
        <v>35000000</v>
      </c>
      <c r="Y590" s="392"/>
      <c r="Z590" s="391">
        <v>0</v>
      </c>
      <c r="AA590" s="391">
        <v>0</v>
      </c>
      <c r="AB590" s="391"/>
      <c r="AC590" s="391"/>
      <c r="AD590" s="391">
        <v>0</v>
      </c>
      <c r="AE590" s="391">
        <v>0</v>
      </c>
      <c r="AF590" s="392">
        <v>0</v>
      </c>
      <c r="AG590" s="405"/>
      <c r="AH590" s="391">
        <v>0</v>
      </c>
      <c r="AI590" s="393"/>
      <c r="AJ590" s="393">
        <v>0</v>
      </c>
      <c r="AK590" s="391">
        <f>Q590+R590+S590+T590+U590+V590+W590+X590+Y590+Z590+AA590+AB590+AC590+AD590+AE590+AF590+AG590+AH590+AI590+AJ590</f>
        <v>35000000</v>
      </c>
    </row>
    <row r="591" spans="1:37" ht="86.25" customHeight="1" x14ac:dyDescent="0.2">
      <c r="A591" s="201"/>
      <c r="B591" s="39"/>
      <c r="C591" s="677" t="s">
        <v>742</v>
      </c>
      <c r="D591" s="657" t="s">
        <v>756</v>
      </c>
      <c r="E591" s="662">
        <v>10</v>
      </c>
      <c r="F591" s="662" t="s">
        <v>757</v>
      </c>
      <c r="G591" s="46"/>
      <c r="H591" s="677">
        <v>144</v>
      </c>
      <c r="I591" s="679" t="s">
        <v>758</v>
      </c>
      <c r="J591" s="54">
        <v>5</v>
      </c>
      <c r="K591" s="105">
        <v>5</v>
      </c>
      <c r="L591" s="784">
        <v>2017003630079</v>
      </c>
      <c r="M591" s="774" t="s">
        <v>708</v>
      </c>
      <c r="N591" s="774" t="s">
        <v>759</v>
      </c>
      <c r="O591" s="778" t="s">
        <v>1003</v>
      </c>
      <c r="P591" s="54" t="s">
        <v>46</v>
      </c>
      <c r="Q591" s="391">
        <v>0</v>
      </c>
      <c r="R591" s="391">
        <v>0</v>
      </c>
      <c r="S591" s="391">
        <v>0</v>
      </c>
      <c r="T591" s="391">
        <v>0</v>
      </c>
      <c r="U591" s="391">
        <v>0</v>
      </c>
      <c r="V591" s="391">
        <v>0</v>
      </c>
      <c r="W591" s="391">
        <v>0</v>
      </c>
      <c r="X591" s="391">
        <f>120000000</f>
        <v>120000000</v>
      </c>
      <c r="Y591" s="392"/>
      <c r="Z591" s="391">
        <v>0</v>
      </c>
      <c r="AA591" s="419"/>
      <c r="AB591" s="391"/>
      <c r="AC591" s="391"/>
      <c r="AD591" s="391">
        <v>0</v>
      </c>
      <c r="AE591" s="391">
        <v>0</v>
      </c>
      <c r="AF591" s="392">
        <v>0</v>
      </c>
      <c r="AG591" s="405"/>
      <c r="AH591" s="391">
        <v>0</v>
      </c>
      <c r="AI591" s="391"/>
      <c r="AJ591" s="642">
        <f>183007269+34882286+138716570+80000000-8632286+61401533</f>
        <v>489375372</v>
      </c>
      <c r="AK591" s="391">
        <f>Q591+R591+S591+T591+U591+V591+W591+X591+Y591+Z591+AA591+AB591+AC591+AD591+AE591+AF591+AG591+AH591+AI591+AJ591</f>
        <v>609375372</v>
      </c>
    </row>
    <row r="592" spans="1:37" ht="65.25" customHeight="1" x14ac:dyDescent="0.2">
      <c r="A592" s="201"/>
      <c r="B592" s="39"/>
      <c r="C592" s="677" t="s">
        <v>742</v>
      </c>
      <c r="D592" s="679" t="s">
        <v>761</v>
      </c>
      <c r="E592" s="54" t="s">
        <v>762</v>
      </c>
      <c r="F592" s="252">
        <v>0.8</v>
      </c>
      <c r="G592" s="46"/>
      <c r="H592" s="677">
        <v>145</v>
      </c>
      <c r="I592" s="679" t="s">
        <v>763</v>
      </c>
      <c r="J592" s="106" t="s">
        <v>37</v>
      </c>
      <c r="K592" s="151">
        <v>1</v>
      </c>
      <c r="L592" s="786"/>
      <c r="M592" s="776"/>
      <c r="N592" s="776"/>
      <c r="O592" s="779"/>
      <c r="P592" s="54" t="s">
        <v>46</v>
      </c>
      <c r="Q592" s="391">
        <v>0</v>
      </c>
      <c r="R592" s="391">
        <v>0</v>
      </c>
      <c r="S592" s="391">
        <v>0</v>
      </c>
      <c r="T592" s="391">
        <v>0</v>
      </c>
      <c r="U592" s="391">
        <v>0</v>
      </c>
      <c r="V592" s="391">
        <v>0</v>
      </c>
      <c r="W592" s="391">
        <v>0</v>
      </c>
      <c r="X592" s="391">
        <f>80000000+33834562</f>
        <v>113834562</v>
      </c>
      <c r="Y592" s="392"/>
      <c r="Z592" s="391">
        <v>0</v>
      </c>
      <c r="AA592" s="391">
        <v>0</v>
      </c>
      <c r="AB592" s="391"/>
      <c r="AC592" s="391"/>
      <c r="AD592" s="391">
        <v>0</v>
      </c>
      <c r="AE592" s="391">
        <v>0</v>
      </c>
      <c r="AF592" s="392">
        <v>0</v>
      </c>
      <c r="AG592" s="405"/>
      <c r="AH592" s="391">
        <v>0</v>
      </c>
      <c r="AI592" s="393"/>
      <c r="AJ592" s="393">
        <v>0</v>
      </c>
      <c r="AK592" s="391">
        <f>Q592+R592+S592+T592+U592+V592+W592+X592+Y592+Z592+AA592+AB592+AC592+AD592+AE592+AF592+AG592+AH592+AI592+AJ592</f>
        <v>113834562</v>
      </c>
    </row>
    <row r="593" spans="1:37" ht="34.5" customHeight="1" x14ac:dyDescent="0.2">
      <c r="A593" s="201"/>
      <c r="B593" s="39"/>
      <c r="C593" s="661" t="s">
        <v>742</v>
      </c>
      <c r="D593" s="655" t="s">
        <v>764</v>
      </c>
      <c r="E593" s="681">
        <v>0.68</v>
      </c>
      <c r="F593" s="681">
        <v>0.73</v>
      </c>
      <c r="G593" s="90"/>
      <c r="H593" s="677">
        <v>146</v>
      </c>
      <c r="I593" s="679" t="s">
        <v>765</v>
      </c>
      <c r="J593" s="54" t="s">
        <v>37</v>
      </c>
      <c r="K593" s="105">
        <v>1</v>
      </c>
      <c r="L593" s="43">
        <v>2017003630123</v>
      </c>
      <c r="M593" s="54" t="s">
        <v>708</v>
      </c>
      <c r="N593" s="54" t="s">
        <v>766</v>
      </c>
      <c r="O593" s="679" t="s">
        <v>1004</v>
      </c>
      <c r="P593" s="54" t="s">
        <v>46</v>
      </c>
      <c r="Q593" s="391">
        <v>0</v>
      </c>
      <c r="R593" s="391">
        <v>0</v>
      </c>
      <c r="S593" s="391">
        <v>0</v>
      </c>
      <c r="T593" s="391">
        <v>0</v>
      </c>
      <c r="U593" s="391">
        <v>0</v>
      </c>
      <c r="V593" s="391">
        <v>0</v>
      </c>
      <c r="W593" s="391">
        <v>0</v>
      </c>
      <c r="X593" s="391">
        <v>50000000</v>
      </c>
      <c r="Y593" s="392"/>
      <c r="Z593" s="391">
        <v>6000000</v>
      </c>
      <c r="AA593" s="391"/>
      <c r="AB593" s="391"/>
      <c r="AC593" s="391"/>
      <c r="AD593" s="391">
        <v>0</v>
      </c>
      <c r="AE593" s="391">
        <v>0</v>
      </c>
      <c r="AF593" s="392">
        <v>0</v>
      </c>
      <c r="AG593" s="405"/>
      <c r="AH593" s="391">
        <v>0</v>
      </c>
      <c r="AI593" s="393"/>
      <c r="AJ593" s="393">
        <v>174374138</v>
      </c>
      <c r="AK593" s="391">
        <f>Q593+R593+S593+T593+U593+V593+W593+X593+Y593+Z593+AA593+AB593+AC593+AD593+AE593+AF593+AG593+AH593+AI593+AJ593</f>
        <v>230374138</v>
      </c>
    </row>
    <row r="594" spans="1:37" ht="30" customHeight="1" x14ac:dyDescent="0.2">
      <c r="A594" s="201"/>
      <c r="B594" s="39"/>
      <c r="C594" s="662"/>
      <c r="D594" s="657"/>
      <c r="E594" s="662"/>
      <c r="F594" s="662"/>
      <c r="G594" s="55"/>
      <c r="H594" s="56"/>
      <c r="I594" s="55"/>
      <c r="J594" s="56"/>
      <c r="K594" s="132"/>
      <c r="L594" s="132"/>
      <c r="M594" s="56"/>
      <c r="N594" s="56"/>
      <c r="O594" s="55"/>
      <c r="P594" s="56"/>
      <c r="Q594" s="400">
        <f t="shared" ref="Q594:AK594" si="150">SUM(Q589:Q593)</f>
        <v>0</v>
      </c>
      <c r="R594" s="400">
        <f t="shared" si="150"/>
        <v>0</v>
      </c>
      <c r="S594" s="400">
        <f t="shared" si="150"/>
        <v>0</v>
      </c>
      <c r="T594" s="400">
        <f t="shared" si="150"/>
        <v>0</v>
      </c>
      <c r="U594" s="400">
        <f t="shared" si="150"/>
        <v>0</v>
      </c>
      <c r="V594" s="400">
        <f t="shared" si="150"/>
        <v>0</v>
      </c>
      <c r="W594" s="400">
        <f t="shared" si="150"/>
        <v>0</v>
      </c>
      <c r="X594" s="400">
        <f t="shared" si="150"/>
        <v>398834562</v>
      </c>
      <c r="Y594" s="400">
        <f t="shared" si="150"/>
        <v>0</v>
      </c>
      <c r="Z594" s="400">
        <f t="shared" si="150"/>
        <v>33000000</v>
      </c>
      <c r="AA594" s="400">
        <f t="shared" si="150"/>
        <v>0</v>
      </c>
      <c r="AB594" s="400">
        <f t="shared" si="150"/>
        <v>0</v>
      </c>
      <c r="AC594" s="400">
        <f t="shared" si="150"/>
        <v>0</v>
      </c>
      <c r="AD594" s="400">
        <f t="shared" si="150"/>
        <v>0</v>
      </c>
      <c r="AE594" s="400">
        <f t="shared" si="150"/>
        <v>0</v>
      </c>
      <c r="AF594" s="400">
        <f t="shared" si="150"/>
        <v>0</v>
      </c>
      <c r="AG594" s="400">
        <f t="shared" si="150"/>
        <v>0</v>
      </c>
      <c r="AH594" s="400">
        <f t="shared" si="150"/>
        <v>0</v>
      </c>
      <c r="AI594" s="400">
        <f t="shared" si="150"/>
        <v>0</v>
      </c>
      <c r="AJ594" s="400">
        <f t="shared" si="150"/>
        <v>663749510</v>
      </c>
      <c r="AK594" s="400">
        <f t="shared" si="150"/>
        <v>1095584072</v>
      </c>
    </row>
    <row r="595" spans="1:37" ht="30" customHeight="1" x14ac:dyDescent="0.2">
      <c r="A595" s="201"/>
      <c r="B595" s="39"/>
      <c r="C595" s="146"/>
      <c r="D595" s="69"/>
      <c r="E595" s="146"/>
      <c r="F595" s="146"/>
      <c r="G595" s="69"/>
      <c r="H595" s="146"/>
      <c r="I595" s="69"/>
      <c r="J595" s="146"/>
      <c r="K595" s="147"/>
      <c r="L595" s="261"/>
      <c r="M595" s="390"/>
      <c r="N595" s="390"/>
      <c r="O595" s="99"/>
      <c r="P595" s="146"/>
      <c r="Q595" s="395"/>
      <c r="R595" s="395"/>
      <c r="S595" s="395"/>
      <c r="T595" s="395"/>
      <c r="U595" s="395"/>
      <c r="V595" s="395"/>
      <c r="W595" s="395"/>
      <c r="X595" s="395"/>
      <c r="Y595" s="395"/>
      <c r="Z595" s="395"/>
      <c r="AA595" s="395"/>
      <c r="AB595" s="395"/>
      <c r="AC595" s="395"/>
      <c r="AD595" s="395"/>
      <c r="AE595" s="395"/>
      <c r="AF595" s="397"/>
      <c r="AG595" s="398"/>
      <c r="AH595" s="395"/>
      <c r="AI595" s="395"/>
      <c r="AJ595" s="396"/>
      <c r="AK595" s="399"/>
    </row>
    <row r="596" spans="1:37" ht="30" customHeight="1" x14ac:dyDescent="0.2">
      <c r="A596" s="201"/>
      <c r="B596" s="39"/>
      <c r="C596" s="661"/>
      <c r="D596" s="655"/>
      <c r="E596" s="661"/>
      <c r="F596" s="661"/>
      <c r="G596" s="215">
        <v>41</v>
      </c>
      <c r="H596" s="77" t="s">
        <v>768</v>
      </c>
      <c r="I596" s="77"/>
      <c r="J596" s="77"/>
      <c r="K596" s="124"/>
      <c r="L596" s="124"/>
      <c r="M596" s="77"/>
      <c r="N596" s="169"/>
      <c r="O596" s="77"/>
      <c r="P596" s="77"/>
      <c r="Q596" s="263"/>
      <c r="R596" s="263"/>
      <c r="S596" s="263"/>
      <c r="T596" s="263"/>
      <c r="U596" s="263"/>
      <c r="V596" s="263"/>
      <c r="W596" s="263"/>
      <c r="X596" s="263"/>
      <c r="Y596" s="263"/>
      <c r="Z596" s="263"/>
      <c r="AA596" s="263"/>
      <c r="AB596" s="263"/>
      <c r="AC596" s="263"/>
      <c r="AD596" s="263"/>
      <c r="AE596" s="263"/>
      <c r="AF596" s="404"/>
      <c r="AG596" s="263"/>
      <c r="AH596" s="263"/>
      <c r="AI596" s="263"/>
      <c r="AJ596" s="263"/>
      <c r="AK596" s="265"/>
    </row>
    <row r="597" spans="1:37" ht="50.25" customHeight="1" x14ac:dyDescent="0.2">
      <c r="A597" s="201"/>
      <c r="B597" s="39"/>
      <c r="C597" s="775">
        <v>28</v>
      </c>
      <c r="D597" s="778" t="s">
        <v>769</v>
      </c>
      <c r="E597" s="794">
        <v>0.5</v>
      </c>
      <c r="F597" s="794">
        <v>1</v>
      </c>
      <c r="G597" s="774"/>
      <c r="H597" s="677">
        <v>147</v>
      </c>
      <c r="I597" s="679" t="s">
        <v>770</v>
      </c>
      <c r="J597" s="54">
        <v>14</v>
      </c>
      <c r="K597" s="105">
        <v>14</v>
      </c>
      <c r="L597" s="784">
        <v>2017003630077</v>
      </c>
      <c r="M597" s="774" t="s">
        <v>708</v>
      </c>
      <c r="N597" s="774" t="s">
        <v>771</v>
      </c>
      <c r="O597" s="777" t="s">
        <v>1005</v>
      </c>
      <c r="P597" s="54" t="s">
        <v>46</v>
      </c>
      <c r="Q597" s="391">
        <v>0</v>
      </c>
      <c r="R597" s="391">
        <v>0</v>
      </c>
      <c r="S597" s="391">
        <v>0</v>
      </c>
      <c r="T597" s="391">
        <v>0</v>
      </c>
      <c r="U597" s="391">
        <v>0</v>
      </c>
      <c r="V597" s="391">
        <v>0</v>
      </c>
      <c r="W597" s="391">
        <v>0</v>
      </c>
      <c r="X597" s="391">
        <v>10000000</v>
      </c>
      <c r="Y597" s="392"/>
      <c r="Z597" s="391">
        <v>0</v>
      </c>
      <c r="AA597" s="391">
        <v>0</v>
      </c>
      <c r="AB597" s="391"/>
      <c r="AC597" s="391"/>
      <c r="AD597" s="391">
        <v>0</v>
      </c>
      <c r="AE597" s="391">
        <v>0</v>
      </c>
      <c r="AF597" s="392">
        <v>0</v>
      </c>
      <c r="AG597" s="405"/>
      <c r="AH597" s="391">
        <v>0</v>
      </c>
      <c r="AI597" s="393"/>
      <c r="AJ597" s="393"/>
      <c r="AK597" s="391">
        <f>Q597+R597+S597+T597+U597+V597+W597+X597+Y597+Z597+AA597+AB597+AC597+AD597+AE597+AF597+AG597+AH597+AI597+AJ597</f>
        <v>10000000</v>
      </c>
    </row>
    <row r="598" spans="1:37" ht="50.25" customHeight="1" x14ac:dyDescent="0.2">
      <c r="A598" s="201"/>
      <c r="B598" s="39"/>
      <c r="C598" s="775"/>
      <c r="D598" s="778"/>
      <c r="E598" s="794"/>
      <c r="F598" s="794"/>
      <c r="G598" s="776"/>
      <c r="H598" s="677">
        <v>148</v>
      </c>
      <c r="I598" s="679" t="s">
        <v>773</v>
      </c>
      <c r="J598" s="54" t="s">
        <v>37</v>
      </c>
      <c r="K598" s="105">
        <v>11</v>
      </c>
      <c r="L598" s="786"/>
      <c r="M598" s="776"/>
      <c r="N598" s="776"/>
      <c r="O598" s="779"/>
      <c r="P598" s="54" t="s">
        <v>46</v>
      </c>
      <c r="Q598" s="391">
        <v>0</v>
      </c>
      <c r="R598" s="391">
        <v>0</v>
      </c>
      <c r="S598" s="391">
        <v>0</v>
      </c>
      <c r="T598" s="391">
        <v>0</v>
      </c>
      <c r="U598" s="391">
        <v>0</v>
      </c>
      <c r="V598" s="391">
        <v>0</v>
      </c>
      <c r="W598" s="391">
        <v>0</v>
      </c>
      <c r="X598" s="391">
        <v>10000000</v>
      </c>
      <c r="Y598" s="392"/>
      <c r="Z598" s="391">
        <v>0</v>
      </c>
      <c r="AA598" s="391">
        <v>0</v>
      </c>
      <c r="AB598" s="391"/>
      <c r="AC598" s="391"/>
      <c r="AD598" s="391">
        <v>0</v>
      </c>
      <c r="AE598" s="391">
        <v>0</v>
      </c>
      <c r="AF598" s="392">
        <v>0</v>
      </c>
      <c r="AG598" s="405"/>
      <c r="AH598" s="391">
        <v>0</v>
      </c>
      <c r="AI598" s="393"/>
      <c r="AJ598" s="393"/>
      <c r="AK598" s="391">
        <f>Q598+R598+S598+T598+U598+V598+W598+X598+Y598+Z598+AA598+AB598+AC598+AD598+AE598+AF598+AG598+AH598+AI598+AJ598</f>
        <v>10000000</v>
      </c>
    </row>
    <row r="599" spans="1:37" ht="30" customHeight="1" x14ac:dyDescent="0.2">
      <c r="A599" s="201"/>
      <c r="B599" s="39"/>
      <c r="C599" s="662"/>
      <c r="D599" s="657"/>
      <c r="E599" s="662"/>
      <c r="F599" s="662"/>
      <c r="G599" s="55"/>
      <c r="H599" s="56"/>
      <c r="I599" s="55"/>
      <c r="J599" s="56"/>
      <c r="K599" s="132"/>
      <c r="L599" s="132"/>
      <c r="M599" s="56"/>
      <c r="N599" s="56"/>
      <c r="O599" s="55"/>
      <c r="P599" s="56"/>
      <c r="Q599" s="400">
        <f t="shared" ref="Q599:AK599" si="151">SUM(Q597:Q598)</f>
        <v>0</v>
      </c>
      <c r="R599" s="400">
        <f t="shared" si="151"/>
        <v>0</v>
      </c>
      <c r="S599" s="400">
        <f t="shared" si="151"/>
        <v>0</v>
      </c>
      <c r="T599" s="400">
        <f t="shared" si="151"/>
        <v>0</v>
      </c>
      <c r="U599" s="400">
        <f t="shared" si="151"/>
        <v>0</v>
      </c>
      <c r="V599" s="400">
        <f t="shared" si="151"/>
        <v>0</v>
      </c>
      <c r="W599" s="400">
        <f t="shared" si="151"/>
        <v>0</v>
      </c>
      <c r="X599" s="400">
        <f t="shared" si="151"/>
        <v>20000000</v>
      </c>
      <c r="Y599" s="400">
        <f t="shared" si="151"/>
        <v>0</v>
      </c>
      <c r="Z599" s="400">
        <f t="shared" si="151"/>
        <v>0</v>
      </c>
      <c r="AA599" s="400">
        <f t="shared" si="151"/>
        <v>0</v>
      </c>
      <c r="AB599" s="400">
        <f t="shared" si="151"/>
        <v>0</v>
      </c>
      <c r="AC599" s="400">
        <f t="shared" si="151"/>
        <v>0</v>
      </c>
      <c r="AD599" s="400">
        <f t="shared" si="151"/>
        <v>0</v>
      </c>
      <c r="AE599" s="400">
        <f t="shared" si="151"/>
        <v>0</v>
      </c>
      <c r="AF599" s="400">
        <f t="shared" si="151"/>
        <v>0</v>
      </c>
      <c r="AG599" s="400">
        <f t="shared" si="151"/>
        <v>0</v>
      </c>
      <c r="AH599" s="400">
        <f t="shared" si="151"/>
        <v>0</v>
      </c>
      <c r="AI599" s="400">
        <f t="shared" si="151"/>
        <v>0</v>
      </c>
      <c r="AJ599" s="400">
        <f t="shared" si="151"/>
        <v>0</v>
      </c>
      <c r="AK599" s="400">
        <f t="shared" si="151"/>
        <v>20000000</v>
      </c>
    </row>
    <row r="600" spans="1:37" ht="30" customHeight="1" x14ac:dyDescent="0.2">
      <c r="A600" s="201"/>
      <c r="B600" s="39"/>
      <c r="C600" s="146"/>
      <c r="D600" s="69"/>
      <c r="E600" s="146"/>
      <c r="F600" s="146"/>
      <c r="G600" s="69"/>
      <c r="H600" s="146"/>
      <c r="I600" s="69"/>
      <c r="J600" s="146"/>
      <c r="K600" s="147"/>
      <c r="L600" s="261"/>
      <c r="M600" s="390"/>
      <c r="N600" s="390"/>
      <c r="O600" s="99"/>
      <c r="P600" s="146"/>
      <c r="Q600" s="395"/>
      <c r="R600" s="395"/>
      <c r="S600" s="395"/>
      <c r="T600" s="395"/>
      <c r="U600" s="395"/>
      <c r="V600" s="395"/>
      <c r="W600" s="395"/>
      <c r="X600" s="395"/>
      <c r="Y600" s="395"/>
      <c r="Z600" s="395"/>
      <c r="AA600" s="395"/>
      <c r="AB600" s="395"/>
      <c r="AC600" s="395"/>
      <c r="AD600" s="395"/>
      <c r="AE600" s="395"/>
      <c r="AF600" s="397"/>
      <c r="AG600" s="398"/>
      <c r="AH600" s="395"/>
      <c r="AI600" s="395"/>
      <c r="AJ600" s="395"/>
      <c r="AK600" s="399"/>
    </row>
    <row r="601" spans="1:37" ht="30" customHeight="1" x14ac:dyDescent="0.2">
      <c r="A601" s="201"/>
      <c r="B601" s="39"/>
      <c r="C601" s="661"/>
      <c r="D601" s="655"/>
      <c r="E601" s="661"/>
      <c r="F601" s="661"/>
      <c r="G601" s="215">
        <v>42</v>
      </c>
      <c r="H601" s="77" t="s">
        <v>774</v>
      </c>
      <c r="I601" s="77"/>
      <c r="J601" s="77"/>
      <c r="K601" s="124"/>
      <c r="L601" s="124"/>
      <c r="M601" s="77"/>
      <c r="N601" s="169"/>
      <c r="O601" s="77"/>
      <c r="P601" s="77"/>
      <c r="Q601" s="263"/>
      <c r="R601" s="263"/>
      <c r="S601" s="263"/>
      <c r="T601" s="263"/>
      <c r="U601" s="263"/>
      <c r="V601" s="263"/>
      <c r="W601" s="263"/>
      <c r="X601" s="263"/>
      <c r="Y601" s="263"/>
      <c r="Z601" s="263"/>
      <c r="AA601" s="263"/>
      <c r="AB601" s="263"/>
      <c r="AC601" s="263"/>
      <c r="AD601" s="263"/>
      <c r="AE601" s="263"/>
      <c r="AF601" s="404"/>
      <c r="AG601" s="263"/>
      <c r="AH601" s="263"/>
      <c r="AI601" s="263"/>
      <c r="AJ601" s="263"/>
      <c r="AK601" s="265"/>
    </row>
    <row r="602" spans="1:37" ht="75.75" customHeight="1" x14ac:dyDescent="0.2">
      <c r="A602" s="201"/>
      <c r="B602" s="39"/>
      <c r="C602" s="650" t="s">
        <v>742</v>
      </c>
      <c r="D602" s="46" t="s">
        <v>775</v>
      </c>
      <c r="E602" s="650" t="s">
        <v>776</v>
      </c>
      <c r="F602" s="650" t="s">
        <v>777</v>
      </c>
      <c r="G602" s="830"/>
      <c r="H602" s="41">
        <v>149</v>
      </c>
      <c r="I602" s="679" t="s">
        <v>778</v>
      </c>
      <c r="J602" s="54" t="s">
        <v>37</v>
      </c>
      <c r="K602" s="105">
        <v>8</v>
      </c>
      <c r="L602" s="784">
        <v>2017003630100</v>
      </c>
      <c r="M602" s="774" t="s">
        <v>708</v>
      </c>
      <c r="N602" s="774" t="s">
        <v>779</v>
      </c>
      <c r="O602" s="778" t="s">
        <v>1006</v>
      </c>
      <c r="P602" s="54" t="s">
        <v>46</v>
      </c>
      <c r="Q602" s="391"/>
      <c r="R602" s="391"/>
      <c r="S602" s="391"/>
      <c r="T602" s="391"/>
      <c r="U602" s="391"/>
      <c r="V602" s="391"/>
      <c r="W602" s="391"/>
      <c r="X602" s="391">
        <v>30000000</v>
      </c>
      <c r="Y602" s="392"/>
      <c r="Z602" s="391">
        <v>3000000</v>
      </c>
      <c r="AA602" s="391"/>
      <c r="AB602" s="391"/>
      <c r="AC602" s="391"/>
      <c r="AD602" s="391"/>
      <c r="AE602" s="391"/>
      <c r="AF602" s="392"/>
      <c r="AG602" s="405"/>
      <c r="AH602" s="391"/>
      <c r="AI602" s="393"/>
      <c r="AJ602" s="393"/>
      <c r="AK602" s="391">
        <f>Q602+R602+S602+T602+U602+V602+W602+X602+Y602+Z602+AA602+AB602+AC602+AD602+AE602+AF602+AG602+AH602+AI602+AJ602</f>
        <v>33000000</v>
      </c>
    </row>
    <row r="603" spans="1:37" ht="75.75" customHeight="1" x14ac:dyDescent="0.2">
      <c r="A603" s="201"/>
      <c r="B603" s="39"/>
      <c r="C603" s="650">
        <v>28</v>
      </c>
      <c r="D603" s="46" t="s">
        <v>781</v>
      </c>
      <c r="E603" s="660">
        <v>0.5</v>
      </c>
      <c r="F603" s="660">
        <v>1</v>
      </c>
      <c r="G603" s="831"/>
      <c r="H603" s="41">
        <v>150</v>
      </c>
      <c r="I603" s="679" t="s">
        <v>782</v>
      </c>
      <c r="J603" s="54">
        <v>0</v>
      </c>
      <c r="K603" s="105">
        <v>14</v>
      </c>
      <c r="L603" s="786"/>
      <c r="M603" s="776"/>
      <c r="N603" s="776"/>
      <c r="O603" s="779"/>
      <c r="P603" s="54" t="s">
        <v>46</v>
      </c>
      <c r="Q603" s="391">
        <v>0</v>
      </c>
      <c r="R603" s="391">
        <v>0</v>
      </c>
      <c r="S603" s="391">
        <v>0</v>
      </c>
      <c r="T603" s="391">
        <v>0</v>
      </c>
      <c r="U603" s="391">
        <v>0</v>
      </c>
      <c r="V603" s="391">
        <v>0</v>
      </c>
      <c r="W603" s="391">
        <v>0</v>
      </c>
      <c r="X603" s="391">
        <v>30000000</v>
      </c>
      <c r="Y603" s="392"/>
      <c r="Z603" s="391">
        <v>0</v>
      </c>
      <c r="AA603" s="391">
        <v>0</v>
      </c>
      <c r="AB603" s="391"/>
      <c r="AC603" s="391"/>
      <c r="AD603" s="391">
        <v>0</v>
      </c>
      <c r="AE603" s="391">
        <v>0</v>
      </c>
      <c r="AF603" s="392">
        <v>0</v>
      </c>
      <c r="AG603" s="405"/>
      <c r="AH603" s="391">
        <v>0</v>
      </c>
      <c r="AI603" s="393"/>
      <c r="AJ603" s="393"/>
      <c r="AK603" s="391">
        <f>Q603+R603+S603+T603+U603+V603+W603+X603+Y603+Z603+AA603+AB603+AC603+AD603+AE603+AF603+AG603+AH603+AI603+AJ603</f>
        <v>30000000</v>
      </c>
    </row>
    <row r="604" spans="1:37" ht="30" customHeight="1" x14ac:dyDescent="0.2">
      <c r="A604" s="201"/>
      <c r="B604" s="39"/>
      <c r="C604" s="662"/>
      <c r="D604" s="657"/>
      <c r="E604" s="662"/>
      <c r="F604" s="662"/>
      <c r="G604" s="184"/>
      <c r="H604" s="57"/>
      <c r="I604" s="55"/>
      <c r="J604" s="56"/>
      <c r="K604" s="132"/>
      <c r="L604" s="132"/>
      <c r="M604" s="56"/>
      <c r="N604" s="56"/>
      <c r="O604" s="55"/>
      <c r="P604" s="56"/>
      <c r="Q604" s="400">
        <f t="shared" ref="Q604:AK604" si="152">SUM(Q602:Q603)</f>
        <v>0</v>
      </c>
      <c r="R604" s="400">
        <f t="shared" si="152"/>
        <v>0</v>
      </c>
      <c r="S604" s="400">
        <f t="shared" si="152"/>
        <v>0</v>
      </c>
      <c r="T604" s="400">
        <f t="shared" si="152"/>
        <v>0</v>
      </c>
      <c r="U604" s="400">
        <f t="shared" si="152"/>
        <v>0</v>
      </c>
      <c r="V604" s="400">
        <f t="shared" si="152"/>
        <v>0</v>
      </c>
      <c r="W604" s="400">
        <f t="shared" si="152"/>
        <v>0</v>
      </c>
      <c r="X604" s="400">
        <f t="shared" si="152"/>
        <v>60000000</v>
      </c>
      <c r="Y604" s="400">
        <f t="shared" si="152"/>
        <v>0</v>
      </c>
      <c r="Z604" s="400">
        <f t="shared" si="152"/>
        <v>3000000</v>
      </c>
      <c r="AA604" s="400">
        <f t="shared" si="152"/>
        <v>0</v>
      </c>
      <c r="AB604" s="400">
        <f t="shared" si="152"/>
        <v>0</v>
      </c>
      <c r="AC604" s="400">
        <f t="shared" si="152"/>
        <v>0</v>
      </c>
      <c r="AD604" s="400">
        <f t="shared" si="152"/>
        <v>0</v>
      </c>
      <c r="AE604" s="400">
        <f t="shared" si="152"/>
        <v>0</v>
      </c>
      <c r="AF604" s="400">
        <f t="shared" si="152"/>
        <v>0</v>
      </c>
      <c r="AG604" s="400">
        <f t="shared" si="152"/>
        <v>0</v>
      </c>
      <c r="AH604" s="400">
        <f t="shared" si="152"/>
        <v>0</v>
      </c>
      <c r="AI604" s="400">
        <f t="shared" si="152"/>
        <v>0</v>
      </c>
      <c r="AJ604" s="400">
        <f t="shared" si="152"/>
        <v>0</v>
      </c>
      <c r="AK604" s="400">
        <f t="shared" si="152"/>
        <v>63000000</v>
      </c>
    </row>
    <row r="605" spans="1:37" ht="30" customHeight="1" x14ac:dyDescent="0.2">
      <c r="A605" s="201"/>
      <c r="B605" s="39"/>
      <c r="C605" s="146"/>
      <c r="D605" s="69"/>
      <c r="E605" s="146"/>
      <c r="F605" s="146"/>
      <c r="G605" s="69"/>
      <c r="H605" s="146"/>
      <c r="I605" s="69"/>
      <c r="J605" s="146"/>
      <c r="K605" s="147"/>
      <c r="L605" s="261"/>
      <c r="M605" s="390"/>
      <c r="N605" s="390"/>
      <c r="O605" s="99"/>
      <c r="P605" s="146"/>
      <c r="Q605" s="395"/>
      <c r="R605" s="395"/>
      <c r="S605" s="395"/>
      <c r="T605" s="395"/>
      <c r="U605" s="395"/>
      <c r="V605" s="395"/>
      <c r="W605" s="395"/>
      <c r="X605" s="395"/>
      <c r="Y605" s="395"/>
      <c r="Z605" s="395"/>
      <c r="AA605" s="395"/>
      <c r="AB605" s="395"/>
      <c r="AC605" s="395"/>
      <c r="AD605" s="395"/>
      <c r="AE605" s="395"/>
      <c r="AF605" s="397"/>
      <c r="AG605" s="398"/>
      <c r="AH605" s="395"/>
      <c r="AI605" s="395"/>
      <c r="AJ605" s="396"/>
      <c r="AK605" s="399"/>
    </row>
    <row r="606" spans="1:37" ht="30" customHeight="1" x14ac:dyDescent="0.2">
      <c r="A606" s="201"/>
      <c r="B606" s="201"/>
      <c r="C606" s="661"/>
      <c r="D606" s="655"/>
      <c r="E606" s="661"/>
      <c r="F606" s="661"/>
      <c r="G606" s="215">
        <v>43</v>
      </c>
      <c r="H606" s="77" t="s">
        <v>783</v>
      </c>
      <c r="I606" s="77"/>
      <c r="J606" s="77"/>
      <c r="K606" s="124"/>
      <c r="L606" s="124"/>
      <c r="M606" s="77"/>
      <c r="N606" s="169"/>
      <c r="O606" s="77"/>
      <c r="P606" s="77"/>
      <c r="Q606" s="263"/>
      <c r="R606" s="263"/>
      <c r="S606" s="263"/>
      <c r="T606" s="263"/>
      <c r="U606" s="263"/>
      <c r="V606" s="263"/>
      <c r="W606" s="263"/>
      <c r="X606" s="263"/>
      <c r="Y606" s="263"/>
      <c r="Z606" s="263"/>
      <c r="AA606" s="263"/>
      <c r="AB606" s="263"/>
      <c r="AC606" s="263"/>
      <c r="AD606" s="263"/>
      <c r="AE606" s="263"/>
      <c r="AF606" s="404"/>
      <c r="AG606" s="263"/>
      <c r="AH606" s="263"/>
      <c r="AI606" s="263"/>
      <c r="AJ606" s="263"/>
      <c r="AK606" s="265"/>
    </row>
    <row r="607" spans="1:37" ht="90" customHeight="1" x14ac:dyDescent="0.2">
      <c r="A607" s="201"/>
      <c r="B607" s="201"/>
      <c r="C607" s="650" t="s">
        <v>742</v>
      </c>
      <c r="D607" s="775" t="s">
        <v>784</v>
      </c>
      <c r="E607" s="794">
        <v>0</v>
      </c>
      <c r="F607" s="794">
        <v>1</v>
      </c>
      <c r="G607" s="799"/>
      <c r="H607" s="54">
        <v>151</v>
      </c>
      <c r="I607" s="679" t="s">
        <v>785</v>
      </c>
      <c r="J607" s="54" t="s">
        <v>37</v>
      </c>
      <c r="K607" s="105">
        <v>12</v>
      </c>
      <c r="L607" s="784">
        <v>2017003630068</v>
      </c>
      <c r="M607" s="774" t="s">
        <v>708</v>
      </c>
      <c r="N607" s="774" t="s">
        <v>786</v>
      </c>
      <c r="O607" s="774" t="s">
        <v>1007</v>
      </c>
      <c r="P607" s="165" t="s">
        <v>46</v>
      </c>
      <c r="Q607" s="391">
        <v>0</v>
      </c>
      <c r="R607" s="391">
        <v>0</v>
      </c>
      <c r="S607" s="391">
        <v>0</v>
      </c>
      <c r="T607" s="391">
        <v>0</v>
      </c>
      <c r="U607" s="391">
        <v>0</v>
      </c>
      <c r="V607" s="391">
        <v>0</v>
      </c>
      <c r="W607" s="391">
        <v>0</v>
      </c>
      <c r="X607" s="472">
        <f>42240000+18676711</f>
        <v>60916711</v>
      </c>
      <c r="Y607" s="472"/>
      <c r="Z607" s="391">
        <v>10260000</v>
      </c>
      <c r="AA607" s="391"/>
      <c r="AB607" s="391"/>
      <c r="AC607" s="391"/>
      <c r="AD607" s="391">
        <v>0</v>
      </c>
      <c r="AE607" s="391"/>
      <c r="AF607" s="392">
        <v>60000000</v>
      </c>
      <c r="AG607" s="392"/>
      <c r="AH607" s="391">
        <v>0</v>
      </c>
      <c r="AI607" s="391"/>
      <c r="AJ607" s="391"/>
      <c r="AK607" s="391">
        <f>Q607+R607+S607+T607+U607+V607+W607+X607+Y607+Z607+AA607+AB607+AC607+AD607+AE607+AF607+AG607+AH607+AI607+AJ607</f>
        <v>131176711</v>
      </c>
    </row>
    <row r="608" spans="1:37" ht="57.75" customHeight="1" x14ac:dyDescent="0.2">
      <c r="A608" s="201"/>
      <c r="B608" s="201"/>
      <c r="C608" s="650"/>
      <c r="D608" s="775"/>
      <c r="E608" s="794"/>
      <c r="F608" s="794"/>
      <c r="G608" s="800"/>
      <c r="H608" s="54">
        <v>152</v>
      </c>
      <c r="I608" s="679" t="s">
        <v>788</v>
      </c>
      <c r="J608" s="54" t="s">
        <v>37</v>
      </c>
      <c r="K608" s="105">
        <v>1</v>
      </c>
      <c r="L608" s="785"/>
      <c r="M608" s="775"/>
      <c r="N608" s="775"/>
      <c r="O608" s="775"/>
      <c r="P608" s="165" t="s">
        <v>46</v>
      </c>
      <c r="Q608" s="391">
        <v>0</v>
      </c>
      <c r="R608" s="391">
        <v>0</v>
      </c>
      <c r="S608" s="391">
        <v>0</v>
      </c>
      <c r="T608" s="391">
        <v>0</v>
      </c>
      <c r="U608" s="391">
        <v>0</v>
      </c>
      <c r="V608" s="391">
        <v>0</v>
      </c>
      <c r="W608" s="391">
        <v>0</v>
      </c>
      <c r="X608" s="391">
        <v>127760000</v>
      </c>
      <c r="Y608" s="392"/>
      <c r="Z608" s="391">
        <v>34740000</v>
      </c>
      <c r="AA608" s="391"/>
      <c r="AB608" s="391"/>
      <c r="AC608" s="391"/>
      <c r="AD608" s="391">
        <v>0</v>
      </c>
      <c r="AE608" s="391"/>
      <c r="AF608" s="392"/>
      <c r="AG608" s="405"/>
      <c r="AH608" s="391">
        <v>0</v>
      </c>
      <c r="AI608" s="393"/>
      <c r="AJ608" s="393"/>
      <c r="AK608" s="391">
        <f>Q608+R608+S608+T608+U608+V608+W608+X608+Y608+Z608+AA608+AB608+AC608+AD608+AE608+AF608+AG608+AH608+AI608+AJ608</f>
        <v>162500000</v>
      </c>
    </row>
    <row r="609" spans="1:37" ht="57.75" customHeight="1" x14ac:dyDescent="0.2">
      <c r="A609" s="201"/>
      <c r="B609" s="201"/>
      <c r="C609" s="661" t="s">
        <v>742</v>
      </c>
      <c r="D609" s="655" t="s">
        <v>789</v>
      </c>
      <c r="E609" s="681">
        <v>0</v>
      </c>
      <c r="F609" s="681">
        <v>1</v>
      </c>
      <c r="G609" s="668"/>
      <c r="H609" s="54">
        <v>153</v>
      </c>
      <c r="I609" s="679" t="s">
        <v>790</v>
      </c>
      <c r="J609" s="54" t="s">
        <v>37</v>
      </c>
      <c r="K609" s="105">
        <v>150</v>
      </c>
      <c r="L609" s="786"/>
      <c r="M609" s="776"/>
      <c r="N609" s="776"/>
      <c r="O609" s="776"/>
      <c r="P609" s="165" t="s">
        <v>46</v>
      </c>
      <c r="Q609" s="391"/>
      <c r="R609" s="391"/>
      <c r="S609" s="391"/>
      <c r="T609" s="391"/>
      <c r="U609" s="391"/>
      <c r="V609" s="391"/>
      <c r="W609" s="391"/>
      <c r="X609" s="391">
        <v>0</v>
      </c>
      <c r="Y609" s="392"/>
      <c r="Z609" s="391"/>
      <c r="AA609" s="391">
        <f>723669712+500977580</f>
        <v>1224647292</v>
      </c>
      <c r="AB609" s="391"/>
      <c r="AC609" s="391"/>
      <c r="AD609" s="391"/>
      <c r="AE609" s="391"/>
      <c r="AF609" s="392"/>
      <c r="AG609" s="405"/>
      <c r="AH609" s="391"/>
      <c r="AI609" s="393"/>
      <c r="AJ609" s="393"/>
      <c r="AK609" s="391">
        <f>Q609+R609+S609+T609+U609+V609+W609+X609+Y609+Z609+AA609+AB609+AC609+AD609+AE609+AF609+AG609+AH609+AI609+AJ609</f>
        <v>1224647292</v>
      </c>
    </row>
    <row r="610" spans="1:37" ht="30" customHeight="1" x14ac:dyDescent="0.2">
      <c r="A610" s="201"/>
      <c r="B610" s="39"/>
      <c r="C610" s="662"/>
      <c r="D610" s="657"/>
      <c r="E610" s="662"/>
      <c r="F610" s="662"/>
      <c r="G610" s="55"/>
      <c r="H610" s="56"/>
      <c r="I610" s="55"/>
      <c r="J610" s="56"/>
      <c r="K610" s="109"/>
      <c r="L610" s="109"/>
      <c r="M610" s="57"/>
      <c r="N610" s="56"/>
      <c r="O610" s="55"/>
      <c r="P610" s="56"/>
      <c r="Q610" s="400">
        <f t="shared" ref="Q610:AJ610" si="153">SUM(Q607:Q609)</f>
        <v>0</v>
      </c>
      <c r="R610" s="400">
        <f t="shared" si="153"/>
        <v>0</v>
      </c>
      <c r="S610" s="400">
        <f t="shared" si="153"/>
        <v>0</v>
      </c>
      <c r="T610" s="400">
        <f t="shared" si="153"/>
        <v>0</v>
      </c>
      <c r="U610" s="400">
        <f t="shared" si="153"/>
        <v>0</v>
      </c>
      <c r="V610" s="400">
        <f t="shared" si="153"/>
        <v>0</v>
      </c>
      <c r="W610" s="400">
        <f t="shared" si="153"/>
        <v>0</v>
      </c>
      <c r="X610" s="400">
        <f t="shared" si="153"/>
        <v>188676711</v>
      </c>
      <c r="Y610" s="400">
        <f t="shared" si="153"/>
        <v>0</v>
      </c>
      <c r="Z610" s="400">
        <f t="shared" si="153"/>
        <v>45000000</v>
      </c>
      <c r="AA610" s="400">
        <f t="shared" si="153"/>
        <v>1224647292</v>
      </c>
      <c r="AB610" s="400">
        <f t="shared" si="153"/>
        <v>0</v>
      </c>
      <c r="AC610" s="400">
        <f t="shared" si="153"/>
        <v>0</v>
      </c>
      <c r="AD610" s="400">
        <f t="shared" si="153"/>
        <v>0</v>
      </c>
      <c r="AE610" s="400">
        <f t="shared" si="153"/>
        <v>0</v>
      </c>
      <c r="AF610" s="400">
        <f t="shared" si="153"/>
        <v>60000000</v>
      </c>
      <c r="AG610" s="400">
        <f t="shared" si="153"/>
        <v>0</v>
      </c>
      <c r="AH610" s="400">
        <f t="shared" si="153"/>
        <v>0</v>
      </c>
      <c r="AI610" s="400">
        <f t="shared" si="153"/>
        <v>0</v>
      </c>
      <c r="AJ610" s="400">
        <f t="shared" si="153"/>
        <v>0</v>
      </c>
      <c r="AK610" s="400">
        <f>SUM(AK607:AK609)</f>
        <v>1518324003</v>
      </c>
    </row>
    <row r="611" spans="1:37" ht="30" customHeight="1" x14ac:dyDescent="0.2">
      <c r="A611" s="201"/>
      <c r="B611" s="39"/>
      <c r="C611" s="146"/>
      <c r="D611" s="69"/>
      <c r="E611" s="146"/>
      <c r="F611" s="146"/>
      <c r="G611" s="69"/>
      <c r="H611" s="146"/>
      <c r="I611" s="69"/>
      <c r="J611" s="146"/>
      <c r="K611" s="147"/>
      <c r="L611" s="261"/>
      <c r="M611" s="390"/>
      <c r="N611" s="390"/>
      <c r="O611" s="99"/>
      <c r="P611" s="146"/>
      <c r="Q611" s="395"/>
      <c r="R611" s="395"/>
      <c r="S611" s="395"/>
      <c r="T611" s="395"/>
      <c r="U611" s="395"/>
      <c r="V611" s="395"/>
      <c r="W611" s="395"/>
      <c r="X611" s="395"/>
      <c r="Y611" s="395"/>
      <c r="Z611" s="395"/>
      <c r="AA611" s="395"/>
      <c r="AB611" s="395"/>
      <c r="AC611" s="395"/>
      <c r="AD611" s="395"/>
      <c r="AE611" s="395"/>
      <c r="AF611" s="397" t="s">
        <v>63</v>
      </c>
      <c r="AG611" s="398"/>
      <c r="AH611" s="395"/>
      <c r="AI611" s="395"/>
      <c r="AJ611" s="395"/>
      <c r="AK611" s="399"/>
    </row>
    <row r="612" spans="1:37" ht="30" customHeight="1" x14ac:dyDescent="0.2">
      <c r="A612" s="201"/>
      <c r="B612" s="39"/>
      <c r="C612" s="661"/>
      <c r="D612" s="655"/>
      <c r="E612" s="661"/>
      <c r="F612" s="661"/>
      <c r="G612" s="269">
        <v>44</v>
      </c>
      <c r="H612" s="77" t="s">
        <v>791</v>
      </c>
      <c r="I612" s="77"/>
      <c r="J612" s="77"/>
      <c r="K612" s="124"/>
      <c r="L612" s="124"/>
      <c r="M612" s="77"/>
      <c r="N612" s="169"/>
      <c r="O612" s="77"/>
      <c r="P612" s="77"/>
      <c r="Q612" s="263"/>
      <c r="R612" s="263"/>
      <c r="S612" s="263"/>
      <c r="T612" s="263"/>
      <c r="U612" s="263"/>
      <c r="V612" s="263"/>
      <c r="W612" s="263"/>
      <c r="X612" s="263"/>
      <c r="Y612" s="263"/>
      <c r="Z612" s="263"/>
      <c r="AA612" s="263"/>
      <c r="AB612" s="263"/>
      <c r="AC612" s="263"/>
      <c r="AD612" s="263"/>
      <c r="AE612" s="263"/>
      <c r="AF612" s="404"/>
      <c r="AG612" s="263"/>
      <c r="AH612" s="263"/>
      <c r="AI612" s="263"/>
      <c r="AJ612" s="263"/>
      <c r="AK612" s="265"/>
    </row>
    <row r="613" spans="1:37" ht="69.75" customHeight="1" x14ac:dyDescent="0.2">
      <c r="A613" s="201"/>
      <c r="B613" s="201"/>
      <c r="C613" s="662">
        <v>37</v>
      </c>
      <c r="D613" s="657" t="s">
        <v>701</v>
      </c>
      <c r="E613" s="662" t="s">
        <v>67</v>
      </c>
      <c r="F613" s="663">
        <v>0.6</v>
      </c>
      <c r="G613" s="140"/>
      <c r="H613" s="54">
        <v>154</v>
      </c>
      <c r="I613" s="679" t="s">
        <v>792</v>
      </c>
      <c r="J613" s="54" t="s">
        <v>37</v>
      </c>
      <c r="K613" s="42">
        <v>5</v>
      </c>
      <c r="L613" s="784">
        <v>2017003630107</v>
      </c>
      <c r="M613" s="832" t="s">
        <v>708</v>
      </c>
      <c r="N613" s="774" t="s">
        <v>793</v>
      </c>
      <c r="O613" s="777" t="s">
        <v>1008</v>
      </c>
      <c r="P613" s="54" t="s">
        <v>46</v>
      </c>
      <c r="Q613" s="391">
        <v>0</v>
      </c>
      <c r="R613" s="391">
        <v>0</v>
      </c>
      <c r="S613" s="391">
        <v>0</v>
      </c>
      <c r="T613" s="391">
        <v>0</v>
      </c>
      <c r="U613" s="391">
        <v>0</v>
      </c>
      <c r="V613" s="391">
        <v>0</v>
      </c>
      <c r="W613" s="391">
        <v>0</v>
      </c>
      <c r="X613" s="391">
        <f>80000000+6385271</f>
        <v>86385271</v>
      </c>
      <c r="Y613" s="392"/>
      <c r="Z613" s="391">
        <v>0</v>
      </c>
      <c r="AA613" s="391">
        <v>0</v>
      </c>
      <c r="AB613" s="391"/>
      <c r="AC613" s="391"/>
      <c r="AD613" s="391">
        <v>0</v>
      </c>
      <c r="AE613" s="391">
        <v>0</v>
      </c>
      <c r="AF613" s="392">
        <v>0</v>
      </c>
      <c r="AG613" s="405"/>
      <c r="AH613" s="391">
        <v>0</v>
      </c>
      <c r="AI613" s="393"/>
      <c r="AJ613" s="393"/>
      <c r="AK613" s="391">
        <f>Q613+R613+S613+T613+U613+V613+W613+X613+Y613+Z613+AA613+AB613+AC613+AD613+AE613+AF613+AG613+AH613+AI613+AJ613</f>
        <v>86385271</v>
      </c>
    </row>
    <row r="614" spans="1:37" ht="69.75" customHeight="1" x14ac:dyDescent="0.2">
      <c r="A614" s="201"/>
      <c r="B614" s="201"/>
      <c r="C614" s="662">
        <v>13</v>
      </c>
      <c r="D614" s="657" t="s">
        <v>795</v>
      </c>
      <c r="E614" s="54">
        <v>71.040000000000006</v>
      </c>
      <c r="F614" s="259">
        <v>0.88170000000000004</v>
      </c>
      <c r="G614" s="140"/>
      <c r="H614" s="54">
        <v>155</v>
      </c>
      <c r="I614" s="679" t="s">
        <v>796</v>
      </c>
      <c r="J614" s="54">
        <v>0</v>
      </c>
      <c r="K614" s="42">
        <v>1</v>
      </c>
      <c r="L614" s="785"/>
      <c r="M614" s="830"/>
      <c r="N614" s="775"/>
      <c r="O614" s="778"/>
      <c r="P614" s="165" t="s">
        <v>46</v>
      </c>
      <c r="Q614" s="391">
        <v>0</v>
      </c>
      <c r="R614" s="391">
        <v>0</v>
      </c>
      <c r="S614" s="391">
        <v>0</v>
      </c>
      <c r="T614" s="391">
        <v>0</v>
      </c>
      <c r="U614" s="391">
        <v>0</v>
      </c>
      <c r="V614" s="391">
        <v>0</v>
      </c>
      <c r="W614" s="391">
        <v>0</v>
      </c>
      <c r="X614" s="391">
        <f>50500000+2300000</f>
        <v>52800000</v>
      </c>
      <c r="Y614" s="392"/>
      <c r="Z614" s="391">
        <v>0</v>
      </c>
      <c r="AA614" s="391">
        <v>0</v>
      </c>
      <c r="AB614" s="391"/>
      <c r="AC614" s="391"/>
      <c r="AD614" s="391">
        <v>0</v>
      </c>
      <c r="AE614" s="391">
        <v>0</v>
      </c>
      <c r="AF614" s="392">
        <v>0</v>
      </c>
      <c r="AG614" s="405"/>
      <c r="AH614" s="391">
        <v>0</v>
      </c>
      <c r="AI614" s="393"/>
      <c r="AJ614" s="393"/>
      <c r="AK614" s="391">
        <f>Q614+R614+S614+T614+U614+V614+W614+X614+Y614+Z614+AA614+AB614+AC614+AD614+AE614+AF614+AG614+AH614+AI614+AJ614</f>
        <v>52800000</v>
      </c>
    </row>
    <row r="615" spans="1:37" ht="69.75" customHeight="1" x14ac:dyDescent="0.2">
      <c r="A615" s="201"/>
      <c r="B615" s="201"/>
      <c r="C615" s="662" t="s">
        <v>797</v>
      </c>
      <c r="D615" s="657" t="s">
        <v>798</v>
      </c>
      <c r="E615" s="662" t="s">
        <v>799</v>
      </c>
      <c r="F615" s="662" t="s">
        <v>800</v>
      </c>
      <c r="G615" s="48"/>
      <c r="H615" s="54">
        <v>156</v>
      </c>
      <c r="I615" s="679" t="s">
        <v>801</v>
      </c>
      <c r="J615" s="54">
        <v>12</v>
      </c>
      <c r="K615" s="42">
        <v>12</v>
      </c>
      <c r="L615" s="785"/>
      <c r="M615" s="830"/>
      <c r="N615" s="775"/>
      <c r="O615" s="778"/>
      <c r="P615" s="165" t="s">
        <v>46</v>
      </c>
      <c r="Q615" s="391">
        <v>0</v>
      </c>
      <c r="R615" s="391">
        <v>0</v>
      </c>
      <c r="S615" s="391">
        <v>0</v>
      </c>
      <c r="T615" s="391">
        <v>0</v>
      </c>
      <c r="U615" s="391">
        <v>0</v>
      </c>
      <c r="V615" s="391">
        <v>0</v>
      </c>
      <c r="W615" s="391">
        <v>0</v>
      </c>
      <c r="X615" s="391">
        <f>74000000+8000000</f>
        <v>82000000</v>
      </c>
      <c r="Y615" s="391"/>
      <c r="Z615" s="391">
        <v>0</v>
      </c>
      <c r="AA615" s="391">
        <v>0</v>
      </c>
      <c r="AB615" s="391"/>
      <c r="AC615" s="391"/>
      <c r="AD615" s="391">
        <v>0</v>
      </c>
      <c r="AE615" s="391">
        <v>0</v>
      </c>
      <c r="AF615" s="392"/>
      <c r="AG615" s="405"/>
      <c r="AH615" s="391">
        <v>0</v>
      </c>
      <c r="AI615" s="393"/>
      <c r="AJ615" s="393"/>
      <c r="AK615" s="391">
        <f>Q615+R615+S615+T615+U615+V615+W615+X615+Y615+Z615+AA615+AB615+AC615+AD615+AE615+AF615+AG615+AH615+AI615+AJ615</f>
        <v>82000000</v>
      </c>
    </row>
    <row r="616" spans="1:37" ht="69.75" customHeight="1" x14ac:dyDescent="0.2">
      <c r="A616" s="201"/>
      <c r="B616" s="201"/>
      <c r="C616" s="661">
        <v>34</v>
      </c>
      <c r="D616" s="655" t="s">
        <v>802</v>
      </c>
      <c r="E616" s="661" t="s">
        <v>37</v>
      </c>
      <c r="F616" s="681">
        <v>0.4</v>
      </c>
      <c r="G616" s="48"/>
      <c r="H616" s="54">
        <v>157</v>
      </c>
      <c r="I616" s="679" t="s">
        <v>803</v>
      </c>
      <c r="J616" s="54">
        <v>12</v>
      </c>
      <c r="K616" s="42">
        <v>12</v>
      </c>
      <c r="L616" s="786"/>
      <c r="M616" s="831"/>
      <c r="N616" s="776"/>
      <c r="O616" s="779"/>
      <c r="P616" s="165" t="s">
        <v>46</v>
      </c>
      <c r="Q616" s="391">
        <v>0</v>
      </c>
      <c r="R616" s="391">
        <v>0</v>
      </c>
      <c r="S616" s="391">
        <v>0</v>
      </c>
      <c r="T616" s="391">
        <v>0</v>
      </c>
      <c r="U616" s="391">
        <v>0</v>
      </c>
      <c r="V616" s="391">
        <v>0</v>
      </c>
      <c r="W616" s="391">
        <v>0</v>
      </c>
      <c r="X616" s="391">
        <f>49542081+3200000</f>
        <v>52742081</v>
      </c>
      <c r="Y616" s="392"/>
      <c r="Z616" s="391">
        <v>0</v>
      </c>
      <c r="AA616" s="391">
        <v>0</v>
      </c>
      <c r="AB616" s="391"/>
      <c r="AC616" s="391"/>
      <c r="AD616" s="391">
        <v>0</v>
      </c>
      <c r="AE616" s="391">
        <v>0</v>
      </c>
      <c r="AF616" s="392">
        <v>0</v>
      </c>
      <c r="AG616" s="405"/>
      <c r="AH616" s="391">
        <v>0</v>
      </c>
      <c r="AI616" s="393"/>
      <c r="AJ616" s="393"/>
      <c r="AK616" s="391">
        <f>Q616+R616+S616+T616+U616+V616+W616+X616+Y616+Z616+AA616+AB616+AC616+AD616+AE616+AF616+AG616+AH616+AI616+AJ616</f>
        <v>52742081</v>
      </c>
    </row>
    <row r="617" spans="1:37" ht="30" customHeight="1" x14ac:dyDescent="0.2">
      <c r="A617" s="201"/>
      <c r="B617" s="39"/>
      <c r="C617" s="662"/>
      <c r="D617" s="657"/>
      <c r="E617" s="662"/>
      <c r="F617" s="662"/>
      <c r="G617" s="55"/>
      <c r="H617" s="56"/>
      <c r="I617" s="55"/>
      <c r="J617" s="56"/>
      <c r="K617" s="109"/>
      <c r="L617" s="109"/>
      <c r="M617" s="57"/>
      <c r="N617" s="56"/>
      <c r="O617" s="55"/>
      <c r="P617" s="56"/>
      <c r="Q617" s="400">
        <f t="shared" ref="Q617:AK617" si="154">SUM(Q613:Q616)</f>
        <v>0</v>
      </c>
      <c r="R617" s="400">
        <f t="shared" si="154"/>
        <v>0</v>
      </c>
      <c r="S617" s="400">
        <f t="shared" si="154"/>
        <v>0</v>
      </c>
      <c r="T617" s="400">
        <f t="shared" si="154"/>
        <v>0</v>
      </c>
      <c r="U617" s="400">
        <f t="shared" si="154"/>
        <v>0</v>
      </c>
      <c r="V617" s="400">
        <f t="shared" si="154"/>
        <v>0</v>
      </c>
      <c r="W617" s="400">
        <f t="shared" si="154"/>
        <v>0</v>
      </c>
      <c r="X617" s="400">
        <f t="shared" si="154"/>
        <v>273927352</v>
      </c>
      <c r="Y617" s="400">
        <f t="shared" si="154"/>
        <v>0</v>
      </c>
      <c r="Z617" s="400">
        <f t="shared" si="154"/>
        <v>0</v>
      </c>
      <c r="AA617" s="400">
        <f t="shared" si="154"/>
        <v>0</v>
      </c>
      <c r="AB617" s="400">
        <f t="shared" si="154"/>
        <v>0</v>
      </c>
      <c r="AC617" s="400">
        <f t="shared" si="154"/>
        <v>0</v>
      </c>
      <c r="AD617" s="400">
        <f t="shared" si="154"/>
        <v>0</v>
      </c>
      <c r="AE617" s="400">
        <f t="shared" si="154"/>
        <v>0</v>
      </c>
      <c r="AF617" s="400">
        <f t="shared" si="154"/>
        <v>0</v>
      </c>
      <c r="AG617" s="400">
        <f t="shared" si="154"/>
        <v>0</v>
      </c>
      <c r="AH617" s="400">
        <f t="shared" si="154"/>
        <v>0</v>
      </c>
      <c r="AI617" s="400">
        <f t="shared" si="154"/>
        <v>0</v>
      </c>
      <c r="AJ617" s="400">
        <f t="shared" si="154"/>
        <v>0</v>
      </c>
      <c r="AK617" s="400">
        <f t="shared" si="154"/>
        <v>273927352</v>
      </c>
    </row>
    <row r="618" spans="1:37" ht="30" customHeight="1" x14ac:dyDescent="0.2">
      <c r="A618" s="201"/>
      <c r="B618" s="39"/>
      <c r="C618" s="146"/>
      <c r="D618" s="69"/>
      <c r="E618" s="146"/>
      <c r="F618" s="146"/>
      <c r="G618" s="69"/>
      <c r="H618" s="146"/>
      <c r="I618" s="69"/>
      <c r="J618" s="146"/>
      <c r="K618" s="147"/>
      <c r="L618" s="261"/>
      <c r="M618" s="390"/>
      <c r="N618" s="390"/>
      <c r="O618" s="99"/>
      <c r="P618" s="146"/>
      <c r="Q618" s="395"/>
      <c r="R618" s="395"/>
      <c r="S618" s="395"/>
      <c r="T618" s="395"/>
      <c r="U618" s="395"/>
      <c r="V618" s="395"/>
      <c r="W618" s="395"/>
      <c r="X618" s="395"/>
      <c r="Y618" s="395"/>
      <c r="Z618" s="395"/>
      <c r="AA618" s="395"/>
      <c r="AB618" s="395"/>
      <c r="AC618" s="395"/>
      <c r="AD618" s="395"/>
      <c r="AE618" s="395"/>
      <c r="AF618" s="397"/>
      <c r="AG618" s="398"/>
      <c r="AH618" s="395"/>
      <c r="AI618" s="395"/>
      <c r="AJ618" s="395"/>
      <c r="AK618" s="399"/>
    </row>
    <row r="619" spans="1:37" ht="30" customHeight="1" x14ac:dyDescent="0.2">
      <c r="A619" s="201"/>
      <c r="B619" s="39"/>
      <c r="C619" s="661"/>
      <c r="D619" s="655"/>
      <c r="E619" s="661"/>
      <c r="F619" s="661"/>
      <c r="G619" s="215">
        <v>45</v>
      </c>
      <c r="H619" s="77" t="s">
        <v>804</v>
      </c>
      <c r="I619" s="77"/>
      <c r="J619" s="77"/>
      <c r="K619" s="124"/>
      <c r="L619" s="124"/>
      <c r="M619" s="77"/>
      <c r="N619" s="169"/>
      <c r="O619" s="77"/>
      <c r="P619" s="77"/>
      <c r="Q619" s="263"/>
      <c r="R619" s="263"/>
      <c r="S619" s="263"/>
      <c r="T619" s="263"/>
      <c r="U619" s="263"/>
      <c r="V619" s="263"/>
      <c r="W619" s="263"/>
      <c r="X619" s="263"/>
      <c r="Y619" s="263"/>
      <c r="Z619" s="263"/>
      <c r="AA619" s="263"/>
      <c r="AB619" s="263"/>
      <c r="AC619" s="263"/>
      <c r="AD619" s="263"/>
      <c r="AE619" s="263"/>
      <c r="AF619" s="404"/>
      <c r="AG619" s="263"/>
      <c r="AH619" s="263"/>
      <c r="AI619" s="263"/>
      <c r="AJ619" s="263"/>
      <c r="AK619" s="265"/>
    </row>
    <row r="620" spans="1:37" ht="63.75" customHeight="1" x14ac:dyDescent="0.2">
      <c r="A620" s="201"/>
      <c r="B620" s="39"/>
      <c r="C620" s="775" t="s">
        <v>805</v>
      </c>
      <c r="D620" s="778" t="s">
        <v>806</v>
      </c>
      <c r="E620" s="775" t="s">
        <v>807</v>
      </c>
      <c r="F620" s="775" t="s">
        <v>808</v>
      </c>
      <c r="G620" s="832"/>
      <c r="H620" s="41">
        <v>158</v>
      </c>
      <c r="I620" s="679" t="s">
        <v>809</v>
      </c>
      <c r="J620" s="41" t="s">
        <v>37</v>
      </c>
      <c r="K620" s="105">
        <v>11</v>
      </c>
      <c r="L620" s="784">
        <v>2017003630067</v>
      </c>
      <c r="M620" s="774" t="s">
        <v>708</v>
      </c>
      <c r="N620" s="774" t="s">
        <v>810</v>
      </c>
      <c r="O620" s="777" t="s">
        <v>1009</v>
      </c>
      <c r="P620" s="54" t="s">
        <v>46</v>
      </c>
      <c r="Q620" s="391">
        <v>0</v>
      </c>
      <c r="R620" s="391">
        <v>0</v>
      </c>
      <c r="S620" s="391">
        <v>0</v>
      </c>
      <c r="T620" s="391">
        <v>0</v>
      </c>
      <c r="U620" s="391">
        <v>0</v>
      </c>
      <c r="V620" s="391">
        <v>0</v>
      </c>
      <c r="W620" s="391">
        <v>0</v>
      </c>
      <c r="X620" s="391">
        <f>1175000000+109098541</f>
        <v>1284098541</v>
      </c>
      <c r="Y620" s="392"/>
      <c r="Z620" s="391">
        <v>0</v>
      </c>
      <c r="AA620" s="391">
        <v>0</v>
      </c>
      <c r="AB620" s="391"/>
      <c r="AC620" s="391"/>
      <c r="AD620" s="391">
        <v>0</v>
      </c>
      <c r="AE620" s="391">
        <v>0</v>
      </c>
      <c r="AF620" s="392">
        <v>0</v>
      </c>
      <c r="AG620" s="405"/>
      <c r="AH620" s="391">
        <v>0</v>
      </c>
      <c r="AI620" s="393"/>
      <c r="AJ620" s="393"/>
      <c r="AK620" s="391">
        <f>Q620+R620+S620+T620+U620+V620+W620+X620+Y620+Z620+AA620+AB620+AC620+AD620+AE620+AF620+AG620+AH620+AI620+AJ620</f>
        <v>1284098541</v>
      </c>
    </row>
    <row r="621" spans="1:37" ht="63.75" customHeight="1" x14ac:dyDescent="0.2">
      <c r="A621" s="201"/>
      <c r="B621" s="39"/>
      <c r="C621" s="775"/>
      <c r="D621" s="778"/>
      <c r="E621" s="775"/>
      <c r="F621" s="775"/>
      <c r="G621" s="831"/>
      <c r="H621" s="41">
        <v>159</v>
      </c>
      <c r="I621" s="679" t="s">
        <v>812</v>
      </c>
      <c r="J621" s="41" t="s">
        <v>37</v>
      </c>
      <c r="K621" s="105">
        <v>8</v>
      </c>
      <c r="L621" s="786"/>
      <c r="M621" s="776"/>
      <c r="N621" s="776"/>
      <c r="O621" s="779"/>
      <c r="P621" s="54" t="s">
        <v>46</v>
      </c>
      <c r="Q621" s="391">
        <v>0</v>
      </c>
      <c r="R621" s="391">
        <v>0</v>
      </c>
      <c r="S621" s="391">
        <v>0</v>
      </c>
      <c r="T621" s="391">
        <v>0</v>
      </c>
      <c r="U621" s="391">
        <v>0</v>
      </c>
      <c r="V621" s="391">
        <v>0</v>
      </c>
      <c r="W621" s="391">
        <v>0</v>
      </c>
      <c r="X621" s="391">
        <v>0</v>
      </c>
      <c r="Y621" s="391"/>
      <c r="Z621" s="391">
        <v>0</v>
      </c>
      <c r="AA621" s="391">
        <v>0</v>
      </c>
      <c r="AB621" s="391"/>
      <c r="AC621" s="391"/>
      <c r="AD621" s="391">
        <v>0</v>
      </c>
      <c r="AE621" s="391">
        <v>0</v>
      </c>
      <c r="AF621" s="392">
        <v>0</v>
      </c>
      <c r="AG621" s="405"/>
      <c r="AH621" s="391">
        <v>0</v>
      </c>
      <c r="AI621" s="393"/>
      <c r="AJ621" s="393"/>
      <c r="AK621" s="391">
        <f>Q621+R621+S621+T621+U621+V621+W621+X621+Y621+Z621+AA621+AB621+AC621+AD621+AE621+AF621+AG621+AH621+AI621+AJ621</f>
        <v>0</v>
      </c>
    </row>
    <row r="622" spans="1:37" ht="30" customHeight="1" x14ac:dyDescent="0.2">
      <c r="A622" s="201"/>
      <c r="B622" s="39"/>
      <c r="C622" s="662"/>
      <c r="D622" s="657"/>
      <c r="E622" s="662"/>
      <c r="F622" s="662"/>
      <c r="G622" s="184"/>
      <c r="H622" s="57"/>
      <c r="I622" s="55"/>
      <c r="J622" s="57"/>
      <c r="K622" s="132"/>
      <c r="L622" s="132"/>
      <c r="M622" s="56"/>
      <c r="N622" s="56"/>
      <c r="O622" s="55"/>
      <c r="P622" s="56"/>
      <c r="Q622" s="400">
        <f t="shared" ref="Q622:AJ622" si="155">SUM(Q620:Q621)</f>
        <v>0</v>
      </c>
      <c r="R622" s="400">
        <f t="shared" si="155"/>
        <v>0</v>
      </c>
      <c r="S622" s="400">
        <f t="shared" si="155"/>
        <v>0</v>
      </c>
      <c r="T622" s="400">
        <f t="shared" si="155"/>
        <v>0</v>
      </c>
      <c r="U622" s="400">
        <f t="shared" si="155"/>
        <v>0</v>
      </c>
      <c r="V622" s="400">
        <f t="shared" si="155"/>
        <v>0</v>
      </c>
      <c r="W622" s="400">
        <f t="shared" si="155"/>
        <v>0</v>
      </c>
      <c r="X622" s="400">
        <f t="shared" si="155"/>
        <v>1284098541</v>
      </c>
      <c r="Y622" s="400">
        <f t="shared" si="155"/>
        <v>0</v>
      </c>
      <c r="Z622" s="400">
        <f t="shared" si="155"/>
        <v>0</v>
      </c>
      <c r="AA622" s="400">
        <f t="shared" si="155"/>
        <v>0</v>
      </c>
      <c r="AB622" s="400">
        <f t="shared" si="155"/>
        <v>0</v>
      </c>
      <c r="AC622" s="400">
        <f t="shared" si="155"/>
        <v>0</v>
      </c>
      <c r="AD622" s="400">
        <f t="shared" si="155"/>
        <v>0</v>
      </c>
      <c r="AE622" s="400">
        <f t="shared" si="155"/>
        <v>0</v>
      </c>
      <c r="AF622" s="400">
        <f t="shared" si="155"/>
        <v>0</v>
      </c>
      <c r="AG622" s="400">
        <f t="shared" si="155"/>
        <v>0</v>
      </c>
      <c r="AH622" s="400">
        <f t="shared" si="155"/>
        <v>0</v>
      </c>
      <c r="AI622" s="400">
        <f t="shared" si="155"/>
        <v>0</v>
      </c>
      <c r="AJ622" s="400">
        <f t="shared" si="155"/>
        <v>0</v>
      </c>
      <c r="AK622" s="400">
        <f>SUM(AK620:AK621)</f>
        <v>1284098541</v>
      </c>
    </row>
    <row r="623" spans="1:37" ht="30" customHeight="1" x14ac:dyDescent="0.2">
      <c r="A623" s="201"/>
      <c r="B623" s="39"/>
      <c r="C623" s="146"/>
      <c r="D623" s="69"/>
      <c r="E623" s="146"/>
      <c r="F623" s="146"/>
      <c r="G623" s="69"/>
      <c r="H623" s="146"/>
      <c r="I623" s="69"/>
      <c r="J623" s="146"/>
      <c r="K623" s="147"/>
      <c r="L623" s="261"/>
      <c r="M623" s="390"/>
      <c r="N623" s="390"/>
      <c r="O623" s="99"/>
      <c r="P623" s="146"/>
      <c r="Q623" s="395"/>
      <c r="R623" s="395"/>
      <c r="S623" s="395"/>
      <c r="T623" s="395"/>
      <c r="U623" s="395"/>
      <c r="V623" s="395"/>
      <c r="W623" s="395"/>
      <c r="X623" s="395"/>
      <c r="Y623" s="395"/>
      <c r="Z623" s="395"/>
      <c r="AA623" s="395"/>
      <c r="AB623" s="395"/>
      <c r="AC623" s="395"/>
      <c r="AD623" s="395"/>
      <c r="AE623" s="395"/>
      <c r="AF623" s="397"/>
      <c r="AG623" s="398"/>
      <c r="AH623" s="395"/>
      <c r="AI623" s="395"/>
      <c r="AJ623" s="395"/>
      <c r="AK623" s="399"/>
    </row>
    <row r="624" spans="1:37" ht="30" customHeight="1" x14ac:dyDescent="0.2">
      <c r="A624" s="201"/>
      <c r="B624" s="39"/>
      <c r="C624" s="661"/>
      <c r="D624" s="655"/>
      <c r="E624" s="661"/>
      <c r="F624" s="661"/>
      <c r="G624" s="215">
        <v>46</v>
      </c>
      <c r="H624" s="76" t="s">
        <v>813</v>
      </c>
      <c r="I624" s="76"/>
      <c r="J624" s="76"/>
      <c r="K624" s="331"/>
      <c r="L624" s="331"/>
      <c r="M624" s="76"/>
      <c r="N624" s="169"/>
      <c r="O624" s="76"/>
      <c r="P624" s="76"/>
      <c r="Q624" s="491"/>
      <c r="R624" s="491"/>
      <c r="S624" s="263"/>
      <c r="T624" s="263"/>
      <c r="U624" s="263"/>
      <c r="V624" s="263"/>
      <c r="W624" s="263"/>
      <c r="X624" s="263"/>
      <c r="Y624" s="263"/>
      <c r="Z624" s="263"/>
      <c r="AA624" s="263"/>
      <c r="AB624" s="263"/>
      <c r="AC624" s="263"/>
      <c r="AD624" s="263"/>
      <c r="AE624" s="263"/>
      <c r="AF624" s="404"/>
      <c r="AG624" s="263"/>
      <c r="AH624" s="263"/>
      <c r="AI624" s="263"/>
      <c r="AJ624" s="263"/>
      <c r="AK624" s="265"/>
    </row>
    <row r="625" spans="1:37" ht="74.25" customHeight="1" x14ac:dyDescent="0.2">
      <c r="A625" s="201"/>
      <c r="B625" s="39"/>
      <c r="C625" s="662">
        <v>26</v>
      </c>
      <c r="D625" s="657" t="s">
        <v>814</v>
      </c>
      <c r="E625" s="662" t="s">
        <v>748</v>
      </c>
      <c r="F625" s="662" t="s">
        <v>815</v>
      </c>
      <c r="G625" s="40"/>
      <c r="H625" s="54">
        <v>160</v>
      </c>
      <c r="I625" s="44" t="s">
        <v>816</v>
      </c>
      <c r="J625" s="54">
        <v>250</v>
      </c>
      <c r="K625" s="105">
        <v>300</v>
      </c>
      <c r="L625" s="43">
        <v>2017003630066</v>
      </c>
      <c r="M625" s="54" t="s">
        <v>708</v>
      </c>
      <c r="N625" s="54" t="s">
        <v>817</v>
      </c>
      <c r="O625" s="679" t="s">
        <v>1010</v>
      </c>
      <c r="P625" s="54" t="s">
        <v>46</v>
      </c>
      <c r="Q625" s="391">
        <v>0</v>
      </c>
      <c r="R625" s="391">
        <v>0</v>
      </c>
      <c r="S625" s="391">
        <v>0</v>
      </c>
      <c r="T625" s="391">
        <v>0</v>
      </c>
      <c r="U625" s="391">
        <v>0</v>
      </c>
      <c r="V625" s="391">
        <v>0</v>
      </c>
      <c r="W625" s="391">
        <v>0</v>
      </c>
      <c r="X625" s="642">
        <f>970000000+32822900+134293814-229410811</f>
        <v>907705903</v>
      </c>
      <c r="Y625" s="392"/>
      <c r="Z625" s="391">
        <v>66328505</v>
      </c>
      <c r="AA625" s="391">
        <v>0</v>
      </c>
      <c r="AB625" s="391"/>
      <c r="AC625" s="391"/>
      <c r="AD625" s="391">
        <v>0</v>
      </c>
      <c r="AE625" s="391">
        <v>0</v>
      </c>
      <c r="AF625" s="392">
        <v>0</v>
      </c>
      <c r="AG625" s="405"/>
      <c r="AH625" s="391">
        <v>0</v>
      </c>
      <c r="AI625" s="393"/>
      <c r="AJ625" s="393">
        <v>36818951</v>
      </c>
      <c r="AK625" s="391">
        <f>Q625+R625+S625+T625+U625+V625+W625+X625+Y625+Z625+AA625+AB625+AC625+AD625+AE625+AF625+AG625+AH625+AI625+AJ625</f>
        <v>1010853359</v>
      </c>
    </row>
    <row r="626" spans="1:37" ht="93" customHeight="1" x14ac:dyDescent="0.2">
      <c r="A626" s="201"/>
      <c r="B626" s="39"/>
      <c r="C626" s="774" t="s">
        <v>1058</v>
      </c>
      <c r="D626" s="777" t="s">
        <v>819</v>
      </c>
      <c r="E626" s="774" t="s">
        <v>820</v>
      </c>
      <c r="F626" s="774" t="s">
        <v>821</v>
      </c>
      <c r="G626" s="46"/>
      <c r="H626" s="54">
        <v>161</v>
      </c>
      <c r="I626" s="679" t="s">
        <v>822</v>
      </c>
      <c r="J626" s="54">
        <v>90</v>
      </c>
      <c r="K626" s="105">
        <v>100</v>
      </c>
      <c r="L626" s="784">
        <v>2017003630110</v>
      </c>
      <c r="M626" s="774" t="s">
        <v>708</v>
      </c>
      <c r="N626" s="774" t="s">
        <v>823</v>
      </c>
      <c r="O626" s="777" t="s">
        <v>824</v>
      </c>
      <c r="P626" s="54" t="s">
        <v>46</v>
      </c>
      <c r="Q626" s="391">
        <v>0</v>
      </c>
      <c r="R626" s="391">
        <v>0</v>
      </c>
      <c r="S626" s="391">
        <v>0</v>
      </c>
      <c r="T626" s="391">
        <v>0</v>
      </c>
      <c r="U626" s="391">
        <v>0</v>
      </c>
      <c r="V626" s="391">
        <v>0</v>
      </c>
      <c r="W626" s="391">
        <v>0</v>
      </c>
      <c r="X626" s="391">
        <f>90000000</f>
        <v>90000000</v>
      </c>
      <c r="Y626" s="392"/>
      <c r="Z626" s="391">
        <v>46340000</v>
      </c>
      <c r="AA626" s="391">
        <v>0</v>
      </c>
      <c r="AB626" s="391"/>
      <c r="AC626" s="391"/>
      <c r="AD626" s="391">
        <v>0</v>
      </c>
      <c r="AE626" s="391">
        <v>0</v>
      </c>
      <c r="AF626" s="392">
        <v>0</v>
      </c>
      <c r="AG626" s="405"/>
      <c r="AH626" s="391">
        <v>0</v>
      </c>
      <c r="AI626" s="393"/>
      <c r="AJ626" s="393"/>
      <c r="AK626" s="391">
        <f>Q626+R626+S626+T626+U626+V626+W626+X626+Y626+Z626+AA626+AB626+AC626+AD626+AE626+AF626+AG626+AH626+AI626+AJ626</f>
        <v>136340000</v>
      </c>
    </row>
    <row r="627" spans="1:37" ht="52.5" customHeight="1" x14ac:dyDescent="0.2">
      <c r="A627" s="201"/>
      <c r="B627" s="39"/>
      <c r="C627" s="775"/>
      <c r="D627" s="778"/>
      <c r="E627" s="775"/>
      <c r="F627" s="775"/>
      <c r="G627" s="90"/>
      <c r="H627" s="54">
        <v>162</v>
      </c>
      <c r="I627" s="679" t="s">
        <v>825</v>
      </c>
      <c r="J627" s="54">
        <v>83</v>
      </c>
      <c r="K627" s="105">
        <v>83</v>
      </c>
      <c r="L627" s="786"/>
      <c r="M627" s="776"/>
      <c r="N627" s="776"/>
      <c r="O627" s="779"/>
      <c r="P627" s="54" t="s">
        <v>46</v>
      </c>
      <c r="Q627" s="391">
        <v>0</v>
      </c>
      <c r="R627" s="391">
        <v>0</v>
      </c>
      <c r="S627" s="391">
        <v>0</v>
      </c>
      <c r="T627" s="391">
        <v>0</v>
      </c>
      <c r="U627" s="391">
        <v>0</v>
      </c>
      <c r="V627" s="391">
        <v>0</v>
      </c>
      <c r="W627" s="391">
        <v>0</v>
      </c>
      <c r="X627" s="45">
        <f>225000000+27584843</f>
        <v>252584843</v>
      </c>
      <c r="Y627" s="392"/>
      <c r="Z627" s="391">
        <v>40702000</v>
      </c>
      <c r="AA627" s="391">
        <v>0</v>
      </c>
      <c r="AB627" s="391"/>
      <c r="AC627" s="391"/>
      <c r="AD627" s="391">
        <v>0</v>
      </c>
      <c r="AE627" s="391">
        <v>0</v>
      </c>
      <c r="AF627" s="392">
        <v>0</v>
      </c>
      <c r="AG627" s="405"/>
      <c r="AH627" s="391">
        <v>0</v>
      </c>
      <c r="AI627" s="393"/>
      <c r="AJ627" s="393">
        <v>30000000</v>
      </c>
      <c r="AK627" s="391">
        <f>Q627+R627+S627+T627+U627+V627+W627+X627+Y627+Z627+AA627+AB627+AC627+AD627+AE627+AF627+AG627+AH627+AI627+AJ627</f>
        <v>323286843</v>
      </c>
    </row>
    <row r="628" spans="1:37" ht="30.75" customHeight="1" x14ac:dyDescent="0.2">
      <c r="A628" s="39"/>
      <c r="B628" s="52"/>
      <c r="C628" s="662"/>
      <c r="D628" s="657"/>
      <c r="E628" s="662"/>
      <c r="F628" s="662"/>
      <c r="G628" s="55"/>
      <c r="H628" s="56"/>
      <c r="I628" s="55"/>
      <c r="J628" s="56"/>
      <c r="K628" s="132"/>
      <c r="L628" s="132"/>
      <c r="M628" s="56"/>
      <c r="N628" s="56"/>
      <c r="O628" s="55"/>
      <c r="P628" s="56"/>
      <c r="Q628" s="400">
        <f t="shared" ref="Q628:AJ628" si="156">SUM(Q625:Q627)</f>
        <v>0</v>
      </c>
      <c r="R628" s="400">
        <f t="shared" si="156"/>
        <v>0</v>
      </c>
      <c r="S628" s="400">
        <f t="shared" si="156"/>
        <v>0</v>
      </c>
      <c r="T628" s="400">
        <f t="shared" si="156"/>
        <v>0</v>
      </c>
      <c r="U628" s="400">
        <f t="shared" si="156"/>
        <v>0</v>
      </c>
      <c r="V628" s="400">
        <f t="shared" si="156"/>
        <v>0</v>
      </c>
      <c r="W628" s="400">
        <f t="shared" si="156"/>
        <v>0</v>
      </c>
      <c r="X628" s="400">
        <f t="shared" si="156"/>
        <v>1250290746</v>
      </c>
      <c r="Y628" s="400">
        <f t="shared" si="156"/>
        <v>0</v>
      </c>
      <c r="Z628" s="400">
        <f t="shared" si="156"/>
        <v>153370505</v>
      </c>
      <c r="AA628" s="400">
        <f t="shared" si="156"/>
        <v>0</v>
      </c>
      <c r="AB628" s="400">
        <f t="shared" si="156"/>
        <v>0</v>
      </c>
      <c r="AC628" s="400">
        <f t="shared" si="156"/>
        <v>0</v>
      </c>
      <c r="AD628" s="400">
        <f t="shared" si="156"/>
        <v>0</v>
      </c>
      <c r="AE628" s="400">
        <f t="shared" si="156"/>
        <v>0</v>
      </c>
      <c r="AF628" s="400">
        <f t="shared" si="156"/>
        <v>0</v>
      </c>
      <c r="AG628" s="400">
        <f t="shared" si="156"/>
        <v>0</v>
      </c>
      <c r="AH628" s="400">
        <f t="shared" si="156"/>
        <v>0</v>
      </c>
      <c r="AI628" s="400">
        <f t="shared" si="156"/>
        <v>0</v>
      </c>
      <c r="AJ628" s="400">
        <f t="shared" si="156"/>
        <v>66818951</v>
      </c>
      <c r="AK628" s="400">
        <f>SUM(AK625:AK627)</f>
        <v>1470480202</v>
      </c>
    </row>
    <row r="629" spans="1:37" ht="30" customHeight="1" x14ac:dyDescent="0.2">
      <c r="A629" s="39"/>
      <c r="B629" s="93"/>
      <c r="C629" s="60"/>
      <c r="D629" s="59"/>
      <c r="E629" s="60"/>
      <c r="F629" s="60"/>
      <c r="G629" s="59"/>
      <c r="H629" s="60"/>
      <c r="I629" s="59"/>
      <c r="J629" s="60"/>
      <c r="K629" s="143"/>
      <c r="L629" s="143"/>
      <c r="M629" s="60"/>
      <c r="N629" s="60"/>
      <c r="O629" s="59"/>
      <c r="P629" s="60"/>
      <c r="Q629" s="406">
        <f t="shared" ref="Q629:AJ629" si="157">Q628+Q622+Q617+Q610+Q604+Q599+Q594+Q586+Q580+Q574+Q567</f>
        <v>0</v>
      </c>
      <c r="R629" s="406">
        <f t="shared" si="157"/>
        <v>0</v>
      </c>
      <c r="S629" s="406">
        <f t="shared" si="157"/>
        <v>0</v>
      </c>
      <c r="T629" s="406">
        <f t="shared" si="157"/>
        <v>0</v>
      </c>
      <c r="U629" s="406">
        <f t="shared" si="157"/>
        <v>0</v>
      </c>
      <c r="V629" s="406">
        <f t="shared" si="157"/>
        <v>0</v>
      </c>
      <c r="W629" s="406">
        <f t="shared" si="157"/>
        <v>0</v>
      </c>
      <c r="X629" s="406">
        <f t="shared" si="157"/>
        <v>3974477812</v>
      </c>
      <c r="Y629" s="406">
        <f t="shared" si="157"/>
        <v>0</v>
      </c>
      <c r="Z629" s="406">
        <f t="shared" si="157"/>
        <v>359370505</v>
      </c>
      <c r="AA629" s="406">
        <f t="shared" si="157"/>
        <v>1224647292</v>
      </c>
      <c r="AB629" s="406">
        <f t="shared" si="157"/>
        <v>0</v>
      </c>
      <c r="AC629" s="406">
        <f t="shared" si="157"/>
        <v>0</v>
      </c>
      <c r="AD629" s="406">
        <f t="shared" si="157"/>
        <v>0</v>
      </c>
      <c r="AE629" s="406">
        <f t="shared" si="157"/>
        <v>0</v>
      </c>
      <c r="AF629" s="406">
        <f t="shared" si="157"/>
        <v>60000000</v>
      </c>
      <c r="AG629" s="406">
        <f t="shared" si="157"/>
        <v>0</v>
      </c>
      <c r="AH629" s="406">
        <f t="shared" si="157"/>
        <v>0</v>
      </c>
      <c r="AI629" s="406">
        <f t="shared" si="157"/>
        <v>0</v>
      </c>
      <c r="AJ629" s="406">
        <f t="shared" si="157"/>
        <v>730568461</v>
      </c>
      <c r="AK629" s="406">
        <f>AK628+AK622+AK617+AK610+AK604+AK599+AK594+AK586+AK580+AK574+AK567</f>
        <v>6349064070</v>
      </c>
    </row>
    <row r="630" spans="1:37" ht="30" customHeight="1" x14ac:dyDescent="0.2">
      <c r="A630" s="39"/>
      <c r="B630" s="69"/>
      <c r="C630" s="146"/>
      <c r="D630" s="69"/>
      <c r="E630" s="146"/>
      <c r="F630" s="146"/>
      <c r="G630" s="69"/>
      <c r="H630" s="146"/>
      <c r="I630" s="69"/>
      <c r="J630" s="146"/>
      <c r="K630" s="147"/>
      <c r="L630" s="261"/>
      <c r="M630" s="390"/>
      <c r="N630" s="390"/>
      <c r="O630" s="99"/>
      <c r="P630" s="146"/>
      <c r="Q630" s="395"/>
      <c r="R630" s="395"/>
      <c r="S630" s="395"/>
      <c r="T630" s="395"/>
      <c r="U630" s="395"/>
      <c r="V630" s="395"/>
      <c r="W630" s="395"/>
      <c r="X630" s="395"/>
      <c r="Y630" s="395"/>
      <c r="Z630" s="395"/>
      <c r="AA630" s="395"/>
      <c r="AB630" s="395"/>
      <c r="AC630" s="395"/>
      <c r="AD630" s="395"/>
      <c r="AE630" s="395"/>
      <c r="AF630" s="397"/>
      <c r="AG630" s="395"/>
      <c r="AH630" s="395"/>
      <c r="AI630" s="395"/>
      <c r="AJ630" s="396"/>
      <c r="AK630" s="399"/>
    </row>
    <row r="631" spans="1:37" ht="30" customHeight="1" x14ac:dyDescent="0.2">
      <c r="A631" s="39"/>
      <c r="B631" s="324">
        <v>13</v>
      </c>
      <c r="C631" s="35" t="s">
        <v>826</v>
      </c>
      <c r="D631" s="36"/>
      <c r="E631" s="36"/>
      <c r="F631" s="36"/>
      <c r="G631" s="36"/>
      <c r="H631" s="37"/>
      <c r="I631" s="36"/>
      <c r="J631" s="36"/>
      <c r="K631" s="122"/>
      <c r="L631" s="122"/>
      <c r="M631" s="36"/>
      <c r="N631" s="37"/>
      <c r="O631" s="36"/>
      <c r="P631" s="36"/>
      <c r="Q631" s="402"/>
      <c r="R631" s="402"/>
      <c r="S631" s="402"/>
      <c r="T631" s="402"/>
      <c r="U631" s="402"/>
      <c r="V631" s="402"/>
      <c r="W631" s="402"/>
      <c r="X631" s="402"/>
      <c r="Y631" s="402"/>
      <c r="Z631" s="402"/>
      <c r="AA631" s="402"/>
      <c r="AB631" s="402"/>
      <c r="AC631" s="402"/>
      <c r="AD631" s="402"/>
      <c r="AE631" s="402"/>
      <c r="AF631" s="403"/>
      <c r="AG631" s="402"/>
      <c r="AH631" s="402"/>
      <c r="AI631" s="402"/>
      <c r="AJ631" s="402"/>
      <c r="AK631" s="407"/>
    </row>
    <row r="632" spans="1:37" ht="30" customHeight="1" x14ac:dyDescent="0.2">
      <c r="A632" s="201"/>
      <c r="B632" s="39"/>
      <c r="C632" s="661"/>
      <c r="D632" s="655"/>
      <c r="E632" s="661"/>
      <c r="F632" s="661"/>
      <c r="G632" s="215">
        <v>47</v>
      </c>
      <c r="H632" s="76" t="s">
        <v>827</v>
      </c>
      <c r="I632" s="76"/>
      <c r="J632" s="76"/>
      <c r="K632" s="331"/>
      <c r="L632" s="331"/>
      <c r="M632" s="76"/>
      <c r="N632" s="169"/>
      <c r="O632" s="76"/>
      <c r="P632" s="76"/>
      <c r="Q632" s="263"/>
      <c r="R632" s="263"/>
      <c r="S632" s="263"/>
      <c r="T632" s="263"/>
      <c r="U632" s="263"/>
      <c r="V632" s="263"/>
      <c r="W632" s="263"/>
      <c r="X632" s="263"/>
      <c r="Y632" s="263"/>
      <c r="Z632" s="263"/>
      <c r="AA632" s="263"/>
      <c r="AB632" s="263"/>
      <c r="AC632" s="263"/>
      <c r="AD632" s="263"/>
      <c r="AE632" s="263"/>
      <c r="AF632" s="404"/>
      <c r="AG632" s="263"/>
      <c r="AH632" s="263"/>
      <c r="AI632" s="263"/>
      <c r="AJ632" s="263"/>
      <c r="AK632" s="265"/>
    </row>
    <row r="633" spans="1:37" ht="84" customHeight="1" x14ac:dyDescent="0.2">
      <c r="A633" s="201"/>
      <c r="B633" s="39"/>
      <c r="C633" s="650">
        <v>27</v>
      </c>
      <c r="D633" s="46" t="s">
        <v>828</v>
      </c>
      <c r="E633" s="664">
        <v>0.89949999999999997</v>
      </c>
      <c r="F633" s="660">
        <v>0.92</v>
      </c>
      <c r="G633" s="679"/>
      <c r="H633" s="54">
        <v>163</v>
      </c>
      <c r="I633" s="679" t="s">
        <v>829</v>
      </c>
      <c r="J633" s="54">
        <v>12</v>
      </c>
      <c r="K633" s="105">
        <v>12</v>
      </c>
      <c r="L633" s="43">
        <v>2017003630064</v>
      </c>
      <c r="M633" s="54" t="s">
        <v>708</v>
      </c>
      <c r="N633" s="54" t="s">
        <v>830</v>
      </c>
      <c r="O633" s="679" t="s">
        <v>831</v>
      </c>
      <c r="P633" s="54" t="s">
        <v>46</v>
      </c>
      <c r="Q633" s="391">
        <v>0</v>
      </c>
      <c r="R633" s="391">
        <v>0</v>
      </c>
      <c r="S633" s="391">
        <v>0</v>
      </c>
      <c r="T633" s="391">
        <v>0</v>
      </c>
      <c r="U633" s="391">
        <v>0</v>
      </c>
      <c r="V633" s="391">
        <v>0</v>
      </c>
      <c r="W633" s="391">
        <v>0</v>
      </c>
      <c r="X633" s="391"/>
      <c r="Y633" s="391"/>
      <c r="Z633" s="391">
        <v>29046000</v>
      </c>
      <c r="AA633" s="391">
        <v>0</v>
      </c>
      <c r="AB633" s="391"/>
      <c r="AC633" s="391"/>
      <c r="AD633" s="391">
        <v>0</v>
      </c>
      <c r="AE633" s="391">
        <v>0</v>
      </c>
      <c r="AF633" s="392">
        <v>0</v>
      </c>
      <c r="AG633" s="405"/>
      <c r="AH633" s="391">
        <v>0</v>
      </c>
      <c r="AI633" s="393"/>
      <c r="AJ633" s="393"/>
      <c r="AK633" s="391">
        <f>Q633+R633+S633+T633+U633+V633+W633+X633+Y633+Z633+AA633+AB633+AC633+AD633+AE633+AF633+AG633+AH633+AI633+AJ633</f>
        <v>29046000</v>
      </c>
    </row>
    <row r="634" spans="1:37" ht="30" customHeight="1" x14ac:dyDescent="0.2">
      <c r="A634" s="201"/>
      <c r="B634" s="39"/>
      <c r="C634" s="662"/>
      <c r="D634" s="657"/>
      <c r="E634" s="662"/>
      <c r="F634" s="662"/>
      <c r="G634" s="55"/>
      <c r="H634" s="56"/>
      <c r="I634" s="55"/>
      <c r="J634" s="56"/>
      <c r="K634" s="132"/>
      <c r="L634" s="132"/>
      <c r="M634" s="56"/>
      <c r="N634" s="56"/>
      <c r="O634" s="56"/>
      <c r="P634" s="56"/>
      <c r="Q634" s="400">
        <f t="shared" ref="Q634:AK634" si="158">SUM(Q633)</f>
        <v>0</v>
      </c>
      <c r="R634" s="400">
        <f t="shared" si="158"/>
        <v>0</v>
      </c>
      <c r="S634" s="400">
        <f t="shared" si="158"/>
        <v>0</v>
      </c>
      <c r="T634" s="400">
        <f t="shared" si="158"/>
        <v>0</v>
      </c>
      <c r="U634" s="400">
        <f t="shared" si="158"/>
        <v>0</v>
      </c>
      <c r="V634" s="400">
        <f t="shared" si="158"/>
        <v>0</v>
      </c>
      <c r="W634" s="400">
        <f t="shared" si="158"/>
        <v>0</v>
      </c>
      <c r="X634" s="400">
        <f t="shared" si="158"/>
        <v>0</v>
      </c>
      <c r="Y634" s="400">
        <f t="shared" si="158"/>
        <v>0</v>
      </c>
      <c r="Z634" s="400">
        <f t="shared" si="158"/>
        <v>29046000</v>
      </c>
      <c r="AA634" s="400">
        <f t="shared" si="158"/>
        <v>0</v>
      </c>
      <c r="AB634" s="400">
        <f t="shared" si="158"/>
        <v>0</v>
      </c>
      <c r="AC634" s="400">
        <f t="shared" si="158"/>
        <v>0</v>
      </c>
      <c r="AD634" s="400">
        <f t="shared" si="158"/>
        <v>0</v>
      </c>
      <c r="AE634" s="400">
        <f t="shared" si="158"/>
        <v>0</v>
      </c>
      <c r="AF634" s="400">
        <f t="shared" si="158"/>
        <v>0</v>
      </c>
      <c r="AG634" s="400">
        <f t="shared" si="158"/>
        <v>0</v>
      </c>
      <c r="AH634" s="400">
        <f t="shared" si="158"/>
        <v>0</v>
      </c>
      <c r="AI634" s="400">
        <f t="shared" si="158"/>
        <v>0</v>
      </c>
      <c r="AJ634" s="400">
        <f t="shared" si="158"/>
        <v>0</v>
      </c>
      <c r="AK634" s="400">
        <f t="shared" si="158"/>
        <v>29046000</v>
      </c>
    </row>
    <row r="635" spans="1:37" ht="30" customHeight="1" x14ac:dyDescent="0.2">
      <c r="A635" s="201"/>
      <c r="B635" s="39"/>
      <c r="C635" s="146"/>
      <c r="D635" s="69"/>
      <c r="E635" s="146"/>
      <c r="F635" s="146"/>
      <c r="G635" s="69"/>
      <c r="H635" s="146"/>
      <c r="I635" s="69"/>
      <c r="J635" s="146"/>
      <c r="K635" s="147"/>
      <c r="L635" s="261"/>
      <c r="M635" s="390"/>
      <c r="N635" s="390"/>
      <c r="O635" s="390"/>
      <c r="P635" s="146"/>
      <c r="Q635" s="395"/>
      <c r="R635" s="396"/>
      <c r="S635" s="395"/>
      <c r="T635" s="395"/>
      <c r="U635" s="395"/>
      <c r="V635" s="395"/>
      <c r="W635" s="395"/>
      <c r="X635" s="395"/>
      <c r="Y635" s="395"/>
      <c r="Z635" s="395"/>
      <c r="AA635" s="395"/>
      <c r="AB635" s="395"/>
      <c r="AC635" s="395"/>
      <c r="AD635" s="395"/>
      <c r="AE635" s="395"/>
      <c r="AF635" s="397"/>
      <c r="AG635" s="398"/>
      <c r="AH635" s="395"/>
      <c r="AI635" s="395"/>
      <c r="AJ635" s="395"/>
      <c r="AK635" s="399"/>
    </row>
    <row r="636" spans="1:37" ht="30" customHeight="1" x14ac:dyDescent="0.2">
      <c r="A636" s="201"/>
      <c r="B636" s="39"/>
      <c r="C636" s="661"/>
      <c r="D636" s="655"/>
      <c r="E636" s="661"/>
      <c r="F636" s="661"/>
      <c r="G636" s="215">
        <v>48</v>
      </c>
      <c r="H636" s="76" t="s">
        <v>832</v>
      </c>
      <c r="I636" s="76"/>
      <c r="J636" s="76"/>
      <c r="K636" s="331"/>
      <c r="L636" s="331"/>
      <c r="M636" s="76"/>
      <c r="N636" s="169"/>
      <c r="O636" s="76"/>
      <c r="P636" s="76"/>
      <c r="Q636" s="263"/>
      <c r="R636" s="263"/>
      <c r="S636" s="263"/>
      <c r="T636" s="263"/>
      <c r="U636" s="263"/>
      <c r="V636" s="263"/>
      <c r="W636" s="263"/>
      <c r="X636" s="263"/>
      <c r="Y636" s="263"/>
      <c r="Z636" s="263"/>
      <c r="AA636" s="263"/>
      <c r="AB636" s="263"/>
      <c r="AC636" s="263"/>
      <c r="AD636" s="263"/>
      <c r="AE636" s="263"/>
      <c r="AF636" s="404"/>
      <c r="AG636" s="263"/>
      <c r="AH636" s="263"/>
      <c r="AI636" s="263"/>
      <c r="AJ636" s="263"/>
      <c r="AK636" s="265"/>
    </row>
    <row r="637" spans="1:37" ht="96.75" customHeight="1" x14ac:dyDescent="0.2">
      <c r="A637" s="201"/>
      <c r="B637" s="39"/>
      <c r="C637" s="650">
        <v>27</v>
      </c>
      <c r="D637" s="46" t="s">
        <v>828</v>
      </c>
      <c r="E637" s="664">
        <v>0.89949999999999997</v>
      </c>
      <c r="F637" s="660">
        <v>0.92</v>
      </c>
      <c r="G637" s="679"/>
      <c r="H637" s="54">
        <v>164</v>
      </c>
      <c r="I637" s="679" t="s">
        <v>833</v>
      </c>
      <c r="J637" s="54">
        <v>12</v>
      </c>
      <c r="K637" s="105">
        <v>12</v>
      </c>
      <c r="L637" s="43">
        <v>2017003630064</v>
      </c>
      <c r="M637" s="54" t="s">
        <v>708</v>
      </c>
      <c r="N637" s="54" t="s">
        <v>830</v>
      </c>
      <c r="O637" s="679" t="s">
        <v>831</v>
      </c>
      <c r="P637" s="54" t="s">
        <v>46</v>
      </c>
      <c r="Q637" s="391">
        <v>0</v>
      </c>
      <c r="R637" s="391">
        <v>0</v>
      </c>
      <c r="S637" s="391">
        <v>0</v>
      </c>
      <c r="T637" s="391">
        <v>0</v>
      </c>
      <c r="U637" s="391">
        <v>0</v>
      </c>
      <c r="V637" s="391">
        <v>0</v>
      </c>
      <c r="W637" s="391">
        <v>0</v>
      </c>
      <c r="X637" s="391">
        <v>0</v>
      </c>
      <c r="Y637" s="391">
        <v>0</v>
      </c>
      <c r="Z637" s="642">
        <f>11806581808+3187568+1422058375+230956319-3171493028+7997365247</f>
        <v>18288656289</v>
      </c>
      <c r="AA637" s="642">
        <f>7953000000-4825872219</f>
        <v>3127127781</v>
      </c>
      <c r="AB637" s="391">
        <v>0</v>
      </c>
      <c r="AC637" s="391">
        <v>0</v>
      </c>
      <c r="AD637" s="391">
        <v>0</v>
      </c>
      <c r="AE637" s="391">
        <v>0</v>
      </c>
      <c r="AF637" s="392">
        <v>0</v>
      </c>
      <c r="AG637" s="405">
        <v>0</v>
      </c>
      <c r="AH637" s="391"/>
      <c r="AI637" s="393"/>
      <c r="AJ637" s="638">
        <f>9668755704+149174070-9241365080+149505234</f>
        <v>726069928</v>
      </c>
      <c r="AK637" s="391">
        <f>Q637+R637+S637+T637+U637+V637+W637+X637+Y637+Z637+AA637+AB637+AC637+AD637+AE637+AF637+AG637+AH637+AI637+AJ637</f>
        <v>22141853998</v>
      </c>
    </row>
    <row r="638" spans="1:37" ht="30" customHeight="1" x14ac:dyDescent="0.2">
      <c r="A638" s="201"/>
      <c r="B638" s="39"/>
      <c r="C638" s="662"/>
      <c r="D638" s="657"/>
      <c r="E638" s="662"/>
      <c r="F638" s="662"/>
      <c r="G638" s="55"/>
      <c r="H638" s="56"/>
      <c r="I638" s="55"/>
      <c r="J638" s="56"/>
      <c r="K638" s="132"/>
      <c r="L638" s="132"/>
      <c r="M638" s="56"/>
      <c r="N638" s="56"/>
      <c r="O638" s="55"/>
      <c r="P638" s="56"/>
      <c r="Q638" s="400">
        <f t="shared" ref="Q638:AJ638" si="159">SUM(Q637)</f>
        <v>0</v>
      </c>
      <c r="R638" s="400">
        <f t="shared" si="159"/>
        <v>0</v>
      </c>
      <c r="S638" s="400">
        <f t="shared" si="159"/>
        <v>0</v>
      </c>
      <c r="T638" s="400">
        <f t="shared" si="159"/>
        <v>0</v>
      </c>
      <c r="U638" s="400">
        <f t="shared" si="159"/>
        <v>0</v>
      </c>
      <c r="V638" s="400">
        <f t="shared" si="159"/>
        <v>0</v>
      </c>
      <c r="W638" s="400">
        <f t="shared" si="159"/>
        <v>0</v>
      </c>
      <c r="X638" s="400">
        <f t="shared" si="159"/>
        <v>0</v>
      </c>
      <c r="Y638" s="400">
        <f t="shared" si="159"/>
        <v>0</v>
      </c>
      <c r="Z638" s="400">
        <f t="shared" si="159"/>
        <v>18288656289</v>
      </c>
      <c r="AA638" s="400">
        <f t="shared" si="159"/>
        <v>3127127781</v>
      </c>
      <c r="AB638" s="400">
        <f t="shared" si="159"/>
        <v>0</v>
      </c>
      <c r="AC638" s="400">
        <f t="shared" si="159"/>
        <v>0</v>
      </c>
      <c r="AD638" s="400">
        <f t="shared" si="159"/>
        <v>0</v>
      </c>
      <c r="AE638" s="400">
        <f t="shared" si="159"/>
        <v>0</v>
      </c>
      <c r="AF638" s="400">
        <f t="shared" si="159"/>
        <v>0</v>
      </c>
      <c r="AG638" s="400">
        <f t="shared" si="159"/>
        <v>0</v>
      </c>
      <c r="AH638" s="400">
        <f t="shared" si="159"/>
        <v>0</v>
      </c>
      <c r="AI638" s="400">
        <f t="shared" si="159"/>
        <v>0</v>
      </c>
      <c r="AJ638" s="400">
        <f t="shared" si="159"/>
        <v>726069928</v>
      </c>
      <c r="AK638" s="400">
        <f>SUM(AK637)</f>
        <v>22141853998</v>
      </c>
    </row>
    <row r="639" spans="1:37" ht="30" customHeight="1" x14ac:dyDescent="0.2">
      <c r="A639" s="201"/>
      <c r="B639" s="39"/>
      <c r="C639" s="146"/>
      <c r="D639" s="69"/>
      <c r="E639" s="146"/>
      <c r="F639" s="146"/>
      <c r="G639" s="69"/>
      <c r="H639" s="146"/>
      <c r="I639" s="69"/>
      <c r="J639" s="146"/>
      <c r="K639" s="147"/>
      <c r="L639" s="261"/>
      <c r="M639" s="390"/>
      <c r="N639" s="390"/>
      <c r="O639" s="99"/>
      <c r="P639" s="146"/>
      <c r="Q639" s="395"/>
      <c r="R639" s="396"/>
      <c r="S639" s="395"/>
      <c r="T639" s="395"/>
      <c r="U639" s="395"/>
      <c r="V639" s="395"/>
      <c r="W639" s="395"/>
      <c r="X639" s="395"/>
      <c r="Y639" s="395"/>
      <c r="Z639" s="395"/>
      <c r="AA639" s="395"/>
      <c r="AB639" s="395"/>
      <c r="AC639" s="395"/>
      <c r="AD639" s="395"/>
      <c r="AE639" s="395"/>
      <c r="AF639" s="397"/>
      <c r="AG639" s="398"/>
      <c r="AH639" s="395"/>
      <c r="AI639" s="395"/>
      <c r="AJ639" s="395"/>
      <c r="AK639" s="399"/>
    </row>
    <row r="640" spans="1:37" ht="30" customHeight="1" x14ac:dyDescent="0.2">
      <c r="A640" s="201"/>
      <c r="B640" s="39"/>
      <c r="C640" s="661"/>
      <c r="D640" s="655"/>
      <c r="E640" s="661"/>
      <c r="F640" s="661"/>
      <c r="G640" s="215">
        <v>49</v>
      </c>
      <c r="H640" s="76" t="s">
        <v>834</v>
      </c>
      <c r="I640" s="76"/>
      <c r="J640" s="76"/>
      <c r="K640" s="331"/>
      <c r="L640" s="331"/>
      <c r="M640" s="76"/>
      <c r="N640" s="169"/>
      <c r="O640" s="76"/>
      <c r="P640" s="76"/>
      <c r="Q640" s="263"/>
      <c r="R640" s="263"/>
      <c r="S640" s="263"/>
      <c r="T640" s="263"/>
      <c r="U640" s="263"/>
      <c r="V640" s="263"/>
      <c r="W640" s="263"/>
      <c r="X640" s="263"/>
      <c r="Y640" s="263"/>
      <c r="Z640" s="263"/>
      <c r="AA640" s="263"/>
      <c r="AB640" s="263"/>
      <c r="AC640" s="263"/>
      <c r="AD640" s="263"/>
      <c r="AE640" s="263"/>
      <c r="AF640" s="404"/>
      <c r="AG640" s="263"/>
      <c r="AH640" s="263"/>
      <c r="AI640" s="263"/>
      <c r="AJ640" s="263"/>
      <c r="AK640" s="265"/>
    </row>
    <row r="641" spans="1:37" ht="71.25" customHeight="1" x14ac:dyDescent="0.2">
      <c r="A641" s="201"/>
      <c r="B641" s="39"/>
      <c r="C641" s="650">
        <v>27</v>
      </c>
      <c r="D641" s="46" t="s">
        <v>828</v>
      </c>
      <c r="E641" s="664">
        <v>0.89949999999999997</v>
      </c>
      <c r="F641" s="660">
        <v>0.92</v>
      </c>
      <c r="G641" s="679"/>
      <c r="H641" s="54">
        <v>165</v>
      </c>
      <c r="I641" s="679" t="s">
        <v>835</v>
      </c>
      <c r="J641" s="105">
        <v>12</v>
      </c>
      <c r="K641" s="105">
        <v>12</v>
      </c>
      <c r="L641" s="43">
        <v>2017003630064</v>
      </c>
      <c r="M641" s="105" t="s">
        <v>708</v>
      </c>
      <c r="N641" s="54" t="s">
        <v>830</v>
      </c>
      <c r="O641" s="679" t="s">
        <v>831</v>
      </c>
      <c r="P641" s="54" t="s">
        <v>46</v>
      </c>
      <c r="Q641" s="391">
        <v>0</v>
      </c>
      <c r="R641" s="391">
        <v>0</v>
      </c>
      <c r="S641" s="391">
        <v>0</v>
      </c>
      <c r="T641" s="391">
        <v>0</v>
      </c>
      <c r="U641" s="391">
        <v>0</v>
      </c>
      <c r="V641" s="391">
        <v>0</v>
      </c>
      <c r="W641" s="391">
        <v>0</v>
      </c>
      <c r="X641" s="391"/>
      <c r="Y641" s="391"/>
      <c r="Z641" s="391">
        <f>20913120</f>
        <v>20913120</v>
      </c>
      <c r="AA641" s="391">
        <v>0</v>
      </c>
      <c r="AB641" s="391"/>
      <c r="AC641" s="391"/>
      <c r="AD641" s="391">
        <v>0</v>
      </c>
      <c r="AE641" s="391">
        <v>0</v>
      </c>
      <c r="AF641" s="392">
        <v>0</v>
      </c>
      <c r="AG641" s="405"/>
      <c r="AH641" s="391">
        <v>0</v>
      </c>
      <c r="AI641" s="393"/>
      <c r="AJ641" s="393"/>
      <c r="AK641" s="391">
        <f>Q641+R641+S641+T641+U641+V641+W641+X641+Y641+Z641+AA641+AB641+AC641+AD641+AE641+AF641+AG641+AH641+AI641+AJ641</f>
        <v>20913120</v>
      </c>
    </row>
    <row r="642" spans="1:37" ht="30" customHeight="1" x14ac:dyDescent="0.2">
      <c r="A642" s="201"/>
      <c r="B642" s="39"/>
      <c r="C642" s="662"/>
      <c r="D642" s="657"/>
      <c r="E642" s="662"/>
      <c r="F642" s="662"/>
      <c r="G642" s="55"/>
      <c r="H642" s="56"/>
      <c r="I642" s="55"/>
      <c r="J642" s="132"/>
      <c r="K642" s="132"/>
      <c r="L642" s="132"/>
      <c r="M642" s="132"/>
      <c r="N642" s="56"/>
      <c r="O642" s="55"/>
      <c r="P642" s="56"/>
      <c r="Q642" s="400">
        <f t="shared" ref="Q642:AK642" si="160">SUM(Q641)</f>
        <v>0</v>
      </c>
      <c r="R642" s="400">
        <f t="shared" si="160"/>
        <v>0</v>
      </c>
      <c r="S642" s="400">
        <f t="shared" si="160"/>
        <v>0</v>
      </c>
      <c r="T642" s="400">
        <f t="shared" si="160"/>
        <v>0</v>
      </c>
      <c r="U642" s="400">
        <f t="shared" si="160"/>
        <v>0</v>
      </c>
      <c r="V642" s="400">
        <f t="shared" si="160"/>
        <v>0</v>
      </c>
      <c r="W642" s="400">
        <f t="shared" si="160"/>
        <v>0</v>
      </c>
      <c r="X642" s="400">
        <f t="shared" si="160"/>
        <v>0</v>
      </c>
      <c r="Y642" s="400">
        <f t="shared" si="160"/>
        <v>0</v>
      </c>
      <c r="Z642" s="400">
        <f t="shared" si="160"/>
        <v>20913120</v>
      </c>
      <c r="AA642" s="400">
        <f t="shared" si="160"/>
        <v>0</v>
      </c>
      <c r="AB642" s="400">
        <f t="shared" si="160"/>
        <v>0</v>
      </c>
      <c r="AC642" s="400">
        <f t="shared" si="160"/>
        <v>0</v>
      </c>
      <c r="AD642" s="400">
        <f t="shared" si="160"/>
        <v>0</v>
      </c>
      <c r="AE642" s="400">
        <f t="shared" si="160"/>
        <v>0</v>
      </c>
      <c r="AF642" s="400">
        <f t="shared" si="160"/>
        <v>0</v>
      </c>
      <c r="AG642" s="400">
        <f t="shared" si="160"/>
        <v>0</v>
      </c>
      <c r="AH642" s="400">
        <f t="shared" si="160"/>
        <v>0</v>
      </c>
      <c r="AI642" s="400">
        <f t="shared" si="160"/>
        <v>0</v>
      </c>
      <c r="AJ642" s="400">
        <f t="shared" si="160"/>
        <v>0</v>
      </c>
      <c r="AK642" s="400">
        <f t="shared" si="160"/>
        <v>20913120</v>
      </c>
    </row>
    <row r="643" spans="1:37" ht="30" customHeight="1" x14ac:dyDescent="0.2">
      <c r="A643" s="39"/>
      <c r="B643" s="289"/>
      <c r="C643" s="60"/>
      <c r="D643" s="59"/>
      <c r="E643" s="60"/>
      <c r="F643" s="60"/>
      <c r="G643" s="59"/>
      <c r="H643" s="60"/>
      <c r="I643" s="59"/>
      <c r="J643" s="143"/>
      <c r="K643" s="143"/>
      <c r="L643" s="143"/>
      <c r="M643" s="143"/>
      <c r="N643" s="60"/>
      <c r="O643" s="59"/>
      <c r="P643" s="60"/>
      <c r="Q643" s="406">
        <f t="shared" ref="Q643:AK643" si="161">Q642+Q638+Q634</f>
        <v>0</v>
      </c>
      <c r="R643" s="406">
        <f t="shared" si="161"/>
        <v>0</v>
      </c>
      <c r="S643" s="406">
        <f t="shared" si="161"/>
        <v>0</v>
      </c>
      <c r="T643" s="406">
        <f t="shared" si="161"/>
        <v>0</v>
      </c>
      <c r="U643" s="406">
        <f t="shared" si="161"/>
        <v>0</v>
      </c>
      <c r="V643" s="406">
        <f t="shared" si="161"/>
        <v>0</v>
      </c>
      <c r="W643" s="406">
        <f t="shared" si="161"/>
        <v>0</v>
      </c>
      <c r="X643" s="406">
        <f t="shared" si="161"/>
        <v>0</v>
      </c>
      <c r="Y643" s="406">
        <f t="shared" si="161"/>
        <v>0</v>
      </c>
      <c r="Z643" s="406">
        <f t="shared" si="161"/>
        <v>18338615409</v>
      </c>
      <c r="AA643" s="406">
        <f t="shared" si="161"/>
        <v>3127127781</v>
      </c>
      <c r="AB643" s="406">
        <f t="shared" si="161"/>
        <v>0</v>
      </c>
      <c r="AC643" s="406">
        <f t="shared" si="161"/>
        <v>0</v>
      </c>
      <c r="AD643" s="406">
        <f t="shared" si="161"/>
        <v>0</v>
      </c>
      <c r="AE643" s="406">
        <f t="shared" si="161"/>
        <v>0</v>
      </c>
      <c r="AF643" s="406">
        <f t="shared" si="161"/>
        <v>0</v>
      </c>
      <c r="AG643" s="406">
        <f t="shared" si="161"/>
        <v>0</v>
      </c>
      <c r="AH643" s="406">
        <f t="shared" si="161"/>
        <v>0</v>
      </c>
      <c r="AI643" s="406">
        <f t="shared" si="161"/>
        <v>0</v>
      </c>
      <c r="AJ643" s="406">
        <f t="shared" si="161"/>
        <v>726069928</v>
      </c>
      <c r="AK643" s="406">
        <f t="shared" si="161"/>
        <v>22191813118</v>
      </c>
    </row>
    <row r="644" spans="1:37" ht="30" customHeight="1" x14ac:dyDescent="0.2">
      <c r="A644" s="39"/>
      <c r="B644" s="69"/>
      <c r="C644" s="146"/>
      <c r="D644" s="69"/>
      <c r="E644" s="146"/>
      <c r="F644" s="146"/>
      <c r="G644" s="69"/>
      <c r="H644" s="146"/>
      <c r="I644" s="69"/>
      <c r="J644" s="146"/>
      <c r="K644" s="147"/>
      <c r="L644" s="261"/>
      <c r="M644" s="390"/>
      <c r="N644" s="390"/>
      <c r="O644" s="99"/>
      <c r="P644" s="146"/>
      <c r="Q644" s="395"/>
      <c r="R644" s="395"/>
      <c r="S644" s="395"/>
      <c r="T644" s="395"/>
      <c r="U644" s="395"/>
      <c r="V644" s="395"/>
      <c r="W644" s="395"/>
      <c r="X644" s="395"/>
      <c r="Y644" s="395"/>
      <c r="Z644" s="395"/>
      <c r="AA644" s="395"/>
      <c r="AB644" s="395"/>
      <c r="AC644" s="395"/>
      <c r="AD644" s="395"/>
      <c r="AE644" s="395"/>
      <c r="AF644" s="397"/>
      <c r="AG644" s="395"/>
      <c r="AH644" s="395"/>
      <c r="AI644" s="395"/>
      <c r="AJ644" s="395"/>
      <c r="AK644" s="399"/>
    </row>
    <row r="645" spans="1:37" ht="30" customHeight="1" x14ac:dyDescent="0.2">
      <c r="A645" s="39"/>
      <c r="B645" s="324">
        <v>14</v>
      </c>
      <c r="C645" s="35" t="s">
        <v>836</v>
      </c>
      <c r="D645" s="36"/>
      <c r="E645" s="36"/>
      <c r="F645" s="36"/>
      <c r="G645" s="36"/>
      <c r="H645" s="37"/>
      <c r="I645" s="36"/>
      <c r="J645" s="36"/>
      <c r="K645" s="122"/>
      <c r="L645" s="122"/>
      <c r="M645" s="36"/>
      <c r="N645" s="37"/>
      <c r="O645" s="36"/>
      <c r="P645" s="36"/>
      <c r="Q645" s="402"/>
      <c r="R645" s="402"/>
      <c r="S645" s="402"/>
      <c r="T645" s="402"/>
      <c r="U645" s="402"/>
      <c r="V645" s="402"/>
      <c r="W645" s="402"/>
      <c r="X645" s="402"/>
      <c r="Y645" s="402"/>
      <c r="Z645" s="402"/>
      <c r="AA645" s="402"/>
      <c r="AB645" s="402"/>
      <c r="AC645" s="402"/>
      <c r="AD645" s="402"/>
      <c r="AE645" s="402"/>
      <c r="AF645" s="403"/>
      <c r="AG645" s="402"/>
      <c r="AH645" s="402"/>
      <c r="AI645" s="402"/>
      <c r="AJ645" s="402"/>
      <c r="AK645" s="407"/>
    </row>
    <row r="646" spans="1:37" ht="30" customHeight="1" x14ac:dyDescent="0.2">
      <c r="A646" s="201"/>
      <c r="B646" s="39"/>
      <c r="C646" s="661"/>
      <c r="D646" s="655"/>
      <c r="E646" s="661"/>
      <c r="F646" s="661"/>
      <c r="G646" s="215">
        <v>50</v>
      </c>
      <c r="H646" s="76" t="s">
        <v>837</v>
      </c>
      <c r="I646" s="76"/>
      <c r="J646" s="76"/>
      <c r="K646" s="331"/>
      <c r="L646" s="331"/>
      <c r="M646" s="76"/>
      <c r="N646" s="169"/>
      <c r="O646" s="76"/>
      <c r="P646" s="76"/>
      <c r="Q646" s="263"/>
      <c r="R646" s="263"/>
      <c r="S646" s="263"/>
      <c r="T646" s="263"/>
      <c r="U646" s="263"/>
      <c r="V646" s="263"/>
      <c r="W646" s="263"/>
      <c r="X646" s="263"/>
      <c r="Y646" s="263"/>
      <c r="Z646" s="263"/>
      <c r="AA646" s="263"/>
      <c r="AB646" s="263"/>
      <c r="AC646" s="263"/>
      <c r="AD646" s="263"/>
      <c r="AE646" s="263"/>
      <c r="AF646" s="404"/>
      <c r="AG646" s="263"/>
      <c r="AH646" s="263"/>
      <c r="AI646" s="263"/>
      <c r="AJ646" s="263"/>
      <c r="AK646" s="265"/>
    </row>
    <row r="647" spans="1:37" ht="85.5" customHeight="1" x14ac:dyDescent="0.2">
      <c r="A647" s="201"/>
      <c r="B647" s="656"/>
      <c r="C647" s="775">
        <v>27</v>
      </c>
      <c r="D647" s="778" t="s">
        <v>828</v>
      </c>
      <c r="E647" s="792">
        <v>0.89949999999999997</v>
      </c>
      <c r="F647" s="794">
        <v>0.92</v>
      </c>
      <c r="G647" s="774"/>
      <c r="H647" s="54">
        <v>166</v>
      </c>
      <c r="I647" s="679" t="s">
        <v>838</v>
      </c>
      <c r="J647" s="105">
        <v>1</v>
      </c>
      <c r="K647" s="105">
        <v>1</v>
      </c>
      <c r="L647" s="784">
        <v>2017003630111</v>
      </c>
      <c r="M647" s="787" t="s">
        <v>708</v>
      </c>
      <c r="N647" s="774" t="s">
        <v>839</v>
      </c>
      <c r="O647" s="777" t="s">
        <v>1011</v>
      </c>
      <c r="P647" s="54" t="s">
        <v>46</v>
      </c>
      <c r="Q647" s="391">
        <v>0</v>
      </c>
      <c r="R647" s="391">
        <v>0</v>
      </c>
      <c r="S647" s="391">
        <v>0</v>
      </c>
      <c r="T647" s="391">
        <v>0</v>
      </c>
      <c r="U647" s="391">
        <v>0</v>
      </c>
      <c r="V647" s="391">
        <v>0</v>
      </c>
      <c r="W647" s="391">
        <v>0</v>
      </c>
      <c r="X647" s="391"/>
      <c r="Y647" s="391"/>
      <c r="Z647" s="391">
        <v>0</v>
      </c>
      <c r="AA647" s="391">
        <v>0</v>
      </c>
      <c r="AB647" s="391"/>
      <c r="AC647" s="391"/>
      <c r="AD647" s="391">
        <v>0</v>
      </c>
      <c r="AE647" s="391">
        <v>0</v>
      </c>
      <c r="AF647" s="392">
        <v>0</v>
      </c>
      <c r="AG647" s="405"/>
      <c r="AH647" s="391"/>
      <c r="AI647" s="393"/>
      <c r="AJ647" s="393">
        <v>0</v>
      </c>
      <c r="AK647" s="391">
        <f>Q647+R647+S647+T647+U647+V647+W647+X647+Y647+Z647+AA647+AB647+AC647+AD647+AE647+AF647+AG647+AH647+AI647+AJ647</f>
        <v>0</v>
      </c>
    </row>
    <row r="648" spans="1:37" ht="65.25" customHeight="1" x14ac:dyDescent="0.2">
      <c r="A648" s="201"/>
      <c r="B648" s="656"/>
      <c r="C648" s="775"/>
      <c r="D648" s="778"/>
      <c r="E648" s="792"/>
      <c r="F648" s="794"/>
      <c r="G648" s="775"/>
      <c r="H648" s="54">
        <v>167</v>
      </c>
      <c r="I648" s="679" t="s">
        <v>841</v>
      </c>
      <c r="J648" s="105">
        <v>15</v>
      </c>
      <c r="K648" s="105">
        <v>15</v>
      </c>
      <c r="L648" s="785"/>
      <c r="M648" s="795"/>
      <c r="N648" s="775"/>
      <c r="O648" s="778"/>
      <c r="P648" s="54" t="s">
        <v>46</v>
      </c>
      <c r="Q648" s="391">
        <v>0</v>
      </c>
      <c r="R648" s="391">
        <v>0</v>
      </c>
      <c r="S648" s="391">
        <v>0</v>
      </c>
      <c r="T648" s="391">
        <v>0</v>
      </c>
      <c r="U648" s="391">
        <v>0</v>
      </c>
      <c r="V648" s="391">
        <v>0</v>
      </c>
      <c r="W648" s="391"/>
      <c r="X648" s="419"/>
      <c r="Y648" s="642">
        <f>8058147089+544912319-128425540-113253433+91742160+79497066</f>
        <v>8532619661</v>
      </c>
      <c r="Z648" s="391">
        <f>3104580734+636624237</f>
        <v>3741204971</v>
      </c>
      <c r="AA648" s="391">
        <v>500</v>
      </c>
      <c r="AB648" s="391"/>
      <c r="AC648" s="391"/>
      <c r="AD648" s="391">
        <v>0</v>
      </c>
      <c r="AE648" s="391">
        <v>0</v>
      </c>
      <c r="AF648" s="392">
        <v>0</v>
      </c>
      <c r="AG648" s="405"/>
      <c r="AH648" s="391"/>
      <c r="AI648" s="393"/>
      <c r="AJ648" s="638">
        <f>1065586500+68256639+5900697+290400000+382475991+129917139+1500000-34387140+9241365080</f>
        <v>11151014906</v>
      </c>
      <c r="AK648" s="391">
        <f>Q648+R648+S648+T648+U648+V648+W648+X648+Y648+Z648+AA648+AB648+AC648+AD648+AE648+AF648+AG648+AH648+AI648+AJ648</f>
        <v>23424840038</v>
      </c>
    </row>
    <row r="649" spans="1:37" ht="67.5" customHeight="1" x14ac:dyDescent="0.2">
      <c r="A649" s="201"/>
      <c r="B649" s="656"/>
      <c r="C649" s="775"/>
      <c r="D649" s="778"/>
      <c r="E649" s="792"/>
      <c r="F649" s="794"/>
      <c r="G649" s="776"/>
      <c r="H649" s="54">
        <v>168</v>
      </c>
      <c r="I649" s="679" t="s">
        <v>842</v>
      </c>
      <c r="J649" s="105">
        <v>7</v>
      </c>
      <c r="K649" s="105">
        <v>14</v>
      </c>
      <c r="L649" s="786"/>
      <c r="M649" s="796"/>
      <c r="N649" s="776"/>
      <c r="O649" s="779"/>
      <c r="P649" s="54" t="s">
        <v>46</v>
      </c>
      <c r="Q649" s="391">
        <v>0</v>
      </c>
      <c r="R649" s="391">
        <v>0</v>
      </c>
      <c r="S649" s="391">
        <v>0</v>
      </c>
      <c r="T649" s="391">
        <v>0</v>
      </c>
      <c r="U649" s="391">
        <v>0</v>
      </c>
      <c r="V649" s="391">
        <v>0</v>
      </c>
      <c r="W649" s="391">
        <v>0</v>
      </c>
      <c r="X649" s="391"/>
      <c r="Y649" s="391"/>
      <c r="Z649" s="391"/>
      <c r="AA649" s="391">
        <v>0</v>
      </c>
      <c r="AB649" s="391"/>
      <c r="AC649" s="391"/>
      <c r="AD649" s="391">
        <v>0</v>
      </c>
      <c r="AE649" s="391">
        <v>0</v>
      </c>
      <c r="AF649" s="392">
        <v>0</v>
      </c>
      <c r="AG649" s="405"/>
      <c r="AH649" s="391">
        <v>0</v>
      </c>
      <c r="AI649" s="393"/>
      <c r="AJ649" s="393">
        <v>0</v>
      </c>
      <c r="AK649" s="391">
        <f>Q649+R649+S649+T649+U649+V649+W649+X649+Y649+Z649+AA649+AB649+AC649+AD649+AE649+AF649+AG649+AH649+AI649+AJ649</f>
        <v>0</v>
      </c>
    </row>
    <row r="650" spans="1:37" ht="30" customHeight="1" x14ac:dyDescent="0.2">
      <c r="A650" s="201"/>
      <c r="B650" s="656"/>
      <c r="C650" s="662"/>
      <c r="D650" s="657"/>
      <c r="E650" s="662"/>
      <c r="F650" s="662"/>
      <c r="G650" s="55"/>
      <c r="H650" s="56"/>
      <c r="I650" s="55"/>
      <c r="J650" s="132"/>
      <c r="K650" s="132"/>
      <c r="L650" s="132"/>
      <c r="M650" s="132"/>
      <c r="N650" s="56"/>
      <c r="O650" s="55"/>
      <c r="P650" s="56"/>
      <c r="Q650" s="400">
        <f t="shared" ref="Q650:AJ650" si="162">SUM(Q647:Q649)</f>
        <v>0</v>
      </c>
      <c r="R650" s="400">
        <f t="shared" si="162"/>
        <v>0</v>
      </c>
      <c r="S650" s="400">
        <f t="shared" si="162"/>
        <v>0</v>
      </c>
      <c r="T650" s="400">
        <f t="shared" si="162"/>
        <v>0</v>
      </c>
      <c r="U650" s="400">
        <f t="shared" si="162"/>
        <v>0</v>
      </c>
      <c r="V650" s="400">
        <f t="shared" si="162"/>
        <v>0</v>
      </c>
      <c r="W650" s="400">
        <f t="shared" si="162"/>
        <v>0</v>
      </c>
      <c r="X650" s="400">
        <f t="shared" si="162"/>
        <v>0</v>
      </c>
      <c r="Y650" s="400">
        <f t="shared" si="162"/>
        <v>8532619661</v>
      </c>
      <c r="Z650" s="400">
        <f t="shared" si="162"/>
        <v>3741204971</v>
      </c>
      <c r="AA650" s="400">
        <f t="shared" si="162"/>
        <v>500</v>
      </c>
      <c r="AB650" s="400">
        <f t="shared" si="162"/>
        <v>0</v>
      </c>
      <c r="AC650" s="400">
        <f t="shared" si="162"/>
        <v>0</v>
      </c>
      <c r="AD650" s="400">
        <f t="shared" si="162"/>
        <v>0</v>
      </c>
      <c r="AE650" s="400">
        <f t="shared" si="162"/>
        <v>0</v>
      </c>
      <c r="AF650" s="400">
        <f t="shared" si="162"/>
        <v>0</v>
      </c>
      <c r="AG650" s="400">
        <f t="shared" si="162"/>
        <v>0</v>
      </c>
      <c r="AH650" s="400">
        <f t="shared" si="162"/>
        <v>0</v>
      </c>
      <c r="AI650" s="400">
        <f t="shared" si="162"/>
        <v>0</v>
      </c>
      <c r="AJ650" s="400">
        <f t="shared" si="162"/>
        <v>11151014906</v>
      </c>
      <c r="AK650" s="400">
        <f>SUM(AK647:AK649)</f>
        <v>23424840038</v>
      </c>
    </row>
    <row r="651" spans="1:37" ht="30" customHeight="1" x14ac:dyDescent="0.2">
      <c r="A651" s="201"/>
      <c r="B651" s="656"/>
      <c r="C651" s="146"/>
      <c r="D651" s="69"/>
      <c r="E651" s="146"/>
      <c r="F651" s="146"/>
      <c r="G651" s="69"/>
      <c r="H651" s="146"/>
      <c r="I651" s="69"/>
      <c r="J651" s="146"/>
      <c r="K651" s="147"/>
      <c r="L651" s="261"/>
      <c r="M651" s="390"/>
      <c r="N651" s="390"/>
      <c r="O651" s="99"/>
      <c r="P651" s="146"/>
      <c r="Q651" s="395"/>
      <c r="R651" s="396"/>
      <c r="S651" s="395"/>
      <c r="T651" s="395"/>
      <c r="U651" s="395"/>
      <c r="V651" s="395"/>
      <c r="W651" s="395"/>
      <c r="X651" s="395"/>
      <c r="Y651" s="395"/>
      <c r="Z651" s="395"/>
      <c r="AA651" s="395"/>
      <c r="AB651" s="395"/>
      <c r="AC651" s="395"/>
      <c r="AD651" s="395"/>
      <c r="AE651" s="395"/>
      <c r="AF651" s="397"/>
      <c r="AG651" s="398"/>
      <c r="AH651" s="395"/>
      <c r="AI651" s="395"/>
      <c r="AJ651" s="396"/>
      <c r="AK651" s="391" t="s">
        <v>63</v>
      </c>
    </row>
    <row r="652" spans="1:37" ht="30" customHeight="1" x14ac:dyDescent="0.2">
      <c r="A652" s="201"/>
      <c r="B652" s="656"/>
      <c r="C652" s="661"/>
      <c r="D652" s="655"/>
      <c r="E652" s="661"/>
      <c r="F652" s="661"/>
      <c r="G652" s="215">
        <v>51</v>
      </c>
      <c r="H652" s="76" t="s">
        <v>843</v>
      </c>
      <c r="I652" s="76"/>
      <c r="J652" s="76"/>
      <c r="K652" s="331"/>
      <c r="L652" s="331"/>
      <c r="M652" s="76"/>
      <c r="N652" s="169"/>
      <c r="O652" s="76"/>
      <c r="P652" s="76"/>
      <c r="Q652" s="263"/>
      <c r="R652" s="263"/>
      <c r="S652" s="263"/>
      <c r="T652" s="263"/>
      <c r="U652" s="263"/>
      <c r="V652" s="263"/>
      <c r="W652" s="263"/>
      <c r="X652" s="263"/>
      <c r="Y652" s="263"/>
      <c r="Z652" s="263"/>
      <c r="AA652" s="263"/>
      <c r="AB652" s="263"/>
      <c r="AC652" s="263"/>
      <c r="AD652" s="263"/>
      <c r="AE652" s="263"/>
      <c r="AF652" s="404"/>
      <c r="AG652" s="263"/>
      <c r="AH652" s="263"/>
      <c r="AI652" s="263"/>
      <c r="AJ652" s="263"/>
      <c r="AK652" s="492"/>
    </row>
    <row r="653" spans="1:37" ht="67.5" customHeight="1" x14ac:dyDescent="0.2">
      <c r="A653" s="201"/>
      <c r="B653" s="656"/>
      <c r="C653" s="650" t="s">
        <v>742</v>
      </c>
      <c r="D653" s="656" t="s">
        <v>844</v>
      </c>
      <c r="E653" s="660">
        <v>0.6</v>
      </c>
      <c r="F653" s="660">
        <v>1</v>
      </c>
      <c r="G653" s="679"/>
      <c r="H653" s="54">
        <v>169</v>
      </c>
      <c r="I653" s="679" t="s">
        <v>845</v>
      </c>
      <c r="J653" s="105">
        <v>8</v>
      </c>
      <c r="K653" s="105">
        <v>12</v>
      </c>
      <c r="L653" s="43">
        <v>2017003630109</v>
      </c>
      <c r="M653" s="105" t="s">
        <v>708</v>
      </c>
      <c r="N653" s="54" t="s">
        <v>846</v>
      </c>
      <c r="O653" s="679" t="s">
        <v>1012</v>
      </c>
      <c r="P653" s="54" t="s">
        <v>46</v>
      </c>
      <c r="Q653" s="391">
        <v>0</v>
      </c>
      <c r="R653" s="391">
        <v>0</v>
      </c>
      <c r="S653" s="391">
        <v>0</v>
      </c>
      <c r="T653" s="391">
        <v>0</v>
      </c>
      <c r="U653" s="391">
        <v>0</v>
      </c>
      <c r="V653" s="391">
        <v>0</v>
      </c>
      <c r="W653" s="391">
        <v>0</v>
      </c>
      <c r="X653" s="391"/>
      <c r="Y653" s="391"/>
      <c r="Z653" s="419"/>
      <c r="AA653" s="391">
        <v>0</v>
      </c>
      <c r="AB653" s="391"/>
      <c r="AC653" s="391"/>
      <c r="AD653" s="391">
        <v>0</v>
      </c>
      <c r="AE653" s="391">
        <v>0</v>
      </c>
      <c r="AF653" s="391">
        <v>44149920</v>
      </c>
      <c r="AG653" s="405"/>
      <c r="AH653" s="391">
        <v>0</v>
      </c>
      <c r="AI653" s="393"/>
      <c r="AJ653" s="393"/>
      <c r="AK653" s="391">
        <f>Q653+R653+S653+T653+U653+V653+W653+X653+Y653+Z653+AA653+AB653+AC653+AD653+AE653+AF653+AG653+AH653+AI653+AJ653</f>
        <v>44149920</v>
      </c>
    </row>
    <row r="654" spans="1:37" ht="30" customHeight="1" x14ac:dyDescent="0.2">
      <c r="A654" s="201"/>
      <c r="B654" s="656"/>
      <c r="C654" s="662"/>
      <c r="D654" s="657"/>
      <c r="E654" s="662"/>
      <c r="F654" s="662"/>
      <c r="G654" s="55"/>
      <c r="H654" s="56"/>
      <c r="I654" s="55"/>
      <c r="J654" s="132"/>
      <c r="K654" s="132"/>
      <c r="L654" s="132"/>
      <c r="M654" s="132"/>
      <c r="N654" s="56"/>
      <c r="O654" s="55"/>
      <c r="P654" s="56"/>
      <c r="Q654" s="400">
        <f t="shared" ref="Q654:AK654" si="163">Q653</f>
        <v>0</v>
      </c>
      <c r="R654" s="400">
        <f t="shared" si="163"/>
        <v>0</v>
      </c>
      <c r="S654" s="400">
        <f t="shared" si="163"/>
        <v>0</v>
      </c>
      <c r="T654" s="400">
        <f t="shared" si="163"/>
        <v>0</v>
      </c>
      <c r="U654" s="400">
        <f t="shared" si="163"/>
        <v>0</v>
      </c>
      <c r="V654" s="400">
        <f t="shared" si="163"/>
        <v>0</v>
      </c>
      <c r="W654" s="400">
        <f t="shared" si="163"/>
        <v>0</v>
      </c>
      <c r="X654" s="400">
        <f t="shared" si="163"/>
        <v>0</v>
      </c>
      <c r="Y654" s="400">
        <f t="shared" si="163"/>
        <v>0</v>
      </c>
      <c r="Z654" s="400">
        <f t="shared" si="163"/>
        <v>0</v>
      </c>
      <c r="AA654" s="400">
        <f t="shared" si="163"/>
        <v>0</v>
      </c>
      <c r="AB654" s="400">
        <f t="shared" si="163"/>
        <v>0</v>
      </c>
      <c r="AC654" s="400">
        <f t="shared" si="163"/>
        <v>0</v>
      </c>
      <c r="AD654" s="400">
        <f t="shared" si="163"/>
        <v>0</v>
      </c>
      <c r="AE654" s="400">
        <f t="shared" si="163"/>
        <v>0</v>
      </c>
      <c r="AF654" s="400">
        <f t="shared" si="163"/>
        <v>44149920</v>
      </c>
      <c r="AG654" s="400">
        <f t="shared" si="163"/>
        <v>0</v>
      </c>
      <c r="AH654" s="400">
        <f t="shared" si="163"/>
        <v>0</v>
      </c>
      <c r="AI654" s="400">
        <f t="shared" si="163"/>
        <v>0</v>
      </c>
      <c r="AJ654" s="400">
        <f t="shared" si="163"/>
        <v>0</v>
      </c>
      <c r="AK654" s="400">
        <f t="shared" si="163"/>
        <v>44149920</v>
      </c>
    </row>
    <row r="655" spans="1:37" ht="30" customHeight="1" x14ac:dyDescent="0.2">
      <c r="A655" s="201"/>
      <c r="B655" s="656"/>
      <c r="C655" s="146"/>
      <c r="D655" s="69"/>
      <c r="E655" s="146"/>
      <c r="F655" s="146"/>
      <c r="G655" s="69"/>
      <c r="H655" s="146"/>
      <c r="I655" s="69"/>
      <c r="J655" s="146"/>
      <c r="K655" s="147"/>
      <c r="L655" s="261"/>
      <c r="M655" s="390"/>
      <c r="N655" s="390"/>
      <c r="O655" s="99"/>
      <c r="P655" s="146"/>
      <c r="Q655" s="395"/>
      <c r="R655" s="395"/>
      <c r="S655" s="395"/>
      <c r="T655" s="395"/>
      <c r="U655" s="395"/>
      <c r="V655" s="395"/>
      <c r="W655" s="395"/>
      <c r="X655" s="395"/>
      <c r="Y655" s="395"/>
      <c r="Z655" s="395"/>
      <c r="AA655" s="395"/>
      <c r="AB655" s="395"/>
      <c r="AC655" s="395"/>
      <c r="AD655" s="395"/>
      <c r="AE655" s="395"/>
      <c r="AF655" s="397"/>
      <c r="AG655" s="398"/>
      <c r="AH655" s="395"/>
      <c r="AI655" s="395"/>
      <c r="AJ655" s="395"/>
      <c r="AK655" s="391"/>
    </row>
    <row r="656" spans="1:37" ht="30" customHeight="1" x14ac:dyDescent="0.2">
      <c r="A656" s="201"/>
      <c r="B656" s="656"/>
      <c r="C656" s="661"/>
      <c r="D656" s="655"/>
      <c r="E656" s="661"/>
      <c r="F656" s="661"/>
      <c r="G656" s="215">
        <v>52</v>
      </c>
      <c r="H656" s="76" t="s">
        <v>848</v>
      </c>
      <c r="I656" s="76"/>
      <c r="J656" s="76"/>
      <c r="K656" s="331"/>
      <c r="L656" s="331"/>
      <c r="M656" s="76"/>
      <c r="N656" s="169"/>
      <c r="O656" s="76"/>
      <c r="P656" s="76"/>
      <c r="Q656" s="263"/>
      <c r="R656" s="263"/>
      <c r="S656" s="263"/>
      <c r="T656" s="263"/>
      <c r="U656" s="263"/>
      <c r="V656" s="263"/>
      <c r="W656" s="263"/>
      <c r="X656" s="263"/>
      <c r="Y656" s="263"/>
      <c r="Z656" s="263"/>
      <c r="AA656" s="263"/>
      <c r="AB656" s="263"/>
      <c r="AC656" s="263"/>
      <c r="AD656" s="263"/>
      <c r="AE656" s="263"/>
      <c r="AF656" s="404"/>
      <c r="AG656" s="263"/>
      <c r="AH656" s="263"/>
      <c r="AI656" s="263"/>
      <c r="AJ656" s="263"/>
      <c r="AK656" s="492"/>
    </row>
    <row r="657" spans="1:37" ht="51" customHeight="1" x14ac:dyDescent="0.2">
      <c r="A657" s="201"/>
      <c r="B657" s="656"/>
      <c r="C657" s="775">
        <v>28</v>
      </c>
      <c r="D657" s="778" t="s">
        <v>849</v>
      </c>
      <c r="E657" s="794">
        <v>0.5</v>
      </c>
      <c r="F657" s="794">
        <v>1</v>
      </c>
      <c r="G657" s="40"/>
      <c r="H657" s="54">
        <v>170</v>
      </c>
      <c r="I657" s="679" t="s">
        <v>850</v>
      </c>
      <c r="J657" s="333">
        <v>14</v>
      </c>
      <c r="K657" s="333">
        <v>14</v>
      </c>
      <c r="L657" s="784">
        <v>2017003630105</v>
      </c>
      <c r="M657" s="827" t="s">
        <v>708</v>
      </c>
      <c r="N657" s="774" t="s">
        <v>851</v>
      </c>
      <c r="O657" s="777" t="s">
        <v>852</v>
      </c>
      <c r="P657" s="54" t="s">
        <v>46</v>
      </c>
      <c r="Q657" s="391">
        <v>0</v>
      </c>
      <c r="R657" s="391">
        <v>0</v>
      </c>
      <c r="S657" s="391">
        <v>0</v>
      </c>
      <c r="T657" s="391">
        <v>0</v>
      </c>
      <c r="U657" s="391">
        <v>0</v>
      </c>
      <c r="V657" s="391">
        <v>0</v>
      </c>
      <c r="W657" s="391">
        <v>0</v>
      </c>
      <c r="X657" s="391"/>
      <c r="Y657" s="391"/>
      <c r="Z657" s="391"/>
      <c r="AA657" s="391">
        <v>0</v>
      </c>
      <c r="AB657" s="391">
        <v>0</v>
      </c>
      <c r="AC657" s="391">
        <v>0</v>
      </c>
      <c r="AD657" s="391">
        <v>0</v>
      </c>
      <c r="AE657" s="391">
        <v>0</v>
      </c>
      <c r="AF657" s="392">
        <v>138195556</v>
      </c>
      <c r="AG657" s="405"/>
      <c r="AH657" s="391">
        <v>0</v>
      </c>
      <c r="AI657" s="393"/>
      <c r="AJ657" s="393"/>
      <c r="AK657" s="391">
        <f>Q657+R657+S657+T657+U657+V657+W657+X657+Y657+Z657+AA657+AB657+AC657+AD657+AE657+AF657+AG657+AH657+AI657+AJ657</f>
        <v>138195556</v>
      </c>
    </row>
    <row r="658" spans="1:37" ht="51" customHeight="1" x14ac:dyDescent="0.2">
      <c r="A658" s="201"/>
      <c r="B658" s="656"/>
      <c r="C658" s="776"/>
      <c r="D658" s="779"/>
      <c r="E658" s="833"/>
      <c r="F658" s="833"/>
      <c r="G658" s="46"/>
      <c r="H658" s="54">
        <v>171</v>
      </c>
      <c r="I658" s="679" t="s">
        <v>853</v>
      </c>
      <c r="J658" s="333">
        <v>1</v>
      </c>
      <c r="K658" s="333">
        <v>1</v>
      </c>
      <c r="L658" s="786"/>
      <c r="M658" s="829"/>
      <c r="N658" s="776"/>
      <c r="O658" s="779"/>
      <c r="P658" s="54" t="s">
        <v>46</v>
      </c>
      <c r="Q658" s="391">
        <v>0</v>
      </c>
      <c r="R658" s="391">
        <v>0</v>
      </c>
      <c r="S658" s="391">
        <v>0</v>
      </c>
      <c r="T658" s="391">
        <v>0</v>
      </c>
      <c r="U658" s="391">
        <v>0</v>
      </c>
      <c r="V658" s="391">
        <v>0</v>
      </c>
      <c r="W658" s="391">
        <v>0</v>
      </c>
      <c r="X658" s="391"/>
      <c r="Y658" s="391"/>
      <c r="Z658" s="391"/>
      <c r="AA658" s="391">
        <v>0</v>
      </c>
      <c r="AB658" s="391">
        <v>0</v>
      </c>
      <c r="AC658" s="391">
        <v>0</v>
      </c>
      <c r="AD658" s="391">
        <v>0</v>
      </c>
      <c r="AE658" s="391">
        <v>0</v>
      </c>
      <c r="AF658" s="392">
        <v>0</v>
      </c>
      <c r="AG658" s="405"/>
      <c r="AH658" s="391">
        <v>0</v>
      </c>
      <c r="AI658" s="393"/>
      <c r="AJ658" s="393"/>
      <c r="AK658" s="391">
        <f>Q658+R658+S658+T658+U658+V658+W658+X658+Y658+Z658+AA658+AB658+AC658+AD658+AE658+AF658+AG658+AH658+AI658+AJ658</f>
        <v>0</v>
      </c>
    </row>
    <row r="659" spans="1:37" ht="51" customHeight="1" x14ac:dyDescent="0.2">
      <c r="A659" s="201"/>
      <c r="B659" s="656"/>
      <c r="C659" s="661">
        <v>28</v>
      </c>
      <c r="D659" s="655" t="s">
        <v>849</v>
      </c>
      <c r="E659" s="681">
        <v>0.5</v>
      </c>
      <c r="F659" s="681">
        <v>1</v>
      </c>
      <c r="G659" s="90"/>
      <c r="H659" s="54">
        <v>172</v>
      </c>
      <c r="I659" s="679" t="s">
        <v>854</v>
      </c>
      <c r="J659" s="105">
        <v>12</v>
      </c>
      <c r="K659" s="105">
        <v>12</v>
      </c>
      <c r="L659" s="43">
        <v>2017003630101</v>
      </c>
      <c r="M659" s="105" t="s">
        <v>708</v>
      </c>
      <c r="N659" s="54" t="s">
        <v>855</v>
      </c>
      <c r="O659" s="679" t="s">
        <v>1013</v>
      </c>
      <c r="P659" s="54" t="s">
        <v>46</v>
      </c>
      <c r="Q659" s="391">
        <v>0</v>
      </c>
      <c r="R659" s="391">
        <v>0</v>
      </c>
      <c r="S659" s="391">
        <v>0</v>
      </c>
      <c r="T659" s="391">
        <v>0</v>
      </c>
      <c r="U659" s="391">
        <v>0</v>
      </c>
      <c r="V659" s="391">
        <v>0</v>
      </c>
      <c r="W659" s="391">
        <v>0</v>
      </c>
      <c r="X659" s="391"/>
      <c r="Y659" s="391"/>
      <c r="Z659" s="391">
        <v>50000000</v>
      </c>
      <c r="AA659" s="391">
        <v>0</v>
      </c>
      <c r="AB659" s="391">
        <v>0</v>
      </c>
      <c r="AC659" s="391">
        <v>0</v>
      </c>
      <c r="AD659" s="391">
        <v>0</v>
      </c>
      <c r="AE659" s="391">
        <v>0</v>
      </c>
      <c r="AF659" s="634">
        <f>249000000+6004444+100000000+60000000</f>
        <v>415004444</v>
      </c>
      <c r="AG659" s="405"/>
      <c r="AH659" s="391">
        <v>0</v>
      </c>
      <c r="AI659" s="393"/>
      <c r="AJ659" s="393"/>
      <c r="AK659" s="391">
        <f>Q659+R659+S659+T659+U659+V659+W659+X659+Y659+Z659+AA659+AB659+AC659+AD659+AE659+AF659+AG659+AH659+AI659+AJ659</f>
        <v>465004444</v>
      </c>
    </row>
    <row r="660" spans="1:37" ht="30" customHeight="1" x14ac:dyDescent="0.2">
      <c r="A660" s="201"/>
      <c r="B660" s="656"/>
      <c r="C660" s="662"/>
      <c r="D660" s="657"/>
      <c r="E660" s="662"/>
      <c r="F660" s="662"/>
      <c r="G660" s="55"/>
      <c r="H660" s="56"/>
      <c r="I660" s="55"/>
      <c r="J660" s="132"/>
      <c r="K660" s="249"/>
      <c r="L660" s="249"/>
      <c r="M660" s="132"/>
      <c r="N660" s="56"/>
      <c r="O660" s="55"/>
      <c r="P660" s="56"/>
      <c r="Q660" s="400">
        <f t="shared" ref="Q660:AK660" si="164">SUM(Q657:Q659)</f>
        <v>0</v>
      </c>
      <c r="R660" s="400">
        <f t="shared" si="164"/>
        <v>0</v>
      </c>
      <c r="S660" s="400">
        <f t="shared" si="164"/>
        <v>0</v>
      </c>
      <c r="T660" s="400">
        <f t="shared" si="164"/>
        <v>0</v>
      </c>
      <c r="U660" s="400">
        <f t="shared" si="164"/>
        <v>0</v>
      </c>
      <c r="V660" s="400">
        <f t="shared" si="164"/>
        <v>0</v>
      </c>
      <c r="W660" s="400">
        <f t="shared" si="164"/>
        <v>0</v>
      </c>
      <c r="X660" s="400">
        <f t="shared" si="164"/>
        <v>0</v>
      </c>
      <c r="Y660" s="400">
        <f t="shared" si="164"/>
        <v>0</v>
      </c>
      <c r="Z660" s="400">
        <f t="shared" si="164"/>
        <v>50000000</v>
      </c>
      <c r="AA660" s="400">
        <f t="shared" si="164"/>
        <v>0</v>
      </c>
      <c r="AB660" s="400">
        <f t="shared" si="164"/>
        <v>0</v>
      </c>
      <c r="AC660" s="400">
        <f t="shared" si="164"/>
        <v>0</v>
      </c>
      <c r="AD660" s="400">
        <f t="shared" si="164"/>
        <v>0</v>
      </c>
      <c r="AE660" s="400">
        <f t="shared" si="164"/>
        <v>0</v>
      </c>
      <c r="AF660" s="400">
        <f t="shared" si="164"/>
        <v>553200000</v>
      </c>
      <c r="AG660" s="400">
        <f t="shared" si="164"/>
        <v>0</v>
      </c>
      <c r="AH660" s="400">
        <f t="shared" si="164"/>
        <v>0</v>
      </c>
      <c r="AI660" s="400">
        <f t="shared" si="164"/>
        <v>0</v>
      </c>
      <c r="AJ660" s="400">
        <f t="shared" si="164"/>
        <v>0</v>
      </c>
      <c r="AK660" s="400">
        <f t="shared" si="164"/>
        <v>603200000</v>
      </c>
    </row>
    <row r="661" spans="1:37" ht="30" customHeight="1" x14ac:dyDescent="0.2">
      <c r="A661" s="201"/>
      <c r="B661" s="656"/>
      <c r="C661" s="146"/>
      <c r="D661" s="69"/>
      <c r="E661" s="146"/>
      <c r="F661" s="146"/>
      <c r="G661" s="69"/>
      <c r="H661" s="146"/>
      <c r="I661" s="69"/>
      <c r="J661" s="146"/>
      <c r="K661" s="251"/>
      <c r="L661" s="330"/>
      <c r="M661" s="390"/>
      <c r="N661" s="390"/>
      <c r="O661" s="99"/>
      <c r="P661" s="146"/>
      <c r="Q661" s="395"/>
      <c r="R661" s="395"/>
      <c r="S661" s="395"/>
      <c r="T661" s="395"/>
      <c r="U661" s="395"/>
      <c r="V661" s="395"/>
      <c r="W661" s="395"/>
      <c r="X661" s="395"/>
      <c r="Y661" s="395"/>
      <c r="Z661" s="395"/>
      <c r="AA661" s="395"/>
      <c r="AB661" s="395"/>
      <c r="AC661" s="395"/>
      <c r="AD661" s="395"/>
      <c r="AE661" s="395"/>
      <c r="AF661" s="397"/>
      <c r="AG661" s="398"/>
      <c r="AH661" s="395"/>
      <c r="AI661" s="395"/>
      <c r="AJ661" s="395"/>
      <c r="AK661" s="399"/>
    </row>
    <row r="662" spans="1:37" ht="30" customHeight="1" x14ac:dyDescent="0.2">
      <c r="A662" s="201"/>
      <c r="B662" s="656"/>
      <c r="C662" s="661"/>
      <c r="D662" s="655"/>
      <c r="E662" s="661"/>
      <c r="F662" s="661"/>
      <c r="G662" s="215">
        <v>53</v>
      </c>
      <c r="H662" s="77" t="s">
        <v>857</v>
      </c>
      <c r="I662" s="77"/>
      <c r="J662" s="77"/>
      <c r="K662" s="89"/>
      <c r="L662" s="89"/>
      <c r="M662" s="77"/>
      <c r="N662" s="169"/>
      <c r="O662" s="77"/>
      <c r="P662" s="77"/>
      <c r="Q662" s="263"/>
      <c r="R662" s="263"/>
      <c r="S662" s="263"/>
      <c r="T662" s="263"/>
      <c r="U662" s="263"/>
      <c r="V662" s="263"/>
      <c r="W662" s="263"/>
      <c r="X662" s="263"/>
      <c r="Y662" s="263"/>
      <c r="Z662" s="263"/>
      <c r="AA662" s="263"/>
      <c r="AB662" s="263"/>
      <c r="AC662" s="263"/>
      <c r="AD662" s="263"/>
      <c r="AE662" s="263"/>
      <c r="AF662" s="404"/>
      <c r="AG662" s="263"/>
      <c r="AH662" s="263"/>
      <c r="AI662" s="263"/>
      <c r="AJ662" s="263"/>
      <c r="AK662" s="265"/>
    </row>
    <row r="663" spans="1:37" ht="101.25" customHeight="1" x14ac:dyDescent="0.2">
      <c r="A663" s="201"/>
      <c r="B663" s="656"/>
      <c r="C663" s="775">
        <v>28</v>
      </c>
      <c r="D663" s="778" t="s">
        <v>849</v>
      </c>
      <c r="E663" s="794">
        <v>0.5</v>
      </c>
      <c r="F663" s="794">
        <v>1</v>
      </c>
      <c r="G663" s="774"/>
      <c r="H663" s="54">
        <v>173</v>
      </c>
      <c r="I663" s="679" t="s">
        <v>858</v>
      </c>
      <c r="J663" s="333" t="s">
        <v>37</v>
      </c>
      <c r="K663" s="333">
        <v>7</v>
      </c>
      <c r="L663" s="784">
        <v>2017003630104</v>
      </c>
      <c r="M663" s="827" t="s">
        <v>708</v>
      </c>
      <c r="N663" s="774" t="s">
        <v>859</v>
      </c>
      <c r="O663" s="777" t="s">
        <v>860</v>
      </c>
      <c r="P663" s="54" t="s">
        <v>46</v>
      </c>
      <c r="Q663" s="391">
        <v>0</v>
      </c>
      <c r="R663" s="391">
        <v>0</v>
      </c>
      <c r="S663" s="391">
        <v>0</v>
      </c>
      <c r="T663" s="391">
        <v>0</v>
      </c>
      <c r="U663" s="391">
        <v>0</v>
      </c>
      <c r="V663" s="391">
        <v>0</v>
      </c>
      <c r="W663" s="391">
        <v>0</v>
      </c>
      <c r="X663" s="391"/>
      <c r="Y663" s="391"/>
      <c r="Z663" s="419"/>
      <c r="AA663" s="391">
        <v>0</v>
      </c>
      <c r="AB663" s="391"/>
      <c r="AC663" s="391"/>
      <c r="AD663" s="391">
        <v>0</v>
      </c>
      <c r="AE663" s="391">
        <v>0</v>
      </c>
      <c r="AF663" s="391">
        <v>35436120</v>
      </c>
      <c r="AG663" s="405"/>
      <c r="AH663" s="391">
        <v>0</v>
      </c>
      <c r="AI663" s="393"/>
      <c r="AJ663" s="393"/>
      <c r="AK663" s="391">
        <f>Q663+R663+S663+T663+U663+V663+W663+X663+Y663+Z663+AA663+AB663+AC663+AD663+AE663+AF663+AG663+AH663+AI663+AJ663</f>
        <v>35436120</v>
      </c>
    </row>
    <row r="664" spans="1:37" ht="90" customHeight="1" x14ac:dyDescent="0.2">
      <c r="A664" s="201"/>
      <c r="B664" s="656"/>
      <c r="C664" s="775"/>
      <c r="D664" s="778"/>
      <c r="E664" s="794"/>
      <c r="F664" s="794"/>
      <c r="G664" s="776"/>
      <c r="H664" s="54">
        <v>174</v>
      </c>
      <c r="I664" s="679" t="s">
        <v>861</v>
      </c>
      <c r="J664" s="54">
        <v>100</v>
      </c>
      <c r="K664" s="105">
        <v>150</v>
      </c>
      <c r="L664" s="786"/>
      <c r="M664" s="829"/>
      <c r="N664" s="776"/>
      <c r="O664" s="779"/>
      <c r="P664" s="54" t="s">
        <v>46</v>
      </c>
      <c r="Q664" s="391">
        <v>0</v>
      </c>
      <c r="R664" s="391">
        <v>0</v>
      </c>
      <c r="S664" s="391">
        <v>0</v>
      </c>
      <c r="T664" s="391">
        <v>0</v>
      </c>
      <c r="U664" s="391">
        <v>0</v>
      </c>
      <c r="V664" s="391">
        <v>0</v>
      </c>
      <c r="W664" s="391">
        <v>0</v>
      </c>
      <c r="X664" s="391"/>
      <c r="Y664" s="391"/>
      <c r="Z664" s="391">
        <v>0</v>
      </c>
      <c r="AA664" s="391">
        <v>0</v>
      </c>
      <c r="AB664" s="391"/>
      <c r="AC664" s="391"/>
      <c r="AD664" s="391">
        <v>0</v>
      </c>
      <c r="AE664" s="391">
        <v>0</v>
      </c>
      <c r="AF664" s="392">
        <v>0</v>
      </c>
      <c r="AG664" s="405"/>
      <c r="AH664" s="391">
        <v>0</v>
      </c>
      <c r="AI664" s="393"/>
      <c r="AJ664" s="393"/>
      <c r="AK664" s="391">
        <f>Q664+R664+S664+T664+U664+V664+W664+X664+Y664+Z664+AA664+AB664+AC664+AD664+AE664+AF664+AG664+AH664+AI664+AJ664</f>
        <v>0</v>
      </c>
    </row>
    <row r="665" spans="1:37" ht="30" customHeight="1" x14ac:dyDescent="0.2">
      <c r="A665" s="201"/>
      <c r="B665" s="656"/>
      <c r="C665" s="662"/>
      <c r="D665" s="657"/>
      <c r="E665" s="662"/>
      <c r="F665" s="662"/>
      <c r="G665" s="55"/>
      <c r="H665" s="56"/>
      <c r="I665" s="55"/>
      <c r="J665" s="56"/>
      <c r="K665" s="132"/>
      <c r="L665" s="132"/>
      <c r="M665" s="56"/>
      <c r="N665" s="56"/>
      <c r="O665" s="55"/>
      <c r="P665" s="56"/>
      <c r="Q665" s="400">
        <f t="shared" ref="Q665:AK665" si="165">SUM(Q663:Q664)</f>
        <v>0</v>
      </c>
      <c r="R665" s="400">
        <f t="shared" si="165"/>
        <v>0</v>
      </c>
      <c r="S665" s="400">
        <f t="shared" si="165"/>
        <v>0</v>
      </c>
      <c r="T665" s="400">
        <f t="shared" si="165"/>
        <v>0</v>
      </c>
      <c r="U665" s="400">
        <f t="shared" si="165"/>
        <v>0</v>
      </c>
      <c r="V665" s="400">
        <f t="shared" si="165"/>
        <v>0</v>
      </c>
      <c r="W665" s="400">
        <f t="shared" si="165"/>
        <v>0</v>
      </c>
      <c r="X665" s="400">
        <f t="shared" si="165"/>
        <v>0</v>
      </c>
      <c r="Y665" s="400">
        <f t="shared" si="165"/>
        <v>0</v>
      </c>
      <c r="Z665" s="400">
        <f t="shared" si="165"/>
        <v>0</v>
      </c>
      <c r="AA665" s="400">
        <f t="shared" si="165"/>
        <v>0</v>
      </c>
      <c r="AB665" s="400">
        <f t="shared" si="165"/>
        <v>0</v>
      </c>
      <c r="AC665" s="400">
        <f t="shared" si="165"/>
        <v>0</v>
      </c>
      <c r="AD665" s="400">
        <f t="shared" si="165"/>
        <v>0</v>
      </c>
      <c r="AE665" s="400">
        <f t="shared" si="165"/>
        <v>0</v>
      </c>
      <c r="AF665" s="400">
        <f t="shared" si="165"/>
        <v>35436120</v>
      </c>
      <c r="AG665" s="400">
        <f t="shared" si="165"/>
        <v>0</v>
      </c>
      <c r="AH665" s="400">
        <f t="shared" si="165"/>
        <v>0</v>
      </c>
      <c r="AI665" s="400">
        <f t="shared" si="165"/>
        <v>0</v>
      </c>
      <c r="AJ665" s="400">
        <f t="shared" si="165"/>
        <v>0</v>
      </c>
      <c r="AK665" s="400">
        <f t="shared" si="165"/>
        <v>35436120</v>
      </c>
    </row>
    <row r="666" spans="1:37" ht="30" customHeight="1" x14ac:dyDescent="0.2">
      <c r="A666" s="201"/>
      <c r="B666" s="656"/>
      <c r="C666" s="146"/>
      <c r="D666" s="69"/>
      <c r="E666" s="146"/>
      <c r="F666" s="146"/>
      <c r="G666" s="69"/>
      <c r="H666" s="146"/>
      <c r="I666" s="69"/>
      <c r="J666" s="146"/>
      <c r="K666" s="147"/>
      <c r="L666" s="261"/>
      <c r="M666" s="390"/>
      <c r="N666" s="390"/>
      <c r="O666" s="99"/>
      <c r="P666" s="146"/>
      <c r="Q666" s="395"/>
      <c r="R666" s="395"/>
      <c r="S666" s="395"/>
      <c r="T666" s="395"/>
      <c r="U666" s="395"/>
      <c r="V666" s="395"/>
      <c r="W666" s="395"/>
      <c r="X666" s="395"/>
      <c r="Y666" s="395"/>
      <c r="Z666" s="395"/>
      <c r="AA666" s="395"/>
      <c r="AB666" s="395"/>
      <c r="AC666" s="395"/>
      <c r="AD666" s="395"/>
      <c r="AE666" s="395"/>
      <c r="AF666" s="397"/>
      <c r="AG666" s="398"/>
      <c r="AH666" s="395"/>
      <c r="AI666" s="395"/>
      <c r="AJ666" s="395"/>
      <c r="AK666" s="399"/>
    </row>
    <row r="667" spans="1:37" ht="30" customHeight="1" x14ac:dyDescent="0.2">
      <c r="A667" s="201"/>
      <c r="B667" s="656"/>
      <c r="C667" s="661"/>
      <c r="D667" s="655"/>
      <c r="E667" s="661"/>
      <c r="F667" s="661"/>
      <c r="G667" s="215">
        <v>54</v>
      </c>
      <c r="H667" s="77" t="s">
        <v>862</v>
      </c>
      <c r="I667" s="77"/>
      <c r="J667" s="77"/>
      <c r="K667" s="124"/>
      <c r="L667" s="124"/>
      <c r="M667" s="77"/>
      <c r="N667" s="169"/>
      <c r="O667" s="77"/>
      <c r="P667" s="77"/>
      <c r="Q667" s="263"/>
      <c r="R667" s="263"/>
      <c r="S667" s="263"/>
      <c r="T667" s="263"/>
      <c r="U667" s="263"/>
      <c r="V667" s="263"/>
      <c r="W667" s="263"/>
      <c r="X667" s="263"/>
      <c r="Y667" s="263"/>
      <c r="Z667" s="263"/>
      <c r="AA667" s="263"/>
      <c r="AB667" s="263"/>
      <c r="AC667" s="263"/>
      <c r="AD667" s="263"/>
      <c r="AE667" s="263"/>
      <c r="AF667" s="404"/>
      <c r="AG667" s="263"/>
      <c r="AH667" s="263"/>
      <c r="AI667" s="263"/>
      <c r="AJ667" s="263"/>
      <c r="AK667" s="265"/>
    </row>
    <row r="668" spans="1:37" ht="61.5" customHeight="1" x14ac:dyDescent="0.2">
      <c r="A668" s="201"/>
      <c r="B668" s="656"/>
      <c r="C668" s="775">
        <v>28</v>
      </c>
      <c r="D668" s="778" t="s">
        <v>849</v>
      </c>
      <c r="E668" s="794">
        <v>0.5</v>
      </c>
      <c r="F668" s="794">
        <v>1</v>
      </c>
      <c r="G668" s="774"/>
      <c r="H668" s="54">
        <v>175</v>
      </c>
      <c r="I668" s="679" t="s">
        <v>863</v>
      </c>
      <c r="J668" s="54">
        <v>10</v>
      </c>
      <c r="K668" s="105">
        <v>14</v>
      </c>
      <c r="L668" s="784">
        <v>2017003630108</v>
      </c>
      <c r="M668" s="774" t="s">
        <v>708</v>
      </c>
      <c r="N668" s="774" t="s">
        <v>864</v>
      </c>
      <c r="O668" s="777" t="s">
        <v>1014</v>
      </c>
      <c r="P668" s="54" t="s">
        <v>46</v>
      </c>
      <c r="Q668" s="391">
        <v>0</v>
      </c>
      <c r="R668" s="391">
        <v>0</v>
      </c>
      <c r="S668" s="391">
        <v>0</v>
      </c>
      <c r="T668" s="391">
        <v>0</v>
      </c>
      <c r="U668" s="391">
        <v>0</v>
      </c>
      <c r="V668" s="391">
        <v>0</v>
      </c>
      <c r="W668" s="391">
        <v>0</v>
      </c>
      <c r="X668" s="391"/>
      <c r="Y668" s="391"/>
      <c r="Z668" s="750"/>
      <c r="AA668" s="391">
        <v>0</v>
      </c>
      <c r="AB668" s="391">
        <v>0</v>
      </c>
      <c r="AC668" s="391">
        <v>0</v>
      </c>
      <c r="AD668" s="391">
        <v>0</v>
      </c>
      <c r="AE668" s="391">
        <v>0</v>
      </c>
      <c r="AF668" s="642">
        <f>23817720+150000000+74634695</f>
        <v>248452415</v>
      </c>
      <c r="AG668" s="405"/>
      <c r="AH668" s="391">
        <v>0</v>
      </c>
      <c r="AI668" s="393"/>
      <c r="AJ668" s="393"/>
      <c r="AK668" s="391">
        <f>Q668+R668+S668+T668+U668+V668+W668+X668+Y668+Z668+AA668+AB668+AC668+AD668+AE668+AF668+AG668+AH668+AI668+AJ668</f>
        <v>248452415</v>
      </c>
    </row>
    <row r="669" spans="1:37" ht="61.5" customHeight="1" x14ac:dyDescent="0.2">
      <c r="A669" s="201"/>
      <c r="B669" s="656"/>
      <c r="C669" s="775"/>
      <c r="D669" s="778"/>
      <c r="E669" s="794"/>
      <c r="F669" s="794"/>
      <c r="G669" s="776"/>
      <c r="H669" s="54">
        <v>176</v>
      </c>
      <c r="I669" s="679" t="s">
        <v>866</v>
      </c>
      <c r="J669" s="54">
        <v>2</v>
      </c>
      <c r="K669" s="105">
        <v>2</v>
      </c>
      <c r="L669" s="786"/>
      <c r="M669" s="776"/>
      <c r="N669" s="776"/>
      <c r="O669" s="779"/>
      <c r="P669" s="54" t="s">
        <v>46</v>
      </c>
      <c r="Q669" s="391">
        <v>0</v>
      </c>
      <c r="R669" s="391">
        <v>0</v>
      </c>
      <c r="S669" s="391">
        <v>0</v>
      </c>
      <c r="T669" s="391">
        <v>0</v>
      </c>
      <c r="U669" s="391">
        <v>0</v>
      </c>
      <c r="V669" s="391">
        <v>0</v>
      </c>
      <c r="W669" s="391">
        <v>0</v>
      </c>
      <c r="X669" s="391"/>
      <c r="Y669" s="391"/>
      <c r="Z669" s="391"/>
      <c r="AA669" s="391">
        <v>0</v>
      </c>
      <c r="AB669" s="391">
        <v>0</v>
      </c>
      <c r="AC669" s="391">
        <v>0</v>
      </c>
      <c r="AD669" s="391">
        <v>0</v>
      </c>
      <c r="AE669" s="391">
        <v>0</v>
      </c>
      <c r="AF669" s="392"/>
      <c r="AG669" s="405"/>
      <c r="AH669" s="391">
        <v>0</v>
      </c>
      <c r="AI669" s="393"/>
      <c r="AJ669" s="393"/>
      <c r="AK669" s="391">
        <f>Q669+R669+S669+T669+U669+V669+W669+X669+Y669+Z669+AA669+AB669+AC669+AD669+AE669+AF669+AG669+AH669+AI669+AJ669</f>
        <v>0</v>
      </c>
    </row>
    <row r="670" spans="1:37" ht="30" customHeight="1" x14ac:dyDescent="0.2">
      <c r="A670" s="201"/>
      <c r="B670" s="656"/>
      <c r="C670" s="662"/>
      <c r="D670" s="657"/>
      <c r="E670" s="662"/>
      <c r="F670" s="662"/>
      <c r="G670" s="55"/>
      <c r="H670" s="56"/>
      <c r="I670" s="55"/>
      <c r="J670" s="56"/>
      <c r="K670" s="132"/>
      <c r="L670" s="132"/>
      <c r="M670" s="56"/>
      <c r="N670" s="56"/>
      <c r="O670" s="55"/>
      <c r="P670" s="56"/>
      <c r="Q670" s="400">
        <f t="shared" ref="Q670:AK670" si="166">SUM(Q668:Q669)</f>
        <v>0</v>
      </c>
      <c r="R670" s="400">
        <f t="shared" si="166"/>
        <v>0</v>
      </c>
      <c r="S670" s="400">
        <f t="shared" si="166"/>
        <v>0</v>
      </c>
      <c r="T670" s="400">
        <f t="shared" si="166"/>
        <v>0</v>
      </c>
      <c r="U670" s="400">
        <f t="shared" si="166"/>
        <v>0</v>
      </c>
      <c r="V670" s="400">
        <f t="shared" si="166"/>
        <v>0</v>
      </c>
      <c r="W670" s="400">
        <f t="shared" si="166"/>
        <v>0</v>
      </c>
      <c r="X670" s="400">
        <f t="shared" si="166"/>
        <v>0</v>
      </c>
      <c r="Y670" s="400">
        <f t="shared" si="166"/>
        <v>0</v>
      </c>
      <c r="Z670" s="400">
        <f t="shared" si="166"/>
        <v>0</v>
      </c>
      <c r="AA670" s="400">
        <f t="shared" si="166"/>
        <v>0</v>
      </c>
      <c r="AB670" s="400">
        <f t="shared" si="166"/>
        <v>0</v>
      </c>
      <c r="AC670" s="400">
        <f t="shared" si="166"/>
        <v>0</v>
      </c>
      <c r="AD670" s="400">
        <f t="shared" si="166"/>
        <v>0</v>
      </c>
      <c r="AE670" s="400">
        <f t="shared" si="166"/>
        <v>0</v>
      </c>
      <c r="AF670" s="400">
        <f t="shared" si="166"/>
        <v>248452415</v>
      </c>
      <c r="AG670" s="400">
        <f t="shared" si="166"/>
        <v>0</v>
      </c>
      <c r="AH670" s="400">
        <f t="shared" si="166"/>
        <v>0</v>
      </c>
      <c r="AI670" s="400">
        <f t="shared" si="166"/>
        <v>0</v>
      </c>
      <c r="AJ670" s="400">
        <f t="shared" si="166"/>
        <v>0</v>
      </c>
      <c r="AK670" s="400">
        <f t="shared" si="166"/>
        <v>248452415</v>
      </c>
    </row>
    <row r="671" spans="1:37" ht="30" customHeight="1" x14ac:dyDescent="0.2">
      <c r="A671" s="39"/>
      <c r="B671" s="289"/>
      <c r="C671" s="60"/>
      <c r="D671" s="59"/>
      <c r="E671" s="60"/>
      <c r="F671" s="60"/>
      <c r="G671" s="59"/>
      <c r="H671" s="60"/>
      <c r="I671" s="59"/>
      <c r="J671" s="60"/>
      <c r="K671" s="143"/>
      <c r="L671" s="143"/>
      <c r="M671" s="60"/>
      <c r="N671" s="60"/>
      <c r="O671" s="59"/>
      <c r="P671" s="60"/>
      <c r="Q671" s="406">
        <f t="shared" ref="Q671:AK671" si="167">Q670+Q665+Q660+Q654+Q650</f>
        <v>0</v>
      </c>
      <c r="R671" s="406">
        <f t="shared" si="167"/>
        <v>0</v>
      </c>
      <c r="S671" s="406">
        <f t="shared" si="167"/>
        <v>0</v>
      </c>
      <c r="T671" s="406">
        <f t="shared" si="167"/>
        <v>0</v>
      </c>
      <c r="U671" s="406">
        <f t="shared" si="167"/>
        <v>0</v>
      </c>
      <c r="V671" s="406">
        <f t="shared" si="167"/>
        <v>0</v>
      </c>
      <c r="W671" s="406">
        <f t="shared" si="167"/>
        <v>0</v>
      </c>
      <c r="X671" s="406">
        <f t="shared" si="167"/>
        <v>0</v>
      </c>
      <c r="Y671" s="406">
        <f t="shared" si="167"/>
        <v>8532619661</v>
      </c>
      <c r="Z671" s="406">
        <f t="shared" si="167"/>
        <v>3791204971</v>
      </c>
      <c r="AA671" s="406">
        <f t="shared" si="167"/>
        <v>500</v>
      </c>
      <c r="AB671" s="406">
        <f t="shared" si="167"/>
        <v>0</v>
      </c>
      <c r="AC671" s="406">
        <f t="shared" si="167"/>
        <v>0</v>
      </c>
      <c r="AD671" s="406">
        <f t="shared" si="167"/>
        <v>0</v>
      </c>
      <c r="AE671" s="406">
        <f t="shared" si="167"/>
        <v>0</v>
      </c>
      <c r="AF671" s="406">
        <f t="shared" si="167"/>
        <v>881238455</v>
      </c>
      <c r="AG671" s="406">
        <f t="shared" si="167"/>
        <v>0</v>
      </c>
      <c r="AH671" s="406">
        <f t="shared" si="167"/>
        <v>0</v>
      </c>
      <c r="AI671" s="406">
        <f t="shared" si="167"/>
        <v>0</v>
      </c>
      <c r="AJ671" s="406">
        <f t="shared" si="167"/>
        <v>11151014906</v>
      </c>
      <c r="AK671" s="406">
        <f t="shared" si="167"/>
        <v>24356078493</v>
      </c>
    </row>
    <row r="672" spans="1:37" ht="30" customHeight="1" x14ac:dyDescent="0.2">
      <c r="A672" s="39"/>
      <c r="B672" s="69"/>
      <c r="C672" s="146"/>
      <c r="D672" s="69"/>
      <c r="E672" s="146"/>
      <c r="F672" s="146"/>
      <c r="G672" s="69"/>
      <c r="H672" s="146"/>
      <c r="I672" s="69"/>
      <c r="J672" s="146"/>
      <c r="K672" s="147"/>
      <c r="L672" s="261"/>
      <c r="M672" s="390"/>
      <c r="N672" s="390"/>
      <c r="O672" s="99"/>
      <c r="P672" s="146"/>
      <c r="Q672" s="395"/>
      <c r="R672" s="395"/>
      <c r="S672" s="395"/>
      <c r="T672" s="395"/>
      <c r="U672" s="395"/>
      <c r="V672" s="395"/>
      <c r="W672" s="395"/>
      <c r="X672" s="395"/>
      <c r="Y672" s="395"/>
      <c r="Z672" s="395"/>
      <c r="AA672" s="395"/>
      <c r="AB672" s="395"/>
      <c r="AC672" s="395"/>
      <c r="AD672" s="395"/>
      <c r="AE672" s="395"/>
      <c r="AF672" s="397"/>
      <c r="AG672" s="395"/>
      <c r="AH672" s="395"/>
      <c r="AI672" s="395"/>
      <c r="AJ672" s="396"/>
      <c r="AK672" s="391"/>
    </row>
    <row r="673" spans="1:37" ht="30" customHeight="1" x14ac:dyDescent="0.2">
      <c r="A673" s="39"/>
      <c r="B673" s="324">
        <v>15</v>
      </c>
      <c r="C673" s="37" t="s">
        <v>867</v>
      </c>
      <c r="D673" s="36"/>
      <c r="E673" s="36"/>
      <c r="F673" s="36"/>
      <c r="G673" s="36"/>
      <c r="H673" s="37"/>
      <c r="I673" s="36"/>
      <c r="J673" s="36"/>
      <c r="K673" s="122"/>
      <c r="L673" s="122"/>
      <c r="M673" s="36"/>
      <c r="N673" s="37"/>
      <c r="O673" s="36"/>
      <c r="P673" s="36"/>
      <c r="Q673" s="402"/>
      <c r="R673" s="402"/>
      <c r="S673" s="402"/>
      <c r="T673" s="402"/>
      <c r="U673" s="402"/>
      <c r="V673" s="402"/>
      <c r="W673" s="402"/>
      <c r="X673" s="402"/>
      <c r="Y673" s="402"/>
      <c r="Z673" s="402"/>
      <c r="AA673" s="402"/>
      <c r="AB673" s="402"/>
      <c r="AC673" s="402"/>
      <c r="AD673" s="402"/>
      <c r="AE673" s="402"/>
      <c r="AF673" s="403"/>
      <c r="AG673" s="402"/>
      <c r="AH673" s="402"/>
      <c r="AI673" s="402"/>
      <c r="AJ673" s="402"/>
      <c r="AK673" s="493"/>
    </row>
    <row r="674" spans="1:37" ht="30" customHeight="1" x14ac:dyDescent="0.2">
      <c r="A674" s="201"/>
      <c r="B674" s="39"/>
      <c r="C674" s="661"/>
      <c r="D674" s="655"/>
      <c r="E674" s="661"/>
      <c r="F674" s="661"/>
      <c r="G674" s="215">
        <v>55</v>
      </c>
      <c r="H674" s="77" t="s">
        <v>868</v>
      </c>
      <c r="I674" s="77"/>
      <c r="J674" s="77"/>
      <c r="K674" s="124"/>
      <c r="L674" s="124"/>
      <c r="M674" s="77"/>
      <c r="N674" s="169"/>
      <c r="O674" s="77"/>
      <c r="P674" s="77"/>
      <c r="Q674" s="263"/>
      <c r="R674" s="263"/>
      <c r="S674" s="263"/>
      <c r="T674" s="263"/>
      <c r="U674" s="263"/>
      <c r="V674" s="263"/>
      <c r="W674" s="263"/>
      <c r="X674" s="263"/>
      <c r="Y674" s="263"/>
      <c r="Z674" s="263"/>
      <c r="AA674" s="263"/>
      <c r="AB674" s="263"/>
      <c r="AC674" s="263"/>
      <c r="AD674" s="263"/>
      <c r="AE674" s="263"/>
      <c r="AF674" s="404"/>
      <c r="AG674" s="263"/>
      <c r="AH674" s="263"/>
      <c r="AI674" s="263"/>
      <c r="AJ674" s="263"/>
      <c r="AK674" s="492"/>
    </row>
    <row r="675" spans="1:37" ht="71.25" customHeight="1" x14ac:dyDescent="0.2">
      <c r="A675" s="201"/>
      <c r="B675" s="656"/>
      <c r="C675" s="662" t="s">
        <v>742</v>
      </c>
      <c r="D675" s="657" t="s">
        <v>869</v>
      </c>
      <c r="E675" s="666">
        <v>2</v>
      </c>
      <c r="F675" s="666">
        <v>2</v>
      </c>
      <c r="G675" s="774"/>
      <c r="H675" s="54">
        <v>177</v>
      </c>
      <c r="I675" s="679" t="s">
        <v>870</v>
      </c>
      <c r="J675" s="54">
        <v>2</v>
      </c>
      <c r="K675" s="105">
        <v>2</v>
      </c>
      <c r="L675" s="784">
        <v>2017003630063</v>
      </c>
      <c r="M675" s="774" t="s">
        <v>708</v>
      </c>
      <c r="N675" s="774" t="s">
        <v>871</v>
      </c>
      <c r="O675" s="777" t="s">
        <v>872</v>
      </c>
      <c r="P675" s="165" t="s">
        <v>46</v>
      </c>
      <c r="Q675" s="391">
        <v>0</v>
      </c>
      <c r="R675" s="391">
        <v>0</v>
      </c>
      <c r="S675" s="391">
        <v>0</v>
      </c>
      <c r="T675" s="391">
        <v>0</v>
      </c>
      <c r="U675" s="391">
        <v>0</v>
      </c>
      <c r="V675" s="391">
        <v>0</v>
      </c>
      <c r="W675" s="391">
        <v>0</v>
      </c>
      <c r="X675" s="391"/>
      <c r="Y675" s="391"/>
      <c r="Z675" s="391">
        <v>0</v>
      </c>
      <c r="AA675" s="391">
        <v>0</v>
      </c>
      <c r="AB675" s="391"/>
      <c r="AC675" s="391"/>
      <c r="AD675" s="391">
        <v>0</v>
      </c>
      <c r="AE675" s="391">
        <v>0</v>
      </c>
      <c r="AF675" s="392">
        <v>0</v>
      </c>
      <c r="AG675" s="405"/>
      <c r="AH675" s="391">
        <v>0</v>
      </c>
      <c r="AI675" s="393"/>
      <c r="AJ675" s="393">
        <v>0</v>
      </c>
      <c r="AK675" s="391">
        <f>Q675+R675+S675+T675+U675+V675+W675+X675+Y675+Z675+AA675+AB675+AC675+AD675+AE675+AF675+AG675+AH675+AI675+AJ675</f>
        <v>0</v>
      </c>
    </row>
    <row r="676" spans="1:37" ht="78" customHeight="1" x14ac:dyDescent="0.2">
      <c r="A676" s="201"/>
      <c r="B676" s="656"/>
      <c r="C676" s="677" t="s">
        <v>742</v>
      </c>
      <c r="D676" s="679" t="s">
        <v>873</v>
      </c>
      <c r="E676" s="291">
        <v>0</v>
      </c>
      <c r="F676" s="291">
        <v>0.8</v>
      </c>
      <c r="G676" s="775"/>
      <c r="H676" s="54">
        <v>178</v>
      </c>
      <c r="I676" s="679" t="s">
        <v>1015</v>
      </c>
      <c r="J676" s="54">
        <v>0</v>
      </c>
      <c r="K676" s="105">
        <v>3</v>
      </c>
      <c r="L676" s="785"/>
      <c r="M676" s="775"/>
      <c r="N676" s="775"/>
      <c r="O676" s="778"/>
      <c r="P676" s="165" t="s">
        <v>46</v>
      </c>
      <c r="Q676" s="391">
        <v>0</v>
      </c>
      <c r="R676" s="391">
        <v>0</v>
      </c>
      <c r="S676" s="391">
        <v>0</v>
      </c>
      <c r="T676" s="391">
        <v>0</v>
      </c>
      <c r="U676" s="391">
        <v>0</v>
      </c>
      <c r="V676" s="391">
        <v>0</v>
      </c>
      <c r="W676" s="391">
        <v>0</v>
      </c>
      <c r="X676" s="391"/>
      <c r="Y676" s="391"/>
      <c r="Z676" s="391">
        <v>130000000</v>
      </c>
      <c r="AA676" s="391">
        <v>0</v>
      </c>
      <c r="AB676" s="391"/>
      <c r="AC676" s="391"/>
      <c r="AD676" s="391">
        <v>0</v>
      </c>
      <c r="AE676" s="391">
        <v>0</v>
      </c>
      <c r="AF676" s="392">
        <f>6396240+21000000</f>
        <v>27396240</v>
      </c>
      <c r="AG676" s="405"/>
      <c r="AH676" s="391">
        <v>0</v>
      </c>
      <c r="AI676" s="393"/>
      <c r="AJ676" s="393">
        <v>0</v>
      </c>
      <c r="AK676" s="391">
        <f>Q676+R676+S676+T676+U676+V676+W676+X676+Y676+Z676+AA676+AB676+AC676+AD676+AE676+AF676+AG676+AH676+AI676+AJ676</f>
        <v>157396240</v>
      </c>
    </row>
    <row r="677" spans="1:37" ht="50.25" customHeight="1" x14ac:dyDescent="0.2">
      <c r="A677" s="201"/>
      <c r="B677" s="656"/>
      <c r="C677" s="661" t="s">
        <v>742</v>
      </c>
      <c r="D677" s="655" t="s">
        <v>874</v>
      </c>
      <c r="E677" s="534" t="s">
        <v>37</v>
      </c>
      <c r="F677" s="534">
        <v>0.9</v>
      </c>
      <c r="G677" s="775"/>
      <c r="H677" s="661">
        <v>179</v>
      </c>
      <c r="I677" s="655" t="s">
        <v>875</v>
      </c>
      <c r="J677" s="661">
        <v>4</v>
      </c>
      <c r="K677" s="665">
        <v>4</v>
      </c>
      <c r="L677" s="785"/>
      <c r="M677" s="775"/>
      <c r="N677" s="775"/>
      <c r="O677" s="778"/>
      <c r="P677" s="166" t="s">
        <v>46</v>
      </c>
      <c r="Q677" s="428">
        <v>0</v>
      </c>
      <c r="R677" s="428">
        <v>0</v>
      </c>
      <c r="S677" s="428">
        <v>0</v>
      </c>
      <c r="T677" s="428">
        <v>0</v>
      </c>
      <c r="U677" s="428">
        <v>0</v>
      </c>
      <c r="V677" s="428">
        <v>0</v>
      </c>
      <c r="W677" s="428">
        <v>0</v>
      </c>
      <c r="X677" s="428"/>
      <c r="Y677" s="428"/>
      <c r="Z677" s="428">
        <v>0</v>
      </c>
      <c r="AA677" s="428">
        <v>0</v>
      </c>
      <c r="AB677" s="428"/>
      <c r="AC677" s="428"/>
      <c r="AD677" s="428">
        <v>0</v>
      </c>
      <c r="AE677" s="428">
        <v>0</v>
      </c>
      <c r="AF677" s="445">
        <v>0</v>
      </c>
      <c r="AG677" s="429"/>
      <c r="AH677" s="428">
        <v>0</v>
      </c>
      <c r="AI677" s="455"/>
      <c r="AJ677" s="455">
        <v>0</v>
      </c>
      <c r="AK677" s="428">
        <f>Q677+R677+S677+T677+U677+V677+W677+X677+Y677+Z677+AA677+AB677+AC677+AD677+AE677+AF677+AG677+AH677+AI677+AJ677</f>
        <v>0</v>
      </c>
    </row>
    <row r="678" spans="1:37" s="703" customFormat="1" ht="30" customHeight="1" x14ac:dyDescent="0.2">
      <c r="A678" s="574"/>
      <c r="B678" s="68"/>
      <c r="C678" s="146"/>
      <c r="D678" s="69"/>
      <c r="E678" s="146"/>
      <c r="F678" s="146"/>
      <c r="G678" s="55"/>
      <c r="H678" s="56"/>
      <c r="I678" s="55"/>
      <c r="J678" s="56"/>
      <c r="K678" s="132"/>
      <c r="L678" s="132"/>
      <c r="M678" s="56"/>
      <c r="N678" s="56"/>
      <c r="O678" s="55"/>
      <c r="P678" s="56"/>
      <c r="Q678" s="400">
        <f t="shared" ref="Q678:AJ678" si="168">SUM(Q675:Q677)</f>
        <v>0</v>
      </c>
      <c r="R678" s="400">
        <f t="shared" si="168"/>
        <v>0</v>
      </c>
      <c r="S678" s="400">
        <f t="shared" si="168"/>
        <v>0</v>
      </c>
      <c r="T678" s="400">
        <f t="shared" si="168"/>
        <v>0</v>
      </c>
      <c r="U678" s="400">
        <f t="shared" si="168"/>
        <v>0</v>
      </c>
      <c r="V678" s="400">
        <f t="shared" si="168"/>
        <v>0</v>
      </c>
      <c r="W678" s="400">
        <f t="shared" si="168"/>
        <v>0</v>
      </c>
      <c r="X678" s="400">
        <f t="shared" si="168"/>
        <v>0</v>
      </c>
      <c r="Y678" s="400">
        <f t="shared" si="168"/>
        <v>0</v>
      </c>
      <c r="Z678" s="400">
        <f t="shared" si="168"/>
        <v>130000000</v>
      </c>
      <c r="AA678" s="400">
        <f t="shared" si="168"/>
        <v>0</v>
      </c>
      <c r="AB678" s="400">
        <f t="shared" si="168"/>
        <v>0</v>
      </c>
      <c r="AC678" s="400">
        <f t="shared" si="168"/>
        <v>0</v>
      </c>
      <c r="AD678" s="400">
        <f t="shared" si="168"/>
        <v>0</v>
      </c>
      <c r="AE678" s="400">
        <f t="shared" si="168"/>
        <v>0</v>
      </c>
      <c r="AF678" s="400">
        <f t="shared" si="168"/>
        <v>27396240</v>
      </c>
      <c r="AG678" s="400">
        <f t="shared" si="168"/>
        <v>0</v>
      </c>
      <c r="AH678" s="400">
        <f t="shared" si="168"/>
        <v>0</v>
      </c>
      <c r="AI678" s="400">
        <f t="shared" si="168"/>
        <v>0</v>
      </c>
      <c r="AJ678" s="400">
        <f t="shared" si="168"/>
        <v>0</v>
      </c>
      <c r="AK678" s="400">
        <f t="shared" ref="AK678" si="169">SUM(AK675:AK677)</f>
        <v>157396240</v>
      </c>
    </row>
    <row r="679" spans="1:37" s="703" customFormat="1" ht="30" customHeight="1" x14ac:dyDescent="0.2">
      <c r="A679" s="574"/>
      <c r="B679" s="731"/>
      <c r="C679" s="83"/>
      <c r="D679" s="82"/>
      <c r="E679" s="83"/>
      <c r="F679" s="83"/>
      <c r="G679" s="93"/>
      <c r="H679" s="60"/>
      <c r="I679" s="59"/>
      <c r="J679" s="60"/>
      <c r="K679" s="143"/>
      <c r="L679" s="143"/>
      <c r="M679" s="60"/>
      <c r="N679" s="60"/>
      <c r="O679" s="59"/>
      <c r="P679" s="60"/>
      <c r="Q679" s="406">
        <f t="shared" ref="Q679:AK679" si="170">Q678</f>
        <v>0</v>
      </c>
      <c r="R679" s="406">
        <f t="shared" si="170"/>
        <v>0</v>
      </c>
      <c r="S679" s="406">
        <f t="shared" si="170"/>
        <v>0</v>
      </c>
      <c r="T679" s="406">
        <f t="shared" si="170"/>
        <v>0</v>
      </c>
      <c r="U679" s="406">
        <f t="shared" si="170"/>
        <v>0</v>
      </c>
      <c r="V679" s="406">
        <f t="shared" si="170"/>
        <v>0</v>
      </c>
      <c r="W679" s="406">
        <f t="shared" si="170"/>
        <v>0</v>
      </c>
      <c r="X679" s="406">
        <f t="shared" si="170"/>
        <v>0</v>
      </c>
      <c r="Y679" s="406">
        <f t="shared" si="170"/>
        <v>0</v>
      </c>
      <c r="Z679" s="406">
        <f t="shared" si="170"/>
        <v>130000000</v>
      </c>
      <c r="AA679" s="406">
        <f t="shared" si="170"/>
        <v>0</v>
      </c>
      <c r="AB679" s="406">
        <f t="shared" si="170"/>
        <v>0</v>
      </c>
      <c r="AC679" s="406">
        <f t="shared" si="170"/>
        <v>0</v>
      </c>
      <c r="AD679" s="406">
        <f t="shared" si="170"/>
        <v>0</v>
      </c>
      <c r="AE679" s="406">
        <f t="shared" si="170"/>
        <v>0</v>
      </c>
      <c r="AF679" s="406">
        <f t="shared" si="170"/>
        <v>27396240</v>
      </c>
      <c r="AG679" s="406">
        <f t="shared" si="170"/>
        <v>0</v>
      </c>
      <c r="AH679" s="406">
        <f t="shared" si="170"/>
        <v>0</v>
      </c>
      <c r="AI679" s="406">
        <f t="shared" si="170"/>
        <v>0</v>
      </c>
      <c r="AJ679" s="406">
        <f t="shared" si="170"/>
        <v>0</v>
      </c>
      <c r="AK679" s="406">
        <f t="shared" si="170"/>
        <v>157396240</v>
      </c>
    </row>
    <row r="680" spans="1:37" s="703" customFormat="1" ht="30" customHeight="1" x14ac:dyDescent="0.2">
      <c r="A680" s="62"/>
      <c r="B680" s="727"/>
      <c r="C680" s="729"/>
      <c r="D680" s="728"/>
      <c r="E680" s="729"/>
      <c r="F680" s="729"/>
      <c r="G680" s="144"/>
      <c r="H680" s="63"/>
      <c r="I680" s="62"/>
      <c r="J680" s="63"/>
      <c r="K680" s="145"/>
      <c r="L680" s="145"/>
      <c r="M680" s="63"/>
      <c r="N680" s="63"/>
      <c r="O680" s="62"/>
      <c r="P680" s="63"/>
      <c r="Q680" s="412">
        <f t="shared" ref="Q680:AK680" si="171">Q679+Q671+Q643+Q629+Q561</f>
        <v>0</v>
      </c>
      <c r="R680" s="412">
        <f t="shared" si="171"/>
        <v>0</v>
      </c>
      <c r="S680" s="412">
        <f t="shared" si="171"/>
        <v>0</v>
      </c>
      <c r="T680" s="412">
        <f t="shared" si="171"/>
        <v>0</v>
      </c>
      <c r="U680" s="412">
        <f t="shared" si="171"/>
        <v>0</v>
      </c>
      <c r="V680" s="412">
        <f t="shared" si="171"/>
        <v>0</v>
      </c>
      <c r="W680" s="412">
        <f t="shared" si="171"/>
        <v>0</v>
      </c>
      <c r="X680" s="412">
        <f t="shared" si="171"/>
        <v>4131759812</v>
      </c>
      <c r="Y680" s="412">
        <f t="shared" si="171"/>
        <v>8532619661</v>
      </c>
      <c r="Z680" s="412">
        <f t="shared" si="171"/>
        <v>22644190885</v>
      </c>
      <c r="AA680" s="412">
        <f t="shared" si="171"/>
        <v>4351775573</v>
      </c>
      <c r="AB680" s="412">
        <f t="shared" si="171"/>
        <v>0</v>
      </c>
      <c r="AC680" s="412">
        <f t="shared" si="171"/>
        <v>0</v>
      </c>
      <c r="AD680" s="412">
        <f t="shared" si="171"/>
        <v>0</v>
      </c>
      <c r="AE680" s="412">
        <f t="shared" si="171"/>
        <v>0</v>
      </c>
      <c r="AF680" s="412">
        <f t="shared" si="171"/>
        <v>968634695</v>
      </c>
      <c r="AG680" s="412">
        <f t="shared" si="171"/>
        <v>0</v>
      </c>
      <c r="AH680" s="412">
        <f t="shared" si="171"/>
        <v>0</v>
      </c>
      <c r="AI680" s="412">
        <f t="shared" si="171"/>
        <v>0</v>
      </c>
      <c r="AJ680" s="412">
        <f t="shared" si="171"/>
        <v>12607653295</v>
      </c>
      <c r="AK680" s="412">
        <f t="shared" si="171"/>
        <v>53236633921</v>
      </c>
    </row>
    <row r="681" spans="1:37" s="703" customFormat="1" ht="30" customHeight="1" x14ac:dyDescent="0.2">
      <c r="A681" s="740"/>
      <c r="B681" s="732"/>
      <c r="C681" s="733"/>
      <c r="D681" s="734"/>
      <c r="E681" s="733"/>
      <c r="F681" s="733"/>
      <c r="G681" s="541"/>
      <c r="H681" s="540"/>
      <c r="I681" s="539"/>
      <c r="J681" s="540"/>
      <c r="K681" s="542"/>
      <c r="L681" s="542"/>
      <c r="M681" s="540"/>
      <c r="N681" s="540"/>
      <c r="O681" s="539"/>
      <c r="P681" s="540"/>
      <c r="Q681" s="543">
        <f t="shared" ref="Q681:AK681" si="172">Q680</f>
        <v>0</v>
      </c>
      <c r="R681" s="543">
        <f t="shared" si="172"/>
        <v>0</v>
      </c>
      <c r="S681" s="543">
        <f t="shared" si="172"/>
        <v>0</v>
      </c>
      <c r="T681" s="543">
        <f t="shared" si="172"/>
        <v>0</v>
      </c>
      <c r="U681" s="543">
        <f t="shared" si="172"/>
        <v>0</v>
      </c>
      <c r="V681" s="543">
        <f t="shared" si="172"/>
        <v>0</v>
      </c>
      <c r="W681" s="543">
        <f t="shared" si="172"/>
        <v>0</v>
      </c>
      <c r="X681" s="543">
        <f t="shared" si="172"/>
        <v>4131759812</v>
      </c>
      <c r="Y681" s="543">
        <f t="shared" si="172"/>
        <v>8532619661</v>
      </c>
      <c r="Z681" s="543">
        <f t="shared" si="172"/>
        <v>22644190885</v>
      </c>
      <c r="AA681" s="543">
        <f t="shared" si="172"/>
        <v>4351775573</v>
      </c>
      <c r="AB681" s="543">
        <f t="shared" si="172"/>
        <v>0</v>
      </c>
      <c r="AC681" s="543">
        <f t="shared" si="172"/>
        <v>0</v>
      </c>
      <c r="AD681" s="543">
        <f t="shared" si="172"/>
        <v>0</v>
      </c>
      <c r="AE681" s="543">
        <f t="shared" si="172"/>
        <v>0</v>
      </c>
      <c r="AF681" s="543">
        <f t="shared" si="172"/>
        <v>968634695</v>
      </c>
      <c r="AG681" s="543">
        <f t="shared" si="172"/>
        <v>0</v>
      </c>
      <c r="AH681" s="543">
        <f t="shared" si="172"/>
        <v>0</v>
      </c>
      <c r="AI681" s="543">
        <f t="shared" si="172"/>
        <v>0</v>
      </c>
      <c r="AJ681" s="543">
        <f t="shared" si="172"/>
        <v>12607653295</v>
      </c>
      <c r="AK681" s="543">
        <f t="shared" si="172"/>
        <v>53236633921</v>
      </c>
    </row>
    <row r="682" spans="1:37" s="13" customFormat="1" ht="30" customHeight="1" x14ac:dyDescent="0.2">
      <c r="A682" s="834" t="s">
        <v>876</v>
      </c>
      <c r="B682" s="835"/>
      <c r="C682" s="835"/>
      <c r="D682" s="335"/>
      <c r="E682" s="335"/>
      <c r="F682" s="335"/>
      <c r="G682" s="335"/>
      <c r="H682" s="335"/>
      <c r="I682" s="335"/>
      <c r="J682" s="335"/>
      <c r="K682" s="336"/>
      <c r="L682" s="336"/>
      <c r="M682" s="335"/>
      <c r="N682" s="335"/>
      <c r="O682" s="337"/>
      <c r="P682" s="338"/>
      <c r="Q682" s="494">
        <f t="shared" ref="Q682:AK682" si="173">+Q681+Q551+Q541+Q475+Q369+Q352+Q278+Q236+Q204+Q125+Q80+Q66+Q23</f>
        <v>2963763815</v>
      </c>
      <c r="R682" s="494">
        <f t="shared" si="173"/>
        <v>3885430678</v>
      </c>
      <c r="S682" s="494">
        <f t="shared" si="173"/>
        <v>10961840365</v>
      </c>
      <c r="T682" s="494">
        <f t="shared" si="173"/>
        <v>7014956012.3800001</v>
      </c>
      <c r="U682" s="494">
        <f t="shared" si="173"/>
        <v>293558736</v>
      </c>
      <c r="V682" s="494">
        <f t="shared" si="173"/>
        <v>893940463</v>
      </c>
      <c r="W682" s="494">
        <f t="shared" si="173"/>
        <v>3571563200</v>
      </c>
      <c r="X682" s="494">
        <f t="shared" si="173"/>
        <v>4131759812</v>
      </c>
      <c r="Y682" s="494">
        <f t="shared" si="173"/>
        <v>8532619661</v>
      </c>
      <c r="Z682" s="494">
        <f t="shared" si="173"/>
        <v>22644190885</v>
      </c>
      <c r="AA682" s="494">
        <f t="shared" si="173"/>
        <v>4351775573</v>
      </c>
      <c r="AB682" s="494">
        <f t="shared" si="173"/>
        <v>146517165276</v>
      </c>
      <c r="AC682" s="494">
        <f t="shared" si="173"/>
        <v>26281000000</v>
      </c>
      <c r="AD682" s="494">
        <f t="shared" si="173"/>
        <v>9535927847</v>
      </c>
      <c r="AE682" s="494">
        <f t="shared" si="173"/>
        <v>2525108749</v>
      </c>
      <c r="AF682" s="494">
        <f t="shared" si="173"/>
        <v>26262356139</v>
      </c>
      <c r="AG682" s="494">
        <f t="shared" si="173"/>
        <v>0</v>
      </c>
      <c r="AH682" s="494">
        <f t="shared" si="173"/>
        <v>914175830</v>
      </c>
      <c r="AI682" s="494">
        <f t="shared" si="173"/>
        <v>10629232919</v>
      </c>
      <c r="AJ682" s="494">
        <f t="shared" si="173"/>
        <v>15041166447</v>
      </c>
      <c r="AK682" s="494">
        <f t="shared" si="173"/>
        <v>306951532407.38</v>
      </c>
    </row>
    <row r="683" spans="1:37" s="13" customFormat="1" ht="30" customHeight="1" x14ac:dyDescent="0.2">
      <c r="A683" s="836"/>
      <c r="B683" s="837"/>
      <c r="C683" s="837"/>
      <c r="D683" s="837"/>
      <c r="E683" s="837"/>
      <c r="F683" s="837"/>
      <c r="G683" s="837"/>
      <c r="H683" s="753"/>
      <c r="I683" s="753"/>
      <c r="J683" s="753"/>
      <c r="K683" s="754"/>
      <c r="L683" s="754"/>
      <c r="M683" s="753"/>
      <c r="N683" s="753"/>
      <c r="O683" s="753"/>
      <c r="P683" s="755"/>
      <c r="Q683" s="756"/>
      <c r="R683" s="756"/>
      <c r="S683" s="756"/>
      <c r="T683" s="756"/>
      <c r="U683" s="756"/>
      <c r="V683" s="756"/>
      <c r="W683" s="756"/>
      <c r="X683" s="756"/>
      <c r="Y683" s="756"/>
      <c r="Z683" s="756"/>
      <c r="AA683" s="756"/>
      <c r="AB683" s="756"/>
      <c r="AC683" s="756"/>
      <c r="AD683" s="756"/>
      <c r="AE683" s="756"/>
      <c r="AF683" s="756"/>
      <c r="AG683" s="756"/>
      <c r="AH683" s="756"/>
      <c r="AI683" s="756"/>
      <c r="AJ683" s="756"/>
      <c r="AK683" s="756"/>
    </row>
    <row r="684" spans="1:37" ht="30" customHeight="1" x14ac:dyDescent="0.2">
      <c r="A684" s="28" t="s">
        <v>877</v>
      </c>
      <c r="B684" s="29"/>
      <c r="C684" s="30"/>
      <c r="D684" s="29"/>
      <c r="E684" s="29"/>
      <c r="F684" s="29"/>
      <c r="G684" s="29"/>
      <c r="H684" s="30"/>
      <c r="I684" s="29"/>
      <c r="J684" s="29"/>
      <c r="K684" s="258"/>
      <c r="L684" s="258"/>
      <c r="M684" s="29"/>
      <c r="N684" s="30"/>
      <c r="O684" s="29"/>
      <c r="P684" s="30"/>
      <c r="Q684" s="459"/>
      <c r="R684" s="459"/>
      <c r="S684" s="459"/>
      <c r="T684" s="459"/>
      <c r="U684" s="459"/>
      <c r="V684" s="459"/>
      <c r="W684" s="459"/>
      <c r="X684" s="459"/>
      <c r="Y684" s="459"/>
      <c r="Z684" s="459"/>
      <c r="AA684" s="459"/>
      <c r="AB684" s="459"/>
      <c r="AC684" s="459"/>
      <c r="AD684" s="459"/>
      <c r="AE684" s="459"/>
      <c r="AF684" s="460"/>
      <c r="AG684" s="461"/>
      <c r="AH684" s="459"/>
      <c r="AI684" s="459"/>
      <c r="AJ684" s="459"/>
      <c r="AK684" s="594"/>
    </row>
    <row r="685" spans="1:37" ht="30" customHeight="1" x14ac:dyDescent="0.2">
      <c r="A685" s="738">
        <v>3</v>
      </c>
      <c r="B685" s="31" t="s">
        <v>448</v>
      </c>
      <c r="C685" s="32"/>
      <c r="D685" s="31"/>
      <c r="E685" s="31"/>
      <c r="F685" s="31"/>
      <c r="G685" s="31"/>
      <c r="H685" s="32"/>
      <c r="I685" s="31"/>
      <c r="J685" s="31"/>
      <c r="K685" s="120"/>
      <c r="L685" s="120"/>
      <c r="M685" s="31"/>
      <c r="N685" s="32"/>
      <c r="O685" s="31"/>
      <c r="P685" s="31"/>
      <c r="Q685" s="421"/>
      <c r="R685" s="421"/>
      <c r="S685" s="421"/>
      <c r="T685" s="421"/>
      <c r="U685" s="421"/>
      <c r="V685" s="421"/>
      <c r="W685" s="421"/>
      <c r="X685" s="421"/>
      <c r="Y685" s="421"/>
      <c r="Z685" s="421"/>
      <c r="AA685" s="421"/>
      <c r="AB685" s="421"/>
      <c r="AC685" s="421"/>
      <c r="AD685" s="421"/>
      <c r="AE685" s="421"/>
      <c r="AF685" s="422"/>
      <c r="AG685" s="421"/>
      <c r="AH685" s="421"/>
      <c r="AI685" s="421"/>
      <c r="AJ685" s="421"/>
      <c r="AK685" s="595"/>
    </row>
    <row r="686" spans="1:37" ht="30" customHeight="1" x14ac:dyDescent="0.2">
      <c r="A686" s="73"/>
      <c r="B686" s="121">
        <v>20</v>
      </c>
      <c r="C686" s="37" t="s">
        <v>878</v>
      </c>
      <c r="D686" s="36"/>
      <c r="E686" s="36"/>
      <c r="F686" s="36"/>
      <c r="G686" s="36"/>
      <c r="H686" s="37"/>
      <c r="I686" s="36"/>
      <c r="J686" s="36"/>
      <c r="K686" s="122"/>
      <c r="L686" s="122"/>
      <c r="M686" s="36"/>
      <c r="N686" s="37"/>
      <c r="O686" s="36"/>
      <c r="P686" s="36"/>
      <c r="Q686" s="402"/>
      <c r="R686" s="402"/>
      <c r="S686" s="402"/>
      <c r="T686" s="402"/>
      <c r="U686" s="402"/>
      <c r="V686" s="402"/>
      <c r="W686" s="402"/>
      <c r="X686" s="402"/>
      <c r="Y686" s="402"/>
      <c r="Z686" s="402"/>
      <c r="AA686" s="402"/>
      <c r="AB686" s="402"/>
      <c r="AC686" s="402"/>
      <c r="AD686" s="402"/>
      <c r="AE686" s="402"/>
      <c r="AF686" s="403"/>
      <c r="AG686" s="402"/>
      <c r="AH686" s="402"/>
      <c r="AI686" s="402"/>
      <c r="AJ686" s="402"/>
      <c r="AK686" s="493"/>
    </row>
    <row r="687" spans="1:37" ht="30" customHeight="1" x14ac:dyDescent="0.2">
      <c r="A687" s="39"/>
      <c r="B687" s="73"/>
      <c r="C687" s="661"/>
      <c r="D687" s="655"/>
      <c r="E687" s="661"/>
      <c r="F687" s="661"/>
      <c r="G687" s="215">
        <v>68</v>
      </c>
      <c r="H687" s="77" t="s">
        <v>879</v>
      </c>
      <c r="I687" s="77"/>
      <c r="J687" s="77"/>
      <c r="K687" s="124"/>
      <c r="L687" s="124"/>
      <c r="M687" s="77"/>
      <c r="N687" s="169"/>
      <c r="O687" s="77"/>
      <c r="P687" s="77"/>
      <c r="Q687" s="263"/>
      <c r="R687" s="263"/>
      <c r="S687" s="263"/>
      <c r="T687" s="263"/>
      <c r="U687" s="263"/>
      <c r="V687" s="263"/>
      <c r="W687" s="263"/>
      <c r="X687" s="263"/>
      <c r="Y687" s="263"/>
      <c r="Z687" s="263"/>
      <c r="AA687" s="263"/>
      <c r="AB687" s="263"/>
      <c r="AC687" s="263"/>
      <c r="AD687" s="263"/>
      <c r="AE687" s="263"/>
      <c r="AF687" s="404"/>
      <c r="AG687" s="263"/>
      <c r="AH687" s="263"/>
      <c r="AI687" s="263"/>
      <c r="AJ687" s="263"/>
      <c r="AK687" s="492"/>
    </row>
    <row r="688" spans="1:37" ht="45" customHeight="1" x14ac:dyDescent="0.2">
      <c r="A688" s="39"/>
      <c r="B688" s="39"/>
      <c r="C688" s="775">
        <v>36</v>
      </c>
      <c r="D688" s="778" t="s">
        <v>880</v>
      </c>
      <c r="E688" s="838">
        <v>0.4</v>
      </c>
      <c r="F688" s="794">
        <v>0.6</v>
      </c>
      <c r="G688" s="40"/>
      <c r="H688" s="677">
        <v>202</v>
      </c>
      <c r="I688" s="679" t="s">
        <v>881</v>
      </c>
      <c r="J688" s="41">
        <v>23</v>
      </c>
      <c r="K688" s="42">
        <v>23</v>
      </c>
      <c r="L688" s="784">
        <v>201700360036</v>
      </c>
      <c r="M688" s="41" t="s">
        <v>882</v>
      </c>
      <c r="N688" s="832" t="s">
        <v>883</v>
      </c>
      <c r="O688" s="839" t="s">
        <v>884</v>
      </c>
      <c r="P688" s="41" t="s">
        <v>46</v>
      </c>
      <c r="Q688" s="391">
        <v>0</v>
      </c>
      <c r="R688" s="391">
        <v>0</v>
      </c>
      <c r="S688" s="391">
        <v>0</v>
      </c>
      <c r="T688" s="391">
        <v>0</v>
      </c>
      <c r="U688" s="391">
        <v>0</v>
      </c>
      <c r="V688" s="391">
        <v>0</v>
      </c>
      <c r="W688" s="391">
        <v>0</v>
      </c>
      <c r="X688" s="391"/>
      <c r="Y688" s="391"/>
      <c r="Z688" s="391">
        <v>0</v>
      </c>
      <c r="AA688" s="391">
        <v>0</v>
      </c>
      <c r="AB688" s="391"/>
      <c r="AC688" s="391"/>
      <c r="AD688" s="391">
        <v>0</v>
      </c>
      <c r="AE688" s="391">
        <v>0</v>
      </c>
      <c r="AF688" s="364">
        <v>331574677</v>
      </c>
      <c r="AG688" s="12">
        <f>230600000+600000000</f>
        <v>830600000</v>
      </c>
      <c r="AH688" s="392"/>
      <c r="AI688" s="394"/>
      <c r="AJ688" s="393">
        <v>12000000</v>
      </c>
      <c r="AK688" s="391">
        <f>Q688+R688+S688+T688+U688+V688+W688+X688+Y688+Z688+AA688+AB688+AC688+AD688+AE688+AF688+AG688+AH688+AI688+AJ688</f>
        <v>1174174677</v>
      </c>
    </row>
    <row r="689" spans="1:37" ht="72.75" customHeight="1" x14ac:dyDescent="0.2">
      <c r="A689" s="39"/>
      <c r="B689" s="39"/>
      <c r="C689" s="775"/>
      <c r="D689" s="778"/>
      <c r="E689" s="838"/>
      <c r="F689" s="794"/>
      <c r="G689" s="46"/>
      <c r="H689" s="677">
        <v>203</v>
      </c>
      <c r="I689" s="679" t="s">
        <v>885</v>
      </c>
      <c r="J689" s="41">
        <v>20</v>
      </c>
      <c r="K689" s="42">
        <v>20</v>
      </c>
      <c r="L689" s="786"/>
      <c r="M689" s="41" t="s">
        <v>882</v>
      </c>
      <c r="N689" s="831"/>
      <c r="O689" s="840"/>
      <c r="P689" s="41" t="s">
        <v>46</v>
      </c>
      <c r="Q689" s="391">
        <v>0</v>
      </c>
      <c r="R689" s="391">
        <v>0</v>
      </c>
      <c r="S689" s="391">
        <v>0</v>
      </c>
      <c r="T689" s="391">
        <v>0</v>
      </c>
      <c r="U689" s="391">
        <v>0</v>
      </c>
      <c r="V689" s="391">
        <v>0</v>
      </c>
      <c r="W689" s="391">
        <v>0</v>
      </c>
      <c r="X689" s="391"/>
      <c r="Y689" s="391"/>
      <c r="Z689" s="391">
        <v>0</v>
      </c>
      <c r="AA689" s="391">
        <v>0</v>
      </c>
      <c r="AB689" s="391"/>
      <c r="AC689" s="391"/>
      <c r="AD689" s="391">
        <v>0</v>
      </c>
      <c r="AE689" s="391">
        <v>0</v>
      </c>
      <c r="AF689" s="443">
        <f>168000000</f>
        <v>168000000</v>
      </c>
      <c r="AG689" s="392"/>
      <c r="AH689" s="391">
        <v>0</v>
      </c>
      <c r="AI689" s="393"/>
      <c r="AJ689" s="393">
        <v>0</v>
      </c>
      <c r="AK689" s="391">
        <f>Q689+R689+S689+T689+U689+V689+W689+X689+Y689+Z689+AA689+AB689+AC689+AD689+AE689+AF689+AG689+AH689+AI689+AJ689</f>
        <v>168000000</v>
      </c>
    </row>
    <row r="690" spans="1:37" ht="30" customHeight="1" x14ac:dyDescent="0.2">
      <c r="A690" s="39"/>
      <c r="B690" s="39"/>
      <c r="C690" s="662"/>
      <c r="D690" s="657"/>
      <c r="E690" s="662"/>
      <c r="F690" s="662"/>
      <c r="G690" s="55"/>
      <c r="H690" s="56"/>
      <c r="I690" s="55"/>
      <c r="J690" s="57"/>
      <c r="K690" s="109"/>
      <c r="L690" s="109"/>
      <c r="M690" s="57"/>
      <c r="N690" s="57"/>
      <c r="O690" s="184"/>
      <c r="P690" s="192">
        <f t="shared" ref="P690:AK690" si="174">SUM(P688:P689)</f>
        <v>0</v>
      </c>
      <c r="Q690" s="463">
        <f t="shared" si="174"/>
        <v>0</v>
      </c>
      <c r="R690" s="463">
        <f t="shared" si="174"/>
        <v>0</v>
      </c>
      <c r="S690" s="463">
        <f t="shared" si="174"/>
        <v>0</v>
      </c>
      <c r="T690" s="463">
        <f t="shared" si="174"/>
        <v>0</v>
      </c>
      <c r="U690" s="463">
        <f t="shared" si="174"/>
        <v>0</v>
      </c>
      <c r="V690" s="463">
        <f t="shared" si="174"/>
        <v>0</v>
      </c>
      <c r="W690" s="463">
        <f t="shared" si="174"/>
        <v>0</v>
      </c>
      <c r="X690" s="463">
        <f t="shared" si="174"/>
        <v>0</v>
      </c>
      <c r="Y690" s="463">
        <f t="shared" si="174"/>
        <v>0</v>
      </c>
      <c r="Z690" s="463">
        <f t="shared" si="174"/>
        <v>0</v>
      </c>
      <c r="AA690" s="463">
        <f t="shared" si="174"/>
        <v>0</v>
      </c>
      <c r="AB690" s="463">
        <f t="shared" si="174"/>
        <v>0</v>
      </c>
      <c r="AC690" s="463">
        <f t="shared" si="174"/>
        <v>0</v>
      </c>
      <c r="AD690" s="463">
        <f t="shared" si="174"/>
        <v>0</v>
      </c>
      <c r="AE690" s="463">
        <f t="shared" si="174"/>
        <v>0</v>
      </c>
      <c r="AF690" s="463">
        <f t="shared" si="174"/>
        <v>499574677</v>
      </c>
      <c r="AG690" s="463">
        <f t="shared" si="174"/>
        <v>830600000</v>
      </c>
      <c r="AH690" s="463">
        <f t="shared" si="174"/>
        <v>0</v>
      </c>
      <c r="AI690" s="463">
        <f t="shared" si="174"/>
        <v>0</v>
      </c>
      <c r="AJ690" s="463">
        <f t="shared" si="174"/>
        <v>12000000</v>
      </c>
      <c r="AK690" s="463">
        <f t="shared" si="174"/>
        <v>1342174677</v>
      </c>
    </row>
    <row r="691" spans="1:37" ht="30" customHeight="1" x14ac:dyDescent="0.2">
      <c r="A691" s="39"/>
      <c r="B691" s="39"/>
      <c r="C691" s="146"/>
      <c r="D691" s="69"/>
      <c r="E691" s="146"/>
      <c r="F691" s="146"/>
      <c r="G691" s="69"/>
      <c r="H691" s="146"/>
      <c r="I691" s="69"/>
      <c r="J691" s="146"/>
      <c r="K691" s="147"/>
      <c r="L691" s="261"/>
      <c r="M691" s="390"/>
      <c r="N691" s="390"/>
      <c r="O691" s="99"/>
      <c r="P691" s="146"/>
      <c r="Q691" s="395"/>
      <c r="R691" s="396"/>
      <c r="S691" s="395"/>
      <c r="T691" s="395"/>
      <c r="U691" s="395"/>
      <c r="V691" s="395"/>
      <c r="W691" s="395"/>
      <c r="X691" s="395"/>
      <c r="Y691" s="395"/>
      <c r="Z691" s="395"/>
      <c r="AA691" s="395"/>
      <c r="AB691" s="396"/>
      <c r="AC691" s="396"/>
      <c r="AD691" s="395"/>
      <c r="AE691" s="395"/>
      <c r="AF691" s="397"/>
      <c r="AG691" s="398"/>
      <c r="AH691" s="395"/>
      <c r="AI691" s="395"/>
      <c r="AJ691" s="396"/>
      <c r="AK691" s="391"/>
    </row>
    <row r="692" spans="1:37" ht="30" customHeight="1" x14ac:dyDescent="0.2">
      <c r="A692" s="39"/>
      <c r="B692" s="39"/>
      <c r="C692" s="661"/>
      <c r="D692" s="655"/>
      <c r="E692" s="661"/>
      <c r="F692" s="661"/>
      <c r="G692" s="215">
        <v>69</v>
      </c>
      <c r="H692" s="77" t="s">
        <v>886</v>
      </c>
      <c r="I692" s="77"/>
      <c r="J692" s="77"/>
      <c r="K692" s="124"/>
      <c r="L692" s="124"/>
      <c r="M692" s="77"/>
      <c r="N692" s="169"/>
      <c r="O692" s="77"/>
      <c r="P692" s="77"/>
      <c r="Q692" s="263"/>
      <c r="R692" s="263"/>
      <c r="S692" s="263"/>
      <c r="T692" s="263"/>
      <c r="U692" s="263"/>
      <c r="V692" s="263"/>
      <c r="W692" s="263"/>
      <c r="X692" s="263"/>
      <c r="Y692" s="263"/>
      <c r="Z692" s="263"/>
      <c r="AA692" s="263"/>
      <c r="AB692" s="263"/>
      <c r="AC692" s="263"/>
      <c r="AD692" s="263"/>
      <c r="AE692" s="263"/>
      <c r="AF692" s="404"/>
      <c r="AG692" s="263"/>
      <c r="AH692" s="263"/>
      <c r="AI692" s="263"/>
      <c r="AJ692" s="263"/>
      <c r="AK692" s="492"/>
    </row>
    <row r="693" spans="1:37" ht="57.75" customHeight="1" x14ac:dyDescent="0.2">
      <c r="A693" s="39"/>
      <c r="B693" s="39"/>
      <c r="C693" s="650">
        <v>36</v>
      </c>
      <c r="D693" s="656" t="s">
        <v>880</v>
      </c>
      <c r="E693" s="659">
        <v>0.4</v>
      </c>
      <c r="F693" s="660">
        <v>0.6</v>
      </c>
      <c r="G693" s="679"/>
      <c r="H693" s="54">
        <v>204</v>
      </c>
      <c r="I693" s="679" t="s">
        <v>887</v>
      </c>
      <c r="J693" s="41">
        <v>13</v>
      </c>
      <c r="K693" s="42">
        <v>13</v>
      </c>
      <c r="L693" s="43">
        <v>201700360036</v>
      </c>
      <c r="M693" s="41" t="s">
        <v>882</v>
      </c>
      <c r="N693" s="652" t="s">
        <v>883</v>
      </c>
      <c r="O693" s="44" t="s">
        <v>884</v>
      </c>
      <c r="P693" s="41" t="s">
        <v>46</v>
      </c>
      <c r="Q693" s="391">
        <v>0</v>
      </c>
      <c r="R693" s="391">
        <v>0</v>
      </c>
      <c r="S693" s="391">
        <v>0</v>
      </c>
      <c r="T693" s="391">
        <v>0</v>
      </c>
      <c r="U693" s="391">
        <v>0</v>
      </c>
      <c r="V693" s="391">
        <v>0</v>
      </c>
      <c r="W693" s="391">
        <v>0</v>
      </c>
      <c r="X693" s="391"/>
      <c r="Y693" s="391"/>
      <c r="Z693" s="391">
        <v>0</v>
      </c>
      <c r="AA693" s="391">
        <v>0</v>
      </c>
      <c r="AB693" s="391"/>
      <c r="AC693" s="391"/>
      <c r="AD693" s="391">
        <v>0</v>
      </c>
      <c r="AE693" s="391">
        <v>0</v>
      </c>
      <c r="AF693" s="443">
        <v>110200000</v>
      </c>
      <c r="AG693" s="364">
        <v>60000000</v>
      </c>
      <c r="AH693" s="391">
        <v>0</v>
      </c>
      <c r="AI693" s="393"/>
      <c r="AJ693" s="393">
        <v>0</v>
      </c>
      <c r="AK693" s="391">
        <f>Q693+R693+S693+T693+U693+V693+W693+X693+Y693+Z693+AA693+AB693+AC693+AD693+AE693+AF693+AG693+AH693+AI693+AJ693</f>
        <v>170200000</v>
      </c>
    </row>
    <row r="694" spans="1:37" ht="30" customHeight="1" x14ac:dyDescent="0.2">
      <c r="A694" s="39"/>
      <c r="B694" s="39"/>
      <c r="C694" s="662"/>
      <c r="D694" s="657"/>
      <c r="E694" s="662"/>
      <c r="F694" s="662"/>
      <c r="G694" s="55"/>
      <c r="H694" s="56"/>
      <c r="I694" s="55"/>
      <c r="J694" s="57"/>
      <c r="K694" s="109"/>
      <c r="L694" s="109"/>
      <c r="M694" s="57"/>
      <c r="N694" s="57"/>
      <c r="O694" s="184"/>
      <c r="P694" s="57"/>
      <c r="Q694" s="400">
        <f t="shared" ref="Q694:AK694" si="175">SUM(Q693)</f>
        <v>0</v>
      </c>
      <c r="R694" s="400">
        <f t="shared" ref="R694" si="176">SUM(R693)</f>
        <v>0</v>
      </c>
      <c r="S694" s="400">
        <f t="shared" si="175"/>
        <v>0</v>
      </c>
      <c r="T694" s="400">
        <f t="shared" si="175"/>
        <v>0</v>
      </c>
      <c r="U694" s="400">
        <f t="shared" si="175"/>
        <v>0</v>
      </c>
      <c r="V694" s="400">
        <f t="shared" si="175"/>
        <v>0</v>
      </c>
      <c r="W694" s="400">
        <f t="shared" si="175"/>
        <v>0</v>
      </c>
      <c r="X694" s="400"/>
      <c r="Y694" s="400"/>
      <c r="Z694" s="400">
        <f t="shared" si="175"/>
        <v>0</v>
      </c>
      <c r="AA694" s="400">
        <f t="shared" si="175"/>
        <v>0</v>
      </c>
      <c r="AB694" s="400">
        <f t="shared" si="175"/>
        <v>0</v>
      </c>
      <c r="AC694" s="400">
        <f t="shared" si="175"/>
        <v>0</v>
      </c>
      <c r="AD694" s="400">
        <f t="shared" si="175"/>
        <v>0</v>
      </c>
      <c r="AE694" s="400">
        <f t="shared" si="175"/>
        <v>0</v>
      </c>
      <c r="AF694" s="463">
        <f t="shared" si="175"/>
        <v>110200000</v>
      </c>
      <c r="AG694" s="463">
        <f t="shared" si="175"/>
        <v>60000000</v>
      </c>
      <c r="AH694" s="463">
        <f t="shared" si="175"/>
        <v>0</v>
      </c>
      <c r="AI694" s="463">
        <f t="shared" si="175"/>
        <v>0</v>
      </c>
      <c r="AJ694" s="463">
        <f t="shared" si="175"/>
        <v>0</v>
      </c>
      <c r="AK694" s="463">
        <f t="shared" si="175"/>
        <v>170200000</v>
      </c>
    </row>
    <row r="695" spans="1:37" ht="30" customHeight="1" x14ac:dyDescent="0.2">
      <c r="A695" s="39"/>
      <c r="B695" s="39"/>
      <c r="C695" s="146"/>
      <c r="D695" s="69"/>
      <c r="E695" s="146"/>
      <c r="F695" s="146"/>
      <c r="G695" s="69"/>
      <c r="H695" s="146"/>
      <c r="I695" s="69"/>
      <c r="J695" s="146"/>
      <c r="K695" s="147"/>
      <c r="L695" s="261"/>
      <c r="M695" s="390"/>
      <c r="N695" s="390"/>
      <c r="O695" s="99"/>
      <c r="P695" s="146"/>
      <c r="Q695" s="395"/>
      <c r="R695" s="395"/>
      <c r="S695" s="395"/>
      <c r="T695" s="395"/>
      <c r="U695" s="395"/>
      <c r="V695" s="395"/>
      <c r="W695" s="395"/>
      <c r="X695" s="395"/>
      <c r="Y695" s="395"/>
      <c r="Z695" s="395"/>
      <c r="AA695" s="395"/>
      <c r="AB695" s="396"/>
      <c r="AC695" s="396"/>
      <c r="AD695" s="395"/>
      <c r="AE695" s="395"/>
      <c r="AF695" s="397"/>
      <c r="AG695" s="398"/>
      <c r="AH695" s="395"/>
      <c r="AI695" s="395"/>
      <c r="AJ695" s="396"/>
      <c r="AK695" s="391"/>
    </row>
    <row r="696" spans="1:37" ht="30" customHeight="1" x14ac:dyDescent="0.2">
      <c r="A696" s="39"/>
      <c r="B696" s="39"/>
      <c r="C696" s="661"/>
      <c r="D696" s="655"/>
      <c r="E696" s="661"/>
      <c r="F696" s="661"/>
      <c r="G696" s="215">
        <v>70</v>
      </c>
      <c r="H696" s="76" t="s">
        <v>888</v>
      </c>
      <c r="I696" s="76"/>
      <c r="J696" s="76"/>
      <c r="K696" s="331"/>
      <c r="L696" s="331"/>
      <c r="M696" s="76"/>
      <c r="N696" s="169"/>
      <c r="O696" s="76"/>
      <c r="P696" s="76"/>
      <c r="Q696" s="263"/>
      <c r="R696" s="263"/>
      <c r="S696" s="263"/>
      <c r="T696" s="263"/>
      <c r="U696" s="263"/>
      <c r="V696" s="263"/>
      <c r="W696" s="263"/>
      <c r="X696" s="263"/>
      <c r="Y696" s="263"/>
      <c r="Z696" s="263"/>
      <c r="AA696" s="263"/>
      <c r="AB696" s="263"/>
      <c r="AC696" s="263"/>
      <c r="AD696" s="263"/>
      <c r="AE696" s="263"/>
      <c r="AF696" s="404"/>
      <c r="AG696" s="263"/>
      <c r="AH696" s="263"/>
      <c r="AI696" s="263"/>
      <c r="AJ696" s="263"/>
      <c r="AK696" s="492"/>
    </row>
    <row r="697" spans="1:37" ht="51" customHeight="1" x14ac:dyDescent="0.2">
      <c r="A697" s="39"/>
      <c r="B697" s="39"/>
      <c r="C697" s="650">
        <v>36</v>
      </c>
      <c r="D697" s="656" t="s">
        <v>880</v>
      </c>
      <c r="E697" s="659">
        <v>0.4</v>
      </c>
      <c r="F697" s="660">
        <v>0.6</v>
      </c>
      <c r="G697" s="679"/>
      <c r="H697" s="54">
        <v>205</v>
      </c>
      <c r="I697" s="679" t="s">
        <v>889</v>
      </c>
      <c r="J697" s="41">
        <v>4</v>
      </c>
      <c r="K697" s="42">
        <v>1</v>
      </c>
      <c r="L697" s="43">
        <v>201700360037</v>
      </c>
      <c r="M697" s="41" t="s">
        <v>882</v>
      </c>
      <c r="N697" s="652" t="s">
        <v>890</v>
      </c>
      <c r="O697" s="44" t="s">
        <v>891</v>
      </c>
      <c r="P697" s="41" t="s">
        <v>61</v>
      </c>
      <c r="Q697" s="391">
        <v>0</v>
      </c>
      <c r="R697" s="391">
        <v>0</v>
      </c>
      <c r="S697" s="391">
        <v>0</v>
      </c>
      <c r="T697" s="391">
        <v>0</v>
      </c>
      <c r="U697" s="391">
        <v>0</v>
      </c>
      <c r="V697" s="391">
        <v>0</v>
      </c>
      <c r="W697" s="391">
        <v>0</v>
      </c>
      <c r="X697" s="391"/>
      <c r="Y697" s="391"/>
      <c r="Z697" s="391">
        <v>0</v>
      </c>
      <c r="AA697" s="391">
        <v>0</v>
      </c>
      <c r="AB697" s="391"/>
      <c r="AC697" s="391"/>
      <c r="AD697" s="391">
        <v>0</v>
      </c>
      <c r="AE697" s="391">
        <v>0</v>
      </c>
      <c r="AF697" s="364">
        <v>80000000</v>
      </c>
      <c r="AG697" s="12">
        <f>131000000+111879742</f>
        <v>242879742</v>
      </c>
      <c r="AH697" s="391">
        <v>0</v>
      </c>
      <c r="AI697" s="393"/>
      <c r="AJ697" s="364">
        <v>97227642</v>
      </c>
      <c r="AK697" s="391">
        <f>Q697+R697+S697+T697+U697+V697+W697+X697+Y697+Z697+AA697+AB697+AC697+AD697+AE697+AF697+AG697+AH697+AI697+AJ697</f>
        <v>420107384</v>
      </c>
    </row>
    <row r="698" spans="1:37" ht="30" customHeight="1" x14ac:dyDescent="0.2">
      <c r="A698" s="39"/>
      <c r="B698" s="39"/>
      <c r="C698" s="662"/>
      <c r="D698" s="657"/>
      <c r="E698" s="662"/>
      <c r="F698" s="662"/>
      <c r="G698" s="55"/>
      <c r="H698" s="56"/>
      <c r="I698" s="55"/>
      <c r="J698" s="57"/>
      <c r="K698" s="109"/>
      <c r="L698" s="109"/>
      <c r="M698" s="57"/>
      <c r="N698" s="57"/>
      <c r="O698" s="184"/>
      <c r="P698" s="57"/>
      <c r="Q698" s="400">
        <f t="shared" ref="Q698:AK698" si="177">SUM(Q697)</f>
        <v>0</v>
      </c>
      <c r="R698" s="400">
        <f t="shared" ref="R698" si="178">SUM(R697)</f>
        <v>0</v>
      </c>
      <c r="S698" s="400">
        <f t="shared" si="177"/>
        <v>0</v>
      </c>
      <c r="T698" s="400">
        <f t="shared" si="177"/>
        <v>0</v>
      </c>
      <c r="U698" s="400">
        <f t="shared" si="177"/>
        <v>0</v>
      </c>
      <c r="V698" s="400">
        <f t="shared" si="177"/>
        <v>0</v>
      </c>
      <c r="W698" s="400">
        <f t="shared" si="177"/>
        <v>0</v>
      </c>
      <c r="X698" s="400"/>
      <c r="Y698" s="400"/>
      <c r="Z698" s="400">
        <f t="shared" si="177"/>
        <v>0</v>
      </c>
      <c r="AA698" s="400">
        <f t="shared" si="177"/>
        <v>0</v>
      </c>
      <c r="AB698" s="400">
        <f t="shared" si="177"/>
        <v>0</v>
      </c>
      <c r="AC698" s="400">
        <f t="shared" si="177"/>
        <v>0</v>
      </c>
      <c r="AD698" s="400">
        <f t="shared" si="177"/>
        <v>0</v>
      </c>
      <c r="AE698" s="400">
        <f t="shared" si="177"/>
        <v>0</v>
      </c>
      <c r="AF698" s="463">
        <f t="shared" si="177"/>
        <v>80000000</v>
      </c>
      <c r="AG698" s="463">
        <f t="shared" si="177"/>
        <v>242879742</v>
      </c>
      <c r="AH698" s="463">
        <f t="shared" si="177"/>
        <v>0</v>
      </c>
      <c r="AI698" s="463">
        <f t="shared" si="177"/>
        <v>0</v>
      </c>
      <c r="AJ698" s="463">
        <f t="shared" si="177"/>
        <v>97227642</v>
      </c>
      <c r="AK698" s="463">
        <f t="shared" si="177"/>
        <v>420107384</v>
      </c>
    </row>
    <row r="699" spans="1:37" ht="30" customHeight="1" x14ac:dyDescent="0.2">
      <c r="A699" s="39"/>
      <c r="B699" s="39"/>
      <c r="C699" s="146"/>
      <c r="D699" s="69"/>
      <c r="E699" s="146"/>
      <c r="F699" s="146"/>
      <c r="G699" s="69"/>
      <c r="H699" s="146"/>
      <c r="I699" s="69"/>
      <c r="J699" s="146"/>
      <c r="K699" s="147"/>
      <c r="L699" s="261"/>
      <c r="M699" s="390"/>
      <c r="N699" s="390"/>
      <c r="O699" s="99"/>
      <c r="P699" s="146"/>
      <c r="Q699" s="395"/>
      <c r="R699" s="395"/>
      <c r="S699" s="395"/>
      <c r="T699" s="395"/>
      <c r="U699" s="395"/>
      <c r="V699" s="395"/>
      <c r="W699" s="395"/>
      <c r="X699" s="395"/>
      <c r="Y699" s="395"/>
      <c r="Z699" s="395"/>
      <c r="AA699" s="395"/>
      <c r="AB699" s="396"/>
      <c r="AC699" s="396"/>
      <c r="AD699" s="395"/>
      <c r="AE699" s="395"/>
      <c r="AF699" s="397"/>
      <c r="AG699" s="398"/>
      <c r="AH699" s="395"/>
      <c r="AI699" s="395"/>
      <c r="AJ699" s="395"/>
      <c r="AK699" s="391"/>
    </row>
    <row r="700" spans="1:37" ht="30" customHeight="1" x14ac:dyDescent="0.2">
      <c r="A700" s="39"/>
      <c r="B700" s="39"/>
      <c r="C700" s="661"/>
      <c r="D700" s="655"/>
      <c r="E700" s="661"/>
      <c r="F700" s="661"/>
      <c r="G700" s="215">
        <v>71</v>
      </c>
      <c r="H700" s="77" t="s">
        <v>892</v>
      </c>
      <c r="I700" s="77"/>
      <c r="J700" s="77"/>
      <c r="K700" s="124"/>
      <c r="L700" s="124"/>
      <c r="M700" s="77"/>
      <c r="N700" s="169"/>
      <c r="O700" s="77"/>
      <c r="P700" s="77"/>
      <c r="Q700" s="263"/>
      <c r="R700" s="263"/>
      <c r="S700" s="263"/>
      <c r="T700" s="263"/>
      <c r="U700" s="263"/>
      <c r="V700" s="263"/>
      <c r="W700" s="263"/>
      <c r="X700" s="263"/>
      <c r="Y700" s="263"/>
      <c r="Z700" s="263"/>
      <c r="AA700" s="263"/>
      <c r="AB700" s="263"/>
      <c r="AC700" s="263"/>
      <c r="AD700" s="263"/>
      <c r="AE700" s="263"/>
      <c r="AF700" s="404"/>
      <c r="AG700" s="263"/>
      <c r="AH700" s="263"/>
      <c r="AI700" s="263"/>
      <c r="AJ700" s="263"/>
      <c r="AK700" s="492"/>
    </row>
    <row r="701" spans="1:37" ht="85.5" customHeight="1" x14ac:dyDescent="0.2">
      <c r="A701" s="39"/>
      <c r="B701" s="39"/>
      <c r="C701" s="775">
        <v>36</v>
      </c>
      <c r="D701" s="775" t="s">
        <v>880</v>
      </c>
      <c r="E701" s="838">
        <v>0.4</v>
      </c>
      <c r="F701" s="794">
        <v>0.6</v>
      </c>
      <c r="G701" s="774"/>
      <c r="H701" s="54">
        <v>206</v>
      </c>
      <c r="I701" s="679" t="s">
        <v>893</v>
      </c>
      <c r="J701" s="41">
        <v>12</v>
      </c>
      <c r="K701" s="42">
        <v>12</v>
      </c>
      <c r="L701" s="784">
        <v>201700360039</v>
      </c>
      <c r="M701" s="41" t="s">
        <v>882</v>
      </c>
      <c r="N701" s="832" t="s">
        <v>894</v>
      </c>
      <c r="O701" s="777" t="s">
        <v>895</v>
      </c>
      <c r="P701" s="41" t="s">
        <v>46</v>
      </c>
      <c r="Q701" s="391">
        <v>0</v>
      </c>
      <c r="R701" s="391">
        <v>0</v>
      </c>
      <c r="S701" s="391">
        <v>0</v>
      </c>
      <c r="T701" s="391">
        <v>0</v>
      </c>
      <c r="U701" s="391">
        <v>0</v>
      </c>
      <c r="V701" s="391">
        <v>0</v>
      </c>
      <c r="W701" s="391">
        <v>0</v>
      </c>
      <c r="X701" s="391"/>
      <c r="Y701" s="391"/>
      <c r="Z701" s="391">
        <v>0</v>
      </c>
      <c r="AA701" s="391">
        <v>0</v>
      </c>
      <c r="AB701" s="391"/>
      <c r="AC701" s="391"/>
      <c r="AD701" s="391">
        <v>0</v>
      </c>
      <c r="AE701" s="391">
        <v>0</v>
      </c>
      <c r="AF701" s="364"/>
      <c r="AG701" s="12">
        <f>60000000+15000000</f>
        <v>75000000</v>
      </c>
      <c r="AH701" s="391">
        <v>0</v>
      </c>
      <c r="AI701" s="393"/>
      <c r="AJ701" s="393">
        <v>0</v>
      </c>
      <c r="AK701" s="391">
        <f>Q701+R701+S701+T701+U701+V701+W701+X701+Y701+Z701+AA701+AB701+AC701+AD701+AE701+AF701+AG701+AH701+AI701+AJ701</f>
        <v>75000000</v>
      </c>
    </row>
    <row r="702" spans="1:37" ht="85.5" customHeight="1" x14ac:dyDescent="0.2">
      <c r="A702" s="39"/>
      <c r="B702" s="39"/>
      <c r="C702" s="775"/>
      <c r="D702" s="775"/>
      <c r="E702" s="838"/>
      <c r="F702" s="794"/>
      <c r="G702" s="775"/>
      <c r="H702" s="54">
        <v>207</v>
      </c>
      <c r="I702" s="679" t="s">
        <v>896</v>
      </c>
      <c r="J702" s="41">
        <v>4</v>
      </c>
      <c r="K702" s="42">
        <v>1</v>
      </c>
      <c r="L702" s="785"/>
      <c r="M702" s="41" t="s">
        <v>882</v>
      </c>
      <c r="N702" s="830"/>
      <c r="O702" s="778"/>
      <c r="P702" s="41" t="s">
        <v>61</v>
      </c>
      <c r="Q702" s="391">
        <v>0</v>
      </c>
      <c r="R702" s="391">
        <v>0</v>
      </c>
      <c r="S702" s="391">
        <v>0</v>
      </c>
      <c r="T702" s="391">
        <v>0</v>
      </c>
      <c r="U702" s="391">
        <v>0</v>
      </c>
      <c r="V702" s="391">
        <v>0</v>
      </c>
      <c r="W702" s="391">
        <v>0</v>
      </c>
      <c r="X702" s="391"/>
      <c r="Y702" s="391"/>
      <c r="Z702" s="391">
        <v>0</v>
      </c>
      <c r="AA702" s="391">
        <v>0</v>
      </c>
      <c r="AB702" s="391"/>
      <c r="AC702" s="391"/>
      <c r="AD702" s="391">
        <v>0</v>
      </c>
      <c r="AE702" s="391">
        <v>0</v>
      </c>
      <c r="AF702" s="12"/>
      <c r="AG702" s="639">
        <f>100000000+215000000+318766352</f>
        <v>633766352</v>
      </c>
      <c r="AH702" s="556">
        <f>9101228+9792581+7266530+113181+5954640</f>
        <v>32228160</v>
      </c>
      <c r="AI702" s="393"/>
      <c r="AJ702" s="393">
        <v>0</v>
      </c>
      <c r="AK702" s="391">
        <f>Q702+R702+S702+T702+U702+V702+W702+X702+Y702+Z702+AA702+AB702+AC702+AD702+AE702+AF702+AG702+AH702+AI702+AJ702</f>
        <v>665994512</v>
      </c>
    </row>
    <row r="703" spans="1:37" ht="85.5" customHeight="1" x14ac:dyDescent="0.2">
      <c r="A703" s="39"/>
      <c r="B703" s="39"/>
      <c r="C703" s="775"/>
      <c r="D703" s="775"/>
      <c r="E703" s="838"/>
      <c r="F703" s="794"/>
      <c r="G703" s="776"/>
      <c r="H703" s="54">
        <v>208</v>
      </c>
      <c r="I703" s="679" t="s">
        <v>897</v>
      </c>
      <c r="J703" s="41">
        <v>1</v>
      </c>
      <c r="K703" s="42">
        <v>1</v>
      </c>
      <c r="L703" s="786"/>
      <c r="M703" s="41" t="s">
        <v>882</v>
      </c>
      <c r="N703" s="831"/>
      <c r="O703" s="779"/>
      <c r="P703" s="41" t="s">
        <v>46</v>
      </c>
      <c r="Q703" s="391">
        <v>0</v>
      </c>
      <c r="R703" s="391">
        <v>0</v>
      </c>
      <c r="S703" s="391">
        <v>0</v>
      </c>
      <c r="T703" s="391">
        <v>0</v>
      </c>
      <c r="U703" s="391">
        <v>0</v>
      </c>
      <c r="V703" s="391">
        <v>0</v>
      </c>
      <c r="W703" s="391">
        <v>0</v>
      </c>
      <c r="X703" s="391"/>
      <c r="Y703" s="391"/>
      <c r="Z703" s="391">
        <v>0</v>
      </c>
      <c r="AA703" s="391">
        <v>0</v>
      </c>
      <c r="AB703" s="391"/>
      <c r="AC703" s="391"/>
      <c r="AD703" s="391">
        <v>0</v>
      </c>
      <c r="AE703" s="391">
        <v>0</v>
      </c>
      <c r="AF703" s="364">
        <v>20000000</v>
      </c>
      <c r="AG703" s="12">
        <f>25000000+70000000</f>
        <v>95000000</v>
      </c>
      <c r="AH703" s="391">
        <v>0</v>
      </c>
      <c r="AI703" s="393"/>
      <c r="AJ703" s="393">
        <v>0</v>
      </c>
      <c r="AK703" s="391">
        <f>Q703+R703+S703+T703+U703+V703+W703+X703+Y703+Z703+AA703+AB703+AC703+AD703+AE703+AF703+AG703+AH703+AI703+AJ703</f>
        <v>115000000</v>
      </c>
    </row>
    <row r="704" spans="1:37" ht="30" customHeight="1" x14ac:dyDescent="0.2">
      <c r="A704" s="39"/>
      <c r="B704" s="52"/>
      <c r="C704" s="662"/>
      <c r="D704" s="657"/>
      <c r="E704" s="662"/>
      <c r="F704" s="662"/>
      <c r="G704" s="55"/>
      <c r="H704" s="56"/>
      <c r="I704" s="55"/>
      <c r="J704" s="57"/>
      <c r="K704" s="109"/>
      <c r="L704" s="109"/>
      <c r="M704" s="57"/>
      <c r="N704" s="57"/>
      <c r="O704" s="184"/>
      <c r="P704" s="57"/>
      <c r="Q704" s="400">
        <f t="shared" ref="Q704:AF704" si="179">SUM(Q701:Q703)</f>
        <v>0</v>
      </c>
      <c r="R704" s="400">
        <f t="shared" si="179"/>
        <v>0</v>
      </c>
      <c r="S704" s="400">
        <f t="shared" si="179"/>
        <v>0</v>
      </c>
      <c r="T704" s="400">
        <f t="shared" si="179"/>
        <v>0</v>
      </c>
      <c r="U704" s="400">
        <f t="shared" si="179"/>
        <v>0</v>
      </c>
      <c r="V704" s="400">
        <f t="shared" si="179"/>
        <v>0</v>
      </c>
      <c r="W704" s="400">
        <f t="shared" si="179"/>
        <v>0</v>
      </c>
      <c r="X704" s="400"/>
      <c r="Y704" s="400"/>
      <c r="Z704" s="400">
        <f t="shared" si="179"/>
        <v>0</v>
      </c>
      <c r="AA704" s="400">
        <f t="shared" si="179"/>
        <v>0</v>
      </c>
      <c r="AB704" s="400">
        <f t="shared" si="179"/>
        <v>0</v>
      </c>
      <c r="AC704" s="400">
        <f t="shared" si="179"/>
        <v>0</v>
      </c>
      <c r="AD704" s="400">
        <f t="shared" si="179"/>
        <v>0</v>
      </c>
      <c r="AE704" s="400">
        <f t="shared" si="179"/>
        <v>0</v>
      </c>
      <c r="AF704" s="463">
        <f t="shared" si="179"/>
        <v>20000000</v>
      </c>
      <c r="AG704" s="400">
        <f>SUM(AG701:AG703)</f>
        <v>803766352</v>
      </c>
      <c r="AH704" s="400">
        <f>SUM(AH701:AH703)</f>
        <v>32228160</v>
      </c>
      <c r="AI704" s="400">
        <f t="shared" ref="AI704:AJ704" si="180">SUM(AI701:AI703)</f>
        <v>0</v>
      </c>
      <c r="AJ704" s="400">
        <f t="shared" si="180"/>
        <v>0</v>
      </c>
      <c r="AK704" s="400">
        <f>SUM(AK701:AK703)</f>
        <v>855994512</v>
      </c>
    </row>
    <row r="705" spans="1:37" ht="30" customHeight="1" x14ac:dyDescent="0.2">
      <c r="A705" s="39"/>
      <c r="B705" s="254"/>
      <c r="C705" s="97"/>
      <c r="D705" s="59"/>
      <c r="E705" s="60"/>
      <c r="F705" s="60"/>
      <c r="G705" s="59"/>
      <c r="H705" s="60"/>
      <c r="I705" s="59"/>
      <c r="J705" s="61"/>
      <c r="K705" s="111"/>
      <c r="L705" s="111"/>
      <c r="M705" s="61"/>
      <c r="N705" s="61"/>
      <c r="O705" s="340"/>
      <c r="P705" s="61"/>
      <c r="Q705" s="406">
        <f t="shared" ref="Q705:W705" si="181">Q704+Q698+Q694+Q690</f>
        <v>0</v>
      </c>
      <c r="R705" s="406">
        <f t="shared" si="181"/>
        <v>0</v>
      </c>
      <c r="S705" s="406">
        <f t="shared" si="181"/>
        <v>0</v>
      </c>
      <c r="T705" s="406">
        <f t="shared" si="181"/>
        <v>0</v>
      </c>
      <c r="U705" s="406">
        <f t="shared" si="181"/>
        <v>0</v>
      </c>
      <c r="V705" s="406">
        <f t="shared" si="181"/>
        <v>0</v>
      </c>
      <c r="W705" s="406">
        <f t="shared" si="181"/>
        <v>0</v>
      </c>
      <c r="X705" s="406"/>
      <c r="Y705" s="406"/>
      <c r="Z705" s="406">
        <f t="shared" ref="Z705:AC705" si="182">Z704+Z698+Z694+Z690</f>
        <v>0</v>
      </c>
      <c r="AA705" s="406">
        <f t="shared" si="182"/>
        <v>0</v>
      </c>
      <c r="AB705" s="406">
        <f t="shared" si="182"/>
        <v>0</v>
      </c>
      <c r="AC705" s="406">
        <f t="shared" si="182"/>
        <v>0</v>
      </c>
      <c r="AD705" s="406">
        <f t="shared" ref="AD705:AK705" si="183">AD704+AD698+AD694+AD690</f>
        <v>0</v>
      </c>
      <c r="AE705" s="406">
        <f t="shared" si="183"/>
        <v>0</v>
      </c>
      <c r="AF705" s="464">
        <f t="shared" si="183"/>
        <v>709774677</v>
      </c>
      <c r="AG705" s="406">
        <f t="shared" si="183"/>
        <v>1937246094</v>
      </c>
      <c r="AH705" s="406">
        <f t="shared" si="183"/>
        <v>32228160</v>
      </c>
      <c r="AI705" s="406">
        <f t="shared" si="183"/>
        <v>0</v>
      </c>
      <c r="AJ705" s="406">
        <f t="shared" si="183"/>
        <v>109227642</v>
      </c>
      <c r="AK705" s="406">
        <f t="shared" si="183"/>
        <v>2788476573</v>
      </c>
    </row>
    <row r="706" spans="1:37" ht="30" customHeight="1" x14ac:dyDescent="0.2">
      <c r="A706" s="39"/>
      <c r="B706" s="69"/>
      <c r="C706" s="146"/>
      <c r="D706" s="69"/>
      <c r="E706" s="146"/>
      <c r="F706" s="146"/>
      <c r="G706" s="69"/>
      <c r="H706" s="146"/>
      <c r="I706" s="69"/>
      <c r="J706" s="146"/>
      <c r="K706" s="147"/>
      <c r="L706" s="261"/>
      <c r="M706" s="390"/>
      <c r="N706" s="390"/>
      <c r="O706" s="99"/>
      <c r="P706" s="146"/>
      <c r="Q706" s="395"/>
      <c r="R706" s="395"/>
      <c r="S706" s="395"/>
      <c r="T706" s="395"/>
      <c r="U706" s="395"/>
      <c r="V706" s="395"/>
      <c r="W706" s="395"/>
      <c r="X706" s="395"/>
      <c r="Y706" s="395"/>
      <c r="Z706" s="395"/>
      <c r="AA706" s="395"/>
      <c r="AB706" s="396"/>
      <c r="AC706" s="396"/>
      <c r="AD706" s="395"/>
      <c r="AE706" s="395"/>
      <c r="AF706" s="397"/>
      <c r="AG706" s="395"/>
      <c r="AH706" s="395"/>
      <c r="AI706" s="395"/>
      <c r="AJ706" s="395"/>
      <c r="AK706" s="391"/>
    </row>
    <row r="707" spans="1:37" ht="30" customHeight="1" x14ac:dyDescent="0.2">
      <c r="A707" s="39"/>
      <c r="B707" s="121">
        <v>21</v>
      </c>
      <c r="C707" s="35" t="s">
        <v>898</v>
      </c>
      <c r="D707" s="36"/>
      <c r="E707" s="36"/>
      <c r="F707" s="36"/>
      <c r="G707" s="36"/>
      <c r="H707" s="37"/>
      <c r="I707" s="36"/>
      <c r="J707" s="36"/>
      <c r="K707" s="122"/>
      <c r="L707" s="122"/>
      <c r="M707" s="36"/>
      <c r="N707" s="37"/>
      <c r="O707" s="36"/>
      <c r="P707" s="36"/>
      <c r="Q707" s="402"/>
      <c r="R707" s="402"/>
      <c r="S707" s="402"/>
      <c r="T707" s="402"/>
      <c r="U707" s="402"/>
      <c r="V707" s="402"/>
      <c r="W707" s="402"/>
      <c r="X707" s="402"/>
      <c r="Y707" s="402"/>
      <c r="Z707" s="402"/>
      <c r="AA707" s="402"/>
      <c r="AB707" s="402"/>
      <c r="AC707" s="402"/>
      <c r="AD707" s="402"/>
      <c r="AE707" s="402"/>
      <c r="AF707" s="403"/>
      <c r="AG707" s="402"/>
      <c r="AH707" s="402"/>
      <c r="AI707" s="402"/>
      <c r="AJ707" s="402"/>
      <c r="AK707" s="493"/>
    </row>
    <row r="708" spans="1:37" ht="30" customHeight="1" x14ac:dyDescent="0.2">
      <c r="A708" s="39"/>
      <c r="B708" s="771"/>
      <c r="C708" s="661"/>
      <c r="D708" s="655"/>
      <c r="E708" s="661"/>
      <c r="F708" s="661"/>
      <c r="G708" s="215">
        <v>72</v>
      </c>
      <c r="H708" s="77" t="s">
        <v>899</v>
      </c>
      <c r="I708" s="77"/>
      <c r="J708" s="77"/>
      <c r="K708" s="124"/>
      <c r="L708" s="124"/>
      <c r="M708" s="77"/>
      <c r="N708" s="169"/>
      <c r="O708" s="77"/>
      <c r="P708" s="77"/>
      <c r="Q708" s="263"/>
      <c r="R708" s="263"/>
      <c r="S708" s="263"/>
      <c r="T708" s="263"/>
      <c r="U708" s="263"/>
      <c r="V708" s="263"/>
      <c r="W708" s="263"/>
      <c r="X708" s="263"/>
      <c r="Y708" s="263"/>
      <c r="Z708" s="263"/>
      <c r="AA708" s="263"/>
      <c r="AB708" s="263"/>
      <c r="AC708" s="263"/>
      <c r="AD708" s="263"/>
      <c r="AE708" s="263"/>
      <c r="AF708" s="404"/>
      <c r="AG708" s="263"/>
      <c r="AH708" s="263"/>
      <c r="AI708" s="263"/>
      <c r="AJ708" s="263"/>
      <c r="AK708" s="492"/>
    </row>
    <row r="709" spans="1:37" ht="54" customHeight="1" x14ac:dyDescent="0.2">
      <c r="A709" s="39"/>
      <c r="B709" s="771"/>
      <c r="C709" s="775">
        <v>36</v>
      </c>
      <c r="D709" s="778" t="s">
        <v>880</v>
      </c>
      <c r="E709" s="838">
        <v>0.4</v>
      </c>
      <c r="F709" s="794">
        <v>0.6</v>
      </c>
      <c r="G709" s="774" t="s">
        <v>447</v>
      </c>
      <c r="H709" s="54">
        <v>209</v>
      </c>
      <c r="I709" s="679" t="s">
        <v>900</v>
      </c>
      <c r="J709" s="41">
        <v>1</v>
      </c>
      <c r="K709" s="42">
        <v>1</v>
      </c>
      <c r="L709" s="784">
        <v>201700360040</v>
      </c>
      <c r="M709" s="41" t="s">
        <v>882</v>
      </c>
      <c r="N709" s="832" t="s">
        <v>901</v>
      </c>
      <c r="O709" s="777" t="s">
        <v>902</v>
      </c>
      <c r="P709" s="41" t="s">
        <v>46</v>
      </c>
      <c r="Q709" s="391">
        <v>0</v>
      </c>
      <c r="R709" s="391">
        <v>0</v>
      </c>
      <c r="S709" s="391">
        <v>0</v>
      </c>
      <c r="T709" s="391">
        <v>0</v>
      </c>
      <c r="U709" s="391">
        <v>0</v>
      </c>
      <c r="V709" s="391">
        <v>0</v>
      </c>
      <c r="W709" s="391">
        <v>0</v>
      </c>
      <c r="X709" s="391"/>
      <c r="Y709" s="391"/>
      <c r="Z709" s="391">
        <v>0</v>
      </c>
      <c r="AA709" s="391">
        <v>0</v>
      </c>
      <c r="AB709" s="391"/>
      <c r="AC709" s="391"/>
      <c r="AD709" s="391">
        <v>0</v>
      </c>
      <c r="AE709" s="391"/>
      <c r="AF709" s="11">
        <v>30000000</v>
      </c>
      <c r="AG709" s="443">
        <v>29100000</v>
      </c>
      <c r="AH709" s="391">
        <v>0</v>
      </c>
      <c r="AI709" s="393"/>
      <c r="AJ709" s="496">
        <f>30772358</f>
        <v>30772358</v>
      </c>
      <c r="AK709" s="391">
        <f>Q709+R709+S709+T709+U709+V709+W709+X709+Y709+Z709+AA709+AB709+AC709+AD709+AE709+AF709+AG709+AH709+AI709+AJ709</f>
        <v>89872358</v>
      </c>
    </row>
    <row r="710" spans="1:37" ht="50.25" customHeight="1" x14ac:dyDescent="0.2">
      <c r="A710" s="39"/>
      <c r="B710" s="771"/>
      <c r="C710" s="775"/>
      <c r="D710" s="778"/>
      <c r="E710" s="838"/>
      <c r="F710" s="794"/>
      <c r="G710" s="775"/>
      <c r="H710" s="661">
        <v>210</v>
      </c>
      <c r="I710" s="655" t="s">
        <v>903</v>
      </c>
      <c r="J710" s="661">
        <v>1</v>
      </c>
      <c r="K710" s="665">
        <v>1</v>
      </c>
      <c r="L710" s="785"/>
      <c r="M710" s="652" t="s">
        <v>882</v>
      </c>
      <c r="N710" s="830"/>
      <c r="O710" s="778"/>
      <c r="P710" s="652" t="s">
        <v>46</v>
      </c>
      <c r="Q710" s="428">
        <v>0</v>
      </c>
      <c r="R710" s="428">
        <v>0</v>
      </c>
      <c r="S710" s="428">
        <v>0</v>
      </c>
      <c r="T710" s="428">
        <v>0</v>
      </c>
      <c r="U710" s="428">
        <v>0</v>
      </c>
      <c r="V710" s="428">
        <v>0</v>
      </c>
      <c r="W710" s="428">
        <v>0</v>
      </c>
      <c r="X710" s="428"/>
      <c r="Y710" s="428"/>
      <c r="Z710" s="428">
        <v>0</v>
      </c>
      <c r="AA710" s="428">
        <v>0</v>
      </c>
      <c r="AB710" s="428"/>
      <c r="AC710" s="428"/>
      <c r="AD710" s="428">
        <v>0</v>
      </c>
      <c r="AE710" s="428"/>
      <c r="AF710" s="685">
        <f>9000000+31618664</f>
        <v>40618664</v>
      </c>
      <c r="AG710" s="687">
        <v>25000000</v>
      </c>
      <c r="AH710" s="428">
        <v>0</v>
      </c>
      <c r="AI710" s="455"/>
      <c r="AJ710" s="686">
        <f>16000000</f>
        <v>16000000</v>
      </c>
      <c r="AK710" s="428">
        <f>Q710+R710+S710+T710+U710+V710+W710+X710+Y710+Z710+AA710+AB710+AC710+AD710+AE710+AF710+AG710+AH710+AI710+AJ710</f>
        <v>81618664</v>
      </c>
    </row>
    <row r="711" spans="1:37" s="700" customFormat="1" ht="70.5" customHeight="1" x14ac:dyDescent="0.2">
      <c r="A711" s="201"/>
      <c r="B711" s="771"/>
      <c r="C711" s="775"/>
      <c r="D711" s="778"/>
      <c r="E711" s="838"/>
      <c r="F711" s="794"/>
      <c r="G711" s="775"/>
      <c r="H711" s="54">
        <v>211</v>
      </c>
      <c r="I711" s="679" t="s">
        <v>904</v>
      </c>
      <c r="J711" s="41">
        <v>1</v>
      </c>
      <c r="K711" s="42">
        <v>1</v>
      </c>
      <c r="L711" s="786"/>
      <c r="M711" s="699" t="s">
        <v>882</v>
      </c>
      <c r="N711" s="831"/>
      <c r="O711" s="779"/>
      <c r="P711" s="41" t="s">
        <v>46</v>
      </c>
      <c r="Q711" s="391">
        <v>0</v>
      </c>
      <c r="R711" s="391">
        <v>0</v>
      </c>
      <c r="S711" s="391">
        <v>0</v>
      </c>
      <c r="T711" s="391">
        <v>0</v>
      </c>
      <c r="U711" s="391">
        <v>0</v>
      </c>
      <c r="V711" s="391">
        <v>0</v>
      </c>
      <c r="W711" s="391">
        <v>0</v>
      </c>
      <c r="X711" s="391">
        <v>0</v>
      </c>
      <c r="Y711" s="391">
        <v>0</v>
      </c>
      <c r="Z711" s="391">
        <v>0</v>
      </c>
      <c r="AA711" s="391">
        <v>0</v>
      </c>
      <c r="AB711" s="391">
        <v>0</v>
      </c>
      <c r="AC711" s="391">
        <v>0</v>
      </c>
      <c r="AD711" s="391">
        <v>0</v>
      </c>
      <c r="AE711" s="391">
        <v>0</v>
      </c>
      <c r="AF711" s="640"/>
      <c r="AG711" s="443">
        <f>22000000+29461261</f>
        <v>51461261</v>
      </c>
      <c r="AH711" s="391">
        <v>0</v>
      </c>
      <c r="AI711" s="391"/>
      <c r="AJ711" s="496">
        <f>16000000</f>
        <v>16000000</v>
      </c>
      <c r="AK711" s="391">
        <f>Q711+R711+S711+T711+U711+V711+W711+X711+Y711+Z711+AA711+AB711+AC711+AD711+AE711+AF711+AG711+AH711+AI711+AJ711</f>
        <v>67461261</v>
      </c>
    </row>
    <row r="712" spans="1:37" ht="30" customHeight="1" x14ac:dyDescent="0.2">
      <c r="A712" s="39"/>
      <c r="B712" s="771"/>
      <c r="C712" s="662"/>
      <c r="D712" s="657"/>
      <c r="E712" s="662"/>
      <c r="F712" s="662"/>
      <c r="G712" s="688"/>
      <c r="H712" s="689"/>
      <c r="I712" s="688"/>
      <c r="J712" s="690"/>
      <c r="K712" s="691"/>
      <c r="L712" s="691"/>
      <c r="M712" s="690"/>
      <c r="N712" s="690"/>
      <c r="O712" s="692"/>
      <c r="P712" s="690"/>
      <c r="Q712" s="693">
        <f t="shared" ref="Q712:W712" si="184">SUM(Q709:Q711)</f>
        <v>0</v>
      </c>
      <c r="R712" s="693">
        <f t="shared" si="184"/>
        <v>0</v>
      </c>
      <c r="S712" s="693">
        <f t="shared" si="184"/>
        <v>0</v>
      </c>
      <c r="T712" s="693">
        <f t="shared" si="184"/>
        <v>0</v>
      </c>
      <c r="U712" s="693">
        <f t="shared" si="184"/>
        <v>0</v>
      </c>
      <c r="V712" s="693">
        <f t="shared" si="184"/>
        <v>0</v>
      </c>
      <c r="W712" s="693">
        <f t="shared" si="184"/>
        <v>0</v>
      </c>
      <c r="X712" s="693"/>
      <c r="Y712" s="693"/>
      <c r="Z712" s="693">
        <f t="shared" ref="Z712:AJ712" si="185">SUM(Z709:Z711)</f>
        <v>0</v>
      </c>
      <c r="AA712" s="693">
        <f t="shared" si="185"/>
        <v>0</v>
      </c>
      <c r="AB712" s="693">
        <f t="shared" si="185"/>
        <v>0</v>
      </c>
      <c r="AC712" s="693">
        <f t="shared" si="185"/>
        <v>0</v>
      </c>
      <c r="AD712" s="693">
        <f t="shared" si="185"/>
        <v>0</v>
      </c>
      <c r="AE712" s="693">
        <f t="shared" si="185"/>
        <v>0</v>
      </c>
      <c r="AF712" s="694">
        <f t="shared" si="185"/>
        <v>70618664</v>
      </c>
      <c r="AG712" s="694">
        <f t="shared" si="185"/>
        <v>105561261</v>
      </c>
      <c r="AH712" s="695">
        <f t="shared" si="185"/>
        <v>0</v>
      </c>
      <c r="AI712" s="695">
        <f t="shared" si="185"/>
        <v>0</v>
      </c>
      <c r="AJ712" s="695">
        <f t="shared" si="185"/>
        <v>62772358</v>
      </c>
      <c r="AK712" s="695">
        <f>SUM(AK709:AK711)</f>
        <v>238952283</v>
      </c>
    </row>
    <row r="713" spans="1:37" ht="30" customHeight="1" x14ac:dyDescent="0.2">
      <c r="A713" s="39"/>
      <c r="B713" s="771"/>
      <c r="C713" s="146"/>
      <c r="D713" s="69"/>
      <c r="E713" s="146"/>
      <c r="F713" s="146"/>
      <c r="G713" s="69"/>
      <c r="H713" s="146"/>
      <c r="I713" s="69"/>
      <c r="J713" s="146"/>
      <c r="K713" s="147"/>
      <c r="L713" s="261"/>
      <c r="M713" s="390"/>
      <c r="N713" s="390"/>
      <c r="O713" s="99"/>
      <c r="P713" s="146"/>
      <c r="Q713" s="395"/>
      <c r="R713" s="395"/>
      <c r="S713" s="395"/>
      <c r="T713" s="395"/>
      <c r="U713" s="395"/>
      <c r="V713" s="395"/>
      <c r="W713" s="395"/>
      <c r="X713" s="395"/>
      <c r="Y713" s="395"/>
      <c r="Z713" s="395"/>
      <c r="AA713" s="395"/>
      <c r="AB713" s="396"/>
      <c r="AC713" s="396"/>
      <c r="AD713" s="395"/>
      <c r="AE713" s="395"/>
      <c r="AF713" s="397"/>
      <c r="AG713" s="398"/>
      <c r="AH713" s="395"/>
      <c r="AI713" s="395"/>
      <c r="AJ713" s="396"/>
      <c r="AK713" s="391"/>
    </row>
    <row r="714" spans="1:37" ht="30" customHeight="1" x14ac:dyDescent="0.2">
      <c r="A714" s="39"/>
      <c r="B714" s="771"/>
      <c r="C714" s="661"/>
      <c r="D714" s="655"/>
      <c r="E714" s="661"/>
      <c r="F714" s="661"/>
      <c r="G714" s="215">
        <v>73</v>
      </c>
      <c r="H714" s="77" t="s">
        <v>905</v>
      </c>
      <c r="I714" s="77"/>
      <c r="J714" s="77"/>
      <c r="K714" s="124"/>
      <c r="L714" s="124"/>
      <c r="M714" s="77"/>
      <c r="N714" s="169"/>
      <c r="O714" s="77"/>
      <c r="P714" s="77"/>
      <c r="Q714" s="263"/>
      <c r="R714" s="263"/>
      <c r="S714" s="263"/>
      <c r="T714" s="263"/>
      <c r="U714" s="263"/>
      <c r="V714" s="263"/>
      <c r="W714" s="263"/>
      <c r="X714" s="263"/>
      <c r="Y714" s="263"/>
      <c r="Z714" s="263"/>
      <c r="AA714" s="263"/>
      <c r="AB714" s="263"/>
      <c r="AC714" s="263"/>
      <c r="AD714" s="263"/>
      <c r="AE714" s="263"/>
      <c r="AF714" s="404"/>
      <c r="AG714" s="263"/>
      <c r="AH714" s="263"/>
      <c r="AI714" s="263"/>
      <c r="AJ714" s="263"/>
      <c r="AK714" s="492"/>
    </row>
    <row r="715" spans="1:37" ht="65.25" customHeight="1" x14ac:dyDescent="0.2">
      <c r="A715" s="39"/>
      <c r="B715" s="771"/>
      <c r="C715" s="650">
        <v>36</v>
      </c>
      <c r="D715" s="656" t="s">
        <v>880</v>
      </c>
      <c r="E715" s="659">
        <v>0.4</v>
      </c>
      <c r="F715" s="660">
        <v>0.6</v>
      </c>
      <c r="G715" s="655"/>
      <c r="H715" s="661">
        <v>212</v>
      </c>
      <c r="I715" s="655" t="s">
        <v>906</v>
      </c>
      <c r="J715" s="652">
        <v>1</v>
      </c>
      <c r="K715" s="47">
        <v>1</v>
      </c>
      <c r="L715" s="43">
        <v>201700360041</v>
      </c>
      <c r="M715" s="41" t="s">
        <v>882</v>
      </c>
      <c r="N715" s="652" t="s">
        <v>907</v>
      </c>
      <c r="O715" s="44" t="s">
        <v>908</v>
      </c>
      <c r="P715" s="41" t="s">
        <v>46</v>
      </c>
      <c r="Q715" s="428">
        <v>0</v>
      </c>
      <c r="R715" s="428">
        <v>0</v>
      </c>
      <c r="S715" s="428">
        <v>0</v>
      </c>
      <c r="T715" s="428">
        <v>0</v>
      </c>
      <c r="U715" s="428">
        <v>0</v>
      </c>
      <c r="V715" s="428">
        <v>0</v>
      </c>
      <c r="W715" s="428">
        <v>0</v>
      </c>
      <c r="X715" s="428">
        <v>0</v>
      </c>
      <c r="Y715" s="428">
        <v>0</v>
      </c>
      <c r="Z715" s="428">
        <v>0</v>
      </c>
      <c r="AA715" s="428">
        <v>0</v>
      </c>
      <c r="AB715" s="428">
        <v>0</v>
      </c>
      <c r="AC715" s="428">
        <v>0</v>
      </c>
      <c r="AD715" s="428">
        <v>0</v>
      </c>
      <c r="AE715" s="428">
        <v>0</v>
      </c>
      <c r="AF715" s="11">
        <v>30000000</v>
      </c>
      <c r="AG715" s="641">
        <f>40000000+13500000</f>
        <v>53500000</v>
      </c>
      <c r="AH715" s="428">
        <v>0</v>
      </c>
      <c r="AI715" s="455"/>
      <c r="AJ715" s="496">
        <v>79747962</v>
      </c>
      <c r="AK715" s="391">
        <f>Q715+R715+S715+T715+U715+V715+W715+X715+Y715+Z715+AA715+AB715+AC715+AD715+AE715+AF715+AG715+AH715+AI715+AJ715</f>
        <v>163247962</v>
      </c>
    </row>
    <row r="716" spans="1:37" s="2" customFormat="1" ht="30" customHeight="1" x14ac:dyDescent="0.25">
      <c r="A716" s="39"/>
      <c r="B716" s="771"/>
      <c r="C716" s="662"/>
      <c r="D716" s="657"/>
      <c r="E716" s="662"/>
      <c r="F716" s="662"/>
      <c r="G716" s="91"/>
      <c r="H716" s="92"/>
      <c r="I716" s="91"/>
      <c r="J716" s="341"/>
      <c r="K716" s="342"/>
      <c r="L716" s="342"/>
      <c r="M716" s="341"/>
      <c r="N716" s="341"/>
      <c r="O716" s="343"/>
      <c r="P716" s="341"/>
      <c r="Q716" s="438">
        <f t="shared" ref="Q716:AF716" si="186">SUM(Q715)</f>
        <v>0</v>
      </c>
      <c r="R716" s="438">
        <f t="shared" ref="R716" si="187">SUM(R715)</f>
        <v>0</v>
      </c>
      <c r="S716" s="438">
        <f t="shared" si="186"/>
        <v>0</v>
      </c>
      <c r="T716" s="438">
        <f t="shared" si="186"/>
        <v>0</v>
      </c>
      <c r="U716" s="438">
        <f t="shared" si="186"/>
        <v>0</v>
      </c>
      <c r="V716" s="438">
        <f t="shared" si="186"/>
        <v>0</v>
      </c>
      <c r="W716" s="438">
        <f t="shared" si="186"/>
        <v>0</v>
      </c>
      <c r="X716" s="438"/>
      <c r="Y716" s="438"/>
      <c r="Z716" s="438">
        <f t="shared" si="186"/>
        <v>0</v>
      </c>
      <c r="AA716" s="438">
        <f t="shared" si="186"/>
        <v>0</v>
      </c>
      <c r="AB716" s="438">
        <f t="shared" si="186"/>
        <v>0</v>
      </c>
      <c r="AC716" s="438">
        <f t="shared" si="186"/>
        <v>0</v>
      </c>
      <c r="AD716" s="438">
        <f t="shared" si="186"/>
        <v>0</v>
      </c>
      <c r="AE716" s="438">
        <f t="shared" si="186"/>
        <v>0</v>
      </c>
      <c r="AF716" s="497">
        <f t="shared" si="186"/>
        <v>30000000</v>
      </c>
      <c r="AG716" s="498">
        <f>SUM(AG715)</f>
        <v>53500000</v>
      </c>
      <c r="AH716" s="498">
        <f>SUM(AH715)</f>
        <v>0</v>
      </c>
      <c r="AI716" s="498">
        <f t="shared" ref="AI716:AJ716" si="188">SUM(AI715)</f>
        <v>0</v>
      </c>
      <c r="AJ716" s="498">
        <f t="shared" si="188"/>
        <v>79747962</v>
      </c>
      <c r="AK716" s="498">
        <f>SUM(AK715)</f>
        <v>163247962</v>
      </c>
    </row>
    <row r="717" spans="1:37" ht="30" customHeight="1" x14ac:dyDescent="0.2">
      <c r="A717" s="39"/>
      <c r="B717" s="254"/>
      <c r="C717" s="97"/>
      <c r="D717" s="96"/>
      <c r="E717" s="97"/>
      <c r="F717" s="97"/>
      <c r="G717" s="96"/>
      <c r="H717" s="97"/>
      <c r="I717" s="96"/>
      <c r="J717" s="344"/>
      <c r="K717" s="345"/>
      <c r="L717" s="345"/>
      <c r="M717" s="344"/>
      <c r="N717" s="344"/>
      <c r="O717" s="346"/>
      <c r="P717" s="344"/>
      <c r="Q717" s="457">
        <f t="shared" ref="Q717:AF717" si="189">Q716+Q712</f>
        <v>0</v>
      </c>
      <c r="R717" s="457">
        <f t="shared" si="189"/>
        <v>0</v>
      </c>
      <c r="S717" s="457">
        <f t="shared" si="189"/>
        <v>0</v>
      </c>
      <c r="T717" s="457">
        <f t="shared" si="189"/>
        <v>0</v>
      </c>
      <c r="U717" s="457">
        <f t="shared" si="189"/>
        <v>0</v>
      </c>
      <c r="V717" s="457">
        <f t="shared" si="189"/>
        <v>0</v>
      </c>
      <c r="W717" s="457">
        <f t="shared" si="189"/>
        <v>0</v>
      </c>
      <c r="X717" s="457"/>
      <c r="Y717" s="457"/>
      <c r="Z717" s="457">
        <f t="shared" si="189"/>
        <v>0</v>
      </c>
      <c r="AA717" s="457">
        <f t="shared" si="189"/>
        <v>0</v>
      </c>
      <c r="AB717" s="457">
        <f t="shared" si="189"/>
        <v>0</v>
      </c>
      <c r="AC717" s="457">
        <f t="shared" si="189"/>
        <v>0</v>
      </c>
      <c r="AD717" s="457">
        <f t="shared" si="189"/>
        <v>0</v>
      </c>
      <c r="AE717" s="457">
        <f t="shared" si="189"/>
        <v>0</v>
      </c>
      <c r="AF717" s="499">
        <f t="shared" si="189"/>
        <v>100618664</v>
      </c>
      <c r="AG717" s="500">
        <f>AG716+AG712</f>
        <v>159061261</v>
      </c>
      <c r="AH717" s="500">
        <f>AH716+AH712</f>
        <v>0</v>
      </c>
      <c r="AI717" s="500">
        <f t="shared" ref="AI717:AJ717" si="190">AI716+AI712</f>
        <v>0</v>
      </c>
      <c r="AJ717" s="500">
        <f t="shared" si="190"/>
        <v>142520320</v>
      </c>
      <c r="AK717" s="500">
        <f>AK716+AK712</f>
        <v>402200245</v>
      </c>
    </row>
    <row r="718" spans="1:37" ht="30" customHeight="1" x14ac:dyDescent="0.2">
      <c r="A718" s="39"/>
      <c r="B718" s="69"/>
      <c r="C718" s="146"/>
      <c r="D718" s="69"/>
      <c r="E718" s="146"/>
      <c r="F718" s="146"/>
      <c r="G718" s="69"/>
      <c r="H718" s="146"/>
      <c r="I718" s="69"/>
      <c r="J718" s="146"/>
      <c r="K718" s="147"/>
      <c r="L718" s="261"/>
      <c r="M718" s="390"/>
      <c r="N718" s="390"/>
      <c r="O718" s="99"/>
      <c r="P718" s="146"/>
      <c r="Q718" s="395"/>
      <c r="R718" s="395"/>
      <c r="S718" s="395"/>
      <c r="T718" s="395"/>
      <c r="U718" s="395"/>
      <c r="V718" s="395"/>
      <c r="W718" s="395"/>
      <c r="X718" s="395"/>
      <c r="Y718" s="395"/>
      <c r="Z718" s="395"/>
      <c r="AA718" s="395"/>
      <c r="AB718" s="396"/>
      <c r="AC718" s="396"/>
      <c r="AD718" s="395"/>
      <c r="AE718" s="395"/>
      <c r="AF718" s="397"/>
      <c r="AG718" s="395"/>
      <c r="AH718" s="395"/>
      <c r="AI718" s="395"/>
      <c r="AJ718" s="395"/>
      <c r="AK718" s="391"/>
    </row>
    <row r="719" spans="1:37" ht="30" customHeight="1" x14ac:dyDescent="0.2">
      <c r="A719" s="39"/>
      <c r="B719" s="347">
        <v>22</v>
      </c>
      <c r="C719" s="35" t="s">
        <v>909</v>
      </c>
      <c r="D719" s="36"/>
      <c r="E719" s="36"/>
      <c r="F719" s="36"/>
      <c r="G719" s="36"/>
      <c r="H719" s="37"/>
      <c r="I719" s="36"/>
      <c r="J719" s="36"/>
      <c r="K719" s="122"/>
      <c r="L719" s="122"/>
      <c r="M719" s="36"/>
      <c r="N719" s="37"/>
      <c r="O719" s="36"/>
      <c r="P719" s="36"/>
      <c r="Q719" s="402"/>
      <c r="R719" s="402"/>
      <c r="S719" s="402"/>
      <c r="T719" s="402"/>
      <c r="U719" s="402"/>
      <c r="V719" s="402"/>
      <c r="W719" s="402"/>
      <c r="X719" s="402"/>
      <c r="Y719" s="402"/>
      <c r="Z719" s="402"/>
      <c r="AA719" s="402"/>
      <c r="AB719" s="402"/>
      <c r="AC719" s="402"/>
      <c r="AD719" s="402"/>
      <c r="AE719" s="402"/>
      <c r="AF719" s="403"/>
      <c r="AG719" s="402"/>
      <c r="AH719" s="402"/>
      <c r="AI719" s="402"/>
      <c r="AJ719" s="402"/>
      <c r="AK719" s="493"/>
    </row>
    <row r="720" spans="1:37" ht="30" customHeight="1" x14ac:dyDescent="0.2">
      <c r="A720" s="39"/>
      <c r="B720" s="771"/>
      <c r="C720" s="661"/>
      <c r="D720" s="655"/>
      <c r="E720" s="661"/>
      <c r="F720" s="661"/>
      <c r="G720" s="215">
        <v>74</v>
      </c>
      <c r="H720" s="77" t="s">
        <v>910</v>
      </c>
      <c r="I720" s="77"/>
      <c r="J720" s="77"/>
      <c r="K720" s="124"/>
      <c r="L720" s="124"/>
      <c r="M720" s="77"/>
      <c r="N720" s="169"/>
      <c r="O720" s="77"/>
      <c r="P720" s="77"/>
      <c r="Q720" s="263"/>
      <c r="R720" s="263"/>
      <c r="S720" s="263"/>
      <c r="T720" s="263"/>
      <c r="U720" s="263"/>
      <c r="V720" s="263"/>
      <c r="W720" s="263"/>
      <c r="X720" s="263"/>
      <c r="Y720" s="263"/>
      <c r="Z720" s="263"/>
      <c r="AA720" s="263"/>
      <c r="AB720" s="263"/>
      <c r="AC720" s="263"/>
      <c r="AD720" s="263"/>
      <c r="AE720" s="263"/>
      <c r="AF720" s="404"/>
      <c r="AG720" s="263"/>
      <c r="AH720" s="263"/>
      <c r="AI720" s="263"/>
      <c r="AJ720" s="263"/>
      <c r="AK720" s="492"/>
    </row>
    <row r="721" spans="1:37" ht="63.75" customHeight="1" x14ac:dyDescent="0.2">
      <c r="A721" s="39"/>
      <c r="B721" s="771"/>
      <c r="C721" s="650">
        <v>36</v>
      </c>
      <c r="D721" s="656" t="s">
        <v>880</v>
      </c>
      <c r="E721" s="659">
        <v>0.4</v>
      </c>
      <c r="F721" s="660">
        <v>0.6</v>
      </c>
      <c r="G721" s="679"/>
      <c r="H721" s="54">
        <v>213</v>
      </c>
      <c r="I721" s="679" t="s">
        <v>911</v>
      </c>
      <c r="J721" s="41">
        <v>12</v>
      </c>
      <c r="K721" s="42">
        <v>12</v>
      </c>
      <c r="L721" s="43">
        <v>201700360042</v>
      </c>
      <c r="M721" s="41" t="s">
        <v>882</v>
      </c>
      <c r="N721" s="652" t="s">
        <v>912</v>
      </c>
      <c r="O721" s="679" t="s">
        <v>913</v>
      </c>
      <c r="P721" s="41" t="s">
        <v>46</v>
      </c>
      <c r="Q721" s="391"/>
      <c r="R721" s="391"/>
      <c r="S721" s="391"/>
      <c r="T721" s="391"/>
      <c r="U721" s="391"/>
      <c r="V721" s="391"/>
      <c r="W721" s="391"/>
      <c r="X721" s="391"/>
      <c r="Y721" s="391"/>
      <c r="Z721" s="391"/>
      <c r="AA721" s="391"/>
      <c r="AB721" s="391"/>
      <c r="AC721" s="391"/>
      <c r="AD721" s="391"/>
      <c r="AE721" s="391"/>
      <c r="AF721" s="392"/>
      <c r="AG721" s="405"/>
      <c r="AH721" s="392">
        <v>244500000</v>
      </c>
      <c r="AI721" s="393"/>
      <c r="AJ721" s="393"/>
      <c r="AK721" s="391">
        <f>Q721+R721+S721+T721+U721+V721+W721+X721+Y721+Z721+AA721+AB721+AC721+AD721+AE721+AF721+AG721+AH721+AI721+AJ721</f>
        <v>244500000</v>
      </c>
    </row>
    <row r="722" spans="1:37" ht="30" customHeight="1" x14ac:dyDescent="0.2">
      <c r="A722" s="39"/>
      <c r="B722" s="771"/>
      <c r="C722" s="662"/>
      <c r="D722" s="657"/>
      <c r="E722" s="662"/>
      <c r="F722" s="662"/>
      <c r="G722" s="55"/>
      <c r="H722" s="56"/>
      <c r="I722" s="55"/>
      <c r="J722" s="57"/>
      <c r="K722" s="109"/>
      <c r="L722" s="109"/>
      <c r="M722" s="57"/>
      <c r="N722" s="57"/>
      <c r="O722" s="184"/>
      <c r="P722" s="57"/>
      <c r="Q722" s="400">
        <f t="shared" ref="Q722:AF722" si="191">SUM(Q721)</f>
        <v>0</v>
      </c>
      <c r="R722" s="400">
        <f t="shared" ref="R722" si="192">SUM(R721)</f>
        <v>0</v>
      </c>
      <c r="S722" s="400">
        <f t="shared" si="191"/>
        <v>0</v>
      </c>
      <c r="T722" s="400">
        <f t="shared" si="191"/>
        <v>0</v>
      </c>
      <c r="U722" s="400">
        <f t="shared" si="191"/>
        <v>0</v>
      </c>
      <c r="V722" s="400">
        <f t="shared" si="191"/>
        <v>0</v>
      </c>
      <c r="W722" s="400">
        <f t="shared" si="191"/>
        <v>0</v>
      </c>
      <c r="X722" s="400"/>
      <c r="Y722" s="400"/>
      <c r="Z722" s="400">
        <f t="shared" si="191"/>
        <v>0</v>
      </c>
      <c r="AA722" s="400">
        <f t="shared" si="191"/>
        <v>0</v>
      </c>
      <c r="AB722" s="400">
        <f t="shared" si="191"/>
        <v>0</v>
      </c>
      <c r="AC722" s="400">
        <f t="shared" si="191"/>
        <v>0</v>
      </c>
      <c r="AD722" s="400">
        <f t="shared" si="191"/>
        <v>0</v>
      </c>
      <c r="AE722" s="400">
        <f t="shared" si="191"/>
        <v>0</v>
      </c>
      <c r="AF722" s="463">
        <f t="shared" si="191"/>
        <v>0</v>
      </c>
      <c r="AG722" s="400">
        <f>SUM(AG721)</f>
        <v>0</v>
      </c>
      <c r="AH722" s="400">
        <f t="shared" ref="AH722:AJ722" si="193">SUM(AH721)</f>
        <v>244500000</v>
      </c>
      <c r="AI722" s="400">
        <f t="shared" si="193"/>
        <v>0</v>
      </c>
      <c r="AJ722" s="400">
        <f t="shared" si="193"/>
        <v>0</v>
      </c>
      <c r="AK722" s="400">
        <f>SUM(AK721)</f>
        <v>244500000</v>
      </c>
    </row>
    <row r="723" spans="1:37" ht="30" customHeight="1" x14ac:dyDescent="0.2">
      <c r="A723" s="52"/>
      <c r="B723" s="93"/>
      <c r="C723" s="60"/>
      <c r="D723" s="59"/>
      <c r="E723" s="60"/>
      <c r="F723" s="60"/>
      <c r="G723" s="59"/>
      <c r="H723" s="60"/>
      <c r="I723" s="59"/>
      <c r="J723" s="61"/>
      <c r="K723" s="111"/>
      <c r="L723" s="111"/>
      <c r="M723" s="61"/>
      <c r="N723" s="61"/>
      <c r="O723" s="340"/>
      <c r="P723" s="61"/>
      <c r="Q723" s="406">
        <f t="shared" ref="Q723:AF723" si="194">Q722</f>
        <v>0</v>
      </c>
      <c r="R723" s="406">
        <f t="shared" si="194"/>
        <v>0</v>
      </c>
      <c r="S723" s="406">
        <f t="shared" si="194"/>
        <v>0</v>
      </c>
      <c r="T723" s="406">
        <f t="shared" si="194"/>
        <v>0</v>
      </c>
      <c r="U723" s="406">
        <f t="shared" si="194"/>
        <v>0</v>
      </c>
      <c r="V723" s="406">
        <f t="shared" si="194"/>
        <v>0</v>
      </c>
      <c r="W723" s="406">
        <f t="shared" si="194"/>
        <v>0</v>
      </c>
      <c r="X723" s="406"/>
      <c r="Y723" s="406"/>
      <c r="Z723" s="406">
        <f t="shared" si="194"/>
        <v>0</v>
      </c>
      <c r="AA723" s="406">
        <f t="shared" si="194"/>
        <v>0</v>
      </c>
      <c r="AB723" s="406">
        <f t="shared" si="194"/>
        <v>0</v>
      </c>
      <c r="AC723" s="406">
        <f t="shared" si="194"/>
        <v>0</v>
      </c>
      <c r="AD723" s="406">
        <f t="shared" si="194"/>
        <v>0</v>
      </c>
      <c r="AE723" s="406">
        <f t="shared" si="194"/>
        <v>0</v>
      </c>
      <c r="AF723" s="464">
        <f t="shared" si="194"/>
        <v>0</v>
      </c>
      <c r="AG723" s="406">
        <f>AG722</f>
        <v>0</v>
      </c>
      <c r="AH723" s="406">
        <f t="shared" ref="AH723:AJ723" si="195">AH722</f>
        <v>244500000</v>
      </c>
      <c r="AI723" s="406">
        <f t="shared" si="195"/>
        <v>0</v>
      </c>
      <c r="AJ723" s="406">
        <f t="shared" si="195"/>
        <v>0</v>
      </c>
      <c r="AK723" s="406">
        <f>AK722</f>
        <v>244500000</v>
      </c>
    </row>
    <row r="724" spans="1:37" ht="30" customHeight="1" x14ac:dyDescent="0.2">
      <c r="A724" s="62"/>
      <c r="B724" s="62"/>
      <c r="C724" s="63"/>
      <c r="D724" s="62"/>
      <c r="E724" s="63"/>
      <c r="F724" s="63"/>
      <c r="G724" s="62"/>
      <c r="H724" s="63"/>
      <c r="I724" s="62"/>
      <c r="J724" s="64"/>
      <c r="K724" s="112"/>
      <c r="L724" s="112"/>
      <c r="M724" s="64"/>
      <c r="N724" s="64"/>
      <c r="O724" s="348"/>
      <c r="P724" s="64"/>
      <c r="Q724" s="412">
        <f t="shared" ref="Q724:W724" si="196">Q723+Q717+Q705</f>
        <v>0</v>
      </c>
      <c r="R724" s="412">
        <f t="shared" si="196"/>
        <v>0</v>
      </c>
      <c r="S724" s="412">
        <f t="shared" si="196"/>
        <v>0</v>
      </c>
      <c r="T724" s="412">
        <f t="shared" si="196"/>
        <v>0</v>
      </c>
      <c r="U724" s="412">
        <f t="shared" si="196"/>
        <v>0</v>
      </c>
      <c r="V724" s="412">
        <f t="shared" si="196"/>
        <v>0</v>
      </c>
      <c r="W724" s="412">
        <f t="shared" si="196"/>
        <v>0</v>
      </c>
      <c r="X724" s="412"/>
      <c r="Y724" s="412"/>
      <c r="Z724" s="412">
        <f t="shared" ref="Z724:AF724" si="197">Z723+Z717+Z705</f>
        <v>0</v>
      </c>
      <c r="AA724" s="412">
        <f t="shared" si="197"/>
        <v>0</v>
      </c>
      <c r="AB724" s="412">
        <f t="shared" si="197"/>
        <v>0</v>
      </c>
      <c r="AC724" s="412">
        <f t="shared" si="197"/>
        <v>0</v>
      </c>
      <c r="AD724" s="412">
        <f t="shared" si="197"/>
        <v>0</v>
      </c>
      <c r="AE724" s="412">
        <f t="shared" si="197"/>
        <v>0</v>
      </c>
      <c r="AF724" s="465">
        <f t="shared" si="197"/>
        <v>810393341</v>
      </c>
      <c r="AG724" s="412">
        <f>AG723+AG717+AG705</f>
        <v>2096307355</v>
      </c>
      <c r="AH724" s="412">
        <f t="shared" ref="AH724:AJ724" si="198">AH723+AH717+AH705</f>
        <v>276728160</v>
      </c>
      <c r="AI724" s="412">
        <f t="shared" si="198"/>
        <v>0</v>
      </c>
      <c r="AJ724" s="412">
        <f t="shared" si="198"/>
        <v>251747962</v>
      </c>
      <c r="AK724" s="412">
        <f>AK723+AK717+AK705</f>
        <v>3435176818</v>
      </c>
    </row>
    <row r="725" spans="1:37" s="2" customFormat="1" ht="30" customHeight="1" x14ac:dyDescent="0.25">
      <c r="A725" s="65"/>
      <c r="B725" s="65"/>
      <c r="C725" s="66"/>
      <c r="D725" s="65"/>
      <c r="E725" s="66"/>
      <c r="F725" s="66"/>
      <c r="G725" s="65"/>
      <c r="H725" s="66"/>
      <c r="I725" s="65"/>
      <c r="J725" s="67"/>
      <c r="K725" s="113"/>
      <c r="L725" s="113"/>
      <c r="M725" s="67"/>
      <c r="N725" s="67"/>
      <c r="O725" s="322"/>
      <c r="P725" s="67"/>
      <c r="Q725" s="413">
        <f t="shared" ref="Q725:W725" si="199">Q724</f>
        <v>0</v>
      </c>
      <c r="R725" s="413">
        <f t="shared" si="199"/>
        <v>0</v>
      </c>
      <c r="S725" s="413">
        <f t="shared" si="199"/>
        <v>0</v>
      </c>
      <c r="T725" s="413">
        <f t="shared" si="199"/>
        <v>0</v>
      </c>
      <c r="U725" s="413">
        <f t="shared" si="199"/>
        <v>0</v>
      </c>
      <c r="V725" s="413">
        <f t="shared" si="199"/>
        <v>0</v>
      </c>
      <c r="W725" s="413">
        <f t="shared" si="199"/>
        <v>0</v>
      </c>
      <c r="X725" s="413"/>
      <c r="Y725" s="413"/>
      <c r="Z725" s="413">
        <f t="shared" ref="Z725:AC725" si="200">Z724</f>
        <v>0</v>
      </c>
      <c r="AA725" s="413">
        <f t="shared" si="200"/>
        <v>0</v>
      </c>
      <c r="AB725" s="413">
        <f t="shared" si="200"/>
        <v>0</v>
      </c>
      <c r="AC725" s="413">
        <f t="shared" si="200"/>
        <v>0</v>
      </c>
      <c r="AD725" s="413">
        <f t="shared" ref="AD725:AF725" si="201">AD724</f>
        <v>0</v>
      </c>
      <c r="AE725" s="413">
        <f t="shared" si="201"/>
        <v>0</v>
      </c>
      <c r="AF725" s="466">
        <f t="shared" si="201"/>
        <v>810393341</v>
      </c>
      <c r="AG725" s="413">
        <f>AG724</f>
        <v>2096307355</v>
      </c>
      <c r="AH725" s="413">
        <f t="shared" ref="AH725:AJ725" si="202">AH724</f>
        <v>276728160</v>
      </c>
      <c r="AI725" s="413">
        <f t="shared" si="202"/>
        <v>0</v>
      </c>
      <c r="AJ725" s="413">
        <f t="shared" si="202"/>
        <v>251747962</v>
      </c>
      <c r="AK725" s="413">
        <f>AK724</f>
        <v>3435176818</v>
      </c>
    </row>
    <row r="726" spans="1:37" s="2" customFormat="1" ht="30" customHeight="1" x14ac:dyDescent="0.25">
      <c r="A726" s="68"/>
      <c r="B726" s="69"/>
      <c r="C726" s="146"/>
      <c r="D726" s="69"/>
      <c r="E726" s="146"/>
      <c r="F726" s="146"/>
      <c r="G726" s="69"/>
      <c r="H726" s="146"/>
      <c r="I726" s="69"/>
      <c r="J726" s="70"/>
      <c r="K726" s="257"/>
      <c r="L726" s="257"/>
      <c r="M726" s="70"/>
      <c r="N726" s="70"/>
      <c r="O726" s="87"/>
      <c r="P726" s="70"/>
      <c r="Q726" s="395"/>
      <c r="R726" s="396"/>
      <c r="S726" s="395"/>
      <c r="T726" s="395"/>
      <c r="U726" s="395"/>
      <c r="V726" s="395"/>
      <c r="W726" s="395"/>
      <c r="X726" s="395"/>
      <c r="Y726" s="395"/>
      <c r="Z726" s="395"/>
      <c r="AA726" s="395"/>
      <c r="AB726" s="395"/>
      <c r="AC726" s="395"/>
      <c r="AD726" s="395"/>
      <c r="AE726" s="395"/>
      <c r="AF726" s="395"/>
      <c r="AG726" s="395"/>
      <c r="AH726" s="395"/>
      <c r="AI726" s="395"/>
      <c r="AJ726" s="396"/>
      <c r="AK726" s="395"/>
    </row>
    <row r="727" spans="1:37" ht="30" customHeight="1" x14ac:dyDescent="0.2">
      <c r="A727" s="349" t="s">
        <v>914</v>
      </c>
      <c r="B727" s="349"/>
      <c r="C727" s="350"/>
      <c r="D727" s="349"/>
      <c r="E727" s="349"/>
      <c r="F727" s="349"/>
      <c r="G727" s="351"/>
      <c r="H727" s="352"/>
      <c r="I727" s="351"/>
      <c r="J727" s="351"/>
      <c r="K727" s="353"/>
      <c r="L727" s="353"/>
      <c r="M727" s="351"/>
      <c r="N727" s="352"/>
      <c r="O727" s="351"/>
      <c r="P727" s="352"/>
      <c r="Q727" s="501"/>
      <c r="R727" s="501"/>
      <c r="S727" s="501"/>
      <c r="T727" s="501"/>
      <c r="U727" s="501"/>
      <c r="V727" s="501"/>
      <c r="W727" s="501"/>
      <c r="X727" s="501"/>
      <c r="Y727" s="501"/>
      <c r="Z727" s="501"/>
      <c r="AA727" s="501"/>
      <c r="AB727" s="501"/>
      <c r="AC727" s="501"/>
      <c r="AD727" s="501"/>
      <c r="AE727" s="501"/>
      <c r="AF727" s="502"/>
      <c r="AG727" s="503"/>
      <c r="AH727" s="501"/>
      <c r="AI727" s="501"/>
      <c r="AJ727" s="501"/>
      <c r="AK727" s="504"/>
    </row>
    <row r="728" spans="1:37" ht="30" customHeight="1" x14ac:dyDescent="0.2">
      <c r="A728" s="658">
        <v>2</v>
      </c>
      <c r="B728" s="845" t="s">
        <v>123</v>
      </c>
      <c r="C728" s="845"/>
      <c r="D728" s="845"/>
      <c r="E728" s="845"/>
      <c r="F728" s="234"/>
      <c r="G728" s="354"/>
      <c r="H728" s="355"/>
      <c r="I728" s="354"/>
      <c r="J728" s="354"/>
      <c r="K728" s="356"/>
      <c r="L728" s="356"/>
      <c r="M728" s="354"/>
      <c r="N728" s="355"/>
      <c r="O728" s="354"/>
      <c r="P728" s="354"/>
      <c r="Q728" s="505"/>
      <c r="R728" s="505"/>
      <c r="S728" s="505"/>
      <c r="T728" s="505"/>
      <c r="U728" s="505"/>
      <c r="V728" s="505"/>
      <c r="W728" s="505"/>
      <c r="X728" s="505"/>
      <c r="Y728" s="505"/>
      <c r="Z728" s="505"/>
      <c r="AA728" s="505"/>
      <c r="AB728" s="505"/>
      <c r="AC728" s="505"/>
      <c r="AD728" s="505"/>
      <c r="AE728" s="505"/>
      <c r="AF728" s="506"/>
      <c r="AG728" s="505"/>
      <c r="AH728" s="505"/>
      <c r="AI728" s="505"/>
      <c r="AJ728" s="505"/>
      <c r="AK728" s="452"/>
    </row>
    <row r="729" spans="1:37" ht="30" customHeight="1" x14ac:dyDescent="0.2">
      <c r="A729" s="378"/>
      <c r="B729" s="148">
        <v>4</v>
      </c>
      <c r="C729" s="846" t="s">
        <v>124</v>
      </c>
      <c r="D729" s="846"/>
      <c r="E729" s="846"/>
      <c r="F729" s="846"/>
      <c r="G729" s="357"/>
      <c r="H729" s="358"/>
      <c r="I729" s="357"/>
      <c r="J729" s="357"/>
      <c r="K729" s="359"/>
      <c r="L729" s="359"/>
      <c r="M729" s="357"/>
      <c r="N729" s="358"/>
      <c r="O729" s="357"/>
      <c r="P729" s="357"/>
      <c r="Q729" s="507"/>
      <c r="R729" s="507"/>
      <c r="S729" s="507"/>
      <c r="T729" s="507"/>
      <c r="U729" s="507"/>
      <c r="V729" s="507"/>
      <c r="W729" s="507"/>
      <c r="X729" s="507"/>
      <c r="Y729" s="507"/>
      <c r="Z729" s="507"/>
      <c r="AA729" s="507"/>
      <c r="AB729" s="507"/>
      <c r="AC729" s="507"/>
      <c r="AD729" s="507"/>
      <c r="AE729" s="507"/>
      <c r="AF729" s="508"/>
      <c r="AG729" s="507"/>
      <c r="AH729" s="507"/>
      <c r="AI729" s="507"/>
      <c r="AJ729" s="507"/>
      <c r="AK729" s="509"/>
    </row>
    <row r="730" spans="1:37" ht="30" customHeight="1" x14ac:dyDescent="0.2">
      <c r="A730" s="39"/>
      <c r="B730" s="73"/>
      <c r="C730" s="26"/>
      <c r="D730" s="73"/>
      <c r="E730" s="73"/>
      <c r="F730" s="73"/>
      <c r="G730" s="215">
        <v>14</v>
      </c>
      <c r="H730" s="169" t="s">
        <v>125</v>
      </c>
      <c r="I730" s="77"/>
      <c r="J730" s="77"/>
      <c r="K730" s="124"/>
      <c r="L730" s="124"/>
      <c r="M730" s="77"/>
      <c r="N730" s="169"/>
      <c r="O730" s="77"/>
      <c r="P730" s="77"/>
      <c r="Q730" s="263"/>
      <c r="R730" s="263"/>
      <c r="S730" s="263"/>
      <c r="T730" s="263"/>
      <c r="U730" s="263"/>
      <c r="V730" s="263"/>
      <c r="W730" s="263"/>
      <c r="X730" s="263"/>
      <c r="Y730" s="263"/>
      <c r="Z730" s="263"/>
      <c r="AA730" s="263"/>
      <c r="AB730" s="263"/>
      <c r="AC730" s="263"/>
      <c r="AD730" s="263"/>
      <c r="AE730" s="263"/>
      <c r="AF730" s="404"/>
      <c r="AG730" s="263"/>
      <c r="AH730" s="263"/>
      <c r="AI730" s="263"/>
      <c r="AJ730" s="263"/>
      <c r="AK730" s="265"/>
    </row>
    <row r="731" spans="1:37" ht="88.5" customHeight="1" x14ac:dyDescent="0.2">
      <c r="A731" s="39"/>
      <c r="B731" s="39"/>
      <c r="C731" s="650">
        <v>7</v>
      </c>
      <c r="D731" s="656" t="s">
        <v>915</v>
      </c>
      <c r="E731" s="664">
        <v>0.317</v>
      </c>
      <c r="F731" s="660">
        <v>0.27</v>
      </c>
      <c r="G731" s="48"/>
      <c r="H731" s="130">
        <v>54</v>
      </c>
      <c r="I731" s="679" t="s">
        <v>127</v>
      </c>
      <c r="J731" s="54">
        <v>129.85</v>
      </c>
      <c r="K731" s="105">
        <v>130</v>
      </c>
      <c r="L731" s="43">
        <v>2017003630058</v>
      </c>
      <c r="M731" s="54" t="s">
        <v>916</v>
      </c>
      <c r="N731" s="652" t="s">
        <v>917</v>
      </c>
      <c r="O731" s="360" t="s">
        <v>918</v>
      </c>
      <c r="P731" s="54" t="s">
        <v>46</v>
      </c>
      <c r="Q731" s="391"/>
      <c r="R731" s="391"/>
      <c r="S731" s="391"/>
      <c r="T731" s="391"/>
      <c r="U731" s="391"/>
      <c r="V731" s="394"/>
      <c r="W731" s="391"/>
      <c r="X731" s="391"/>
      <c r="Y731" s="391"/>
      <c r="Z731" s="391"/>
      <c r="AA731" s="391"/>
      <c r="AB731" s="391"/>
      <c r="AC731" s="391"/>
      <c r="AD731" s="391"/>
      <c r="AE731" s="391"/>
      <c r="AF731" s="392">
        <v>0</v>
      </c>
      <c r="AG731" s="405"/>
      <c r="AH731" s="361">
        <f>240000000</f>
        <v>240000000</v>
      </c>
      <c r="AI731" s="362"/>
      <c r="AJ731" s="393"/>
      <c r="AK731" s="391">
        <f>Q731+R731+S731+T731+U731+V731+W731+X731+Y731+Z731+AA731+AB731+AC731+AD731+AE731+AF731+AG731+AH731+AI731+AJ731</f>
        <v>240000000</v>
      </c>
    </row>
    <row r="732" spans="1:37" ht="30" customHeight="1" x14ac:dyDescent="0.2">
      <c r="A732" s="39"/>
      <c r="B732" s="39"/>
      <c r="C732" s="650"/>
      <c r="D732" s="46"/>
      <c r="E732" s="46"/>
      <c r="F732" s="46"/>
      <c r="G732" s="553">
        <v>15</v>
      </c>
      <c r="H732" s="157" t="s">
        <v>133</v>
      </c>
      <c r="I732" s="158"/>
      <c r="J732" s="158"/>
      <c r="K732" s="535"/>
      <c r="L732" s="535"/>
      <c r="M732" s="158"/>
      <c r="N732" s="383"/>
      <c r="O732" s="158"/>
      <c r="P732" s="158"/>
      <c r="Q732" s="432">
        <f>SUM(Q731)</f>
        <v>0</v>
      </c>
      <c r="R732" s="432">
        <f>SUM(R731)</f>
        <v>0</v>
      </c>
      <c r="S732" s="432">
        <f t="shared" ref="S732:AJ732" si="203">SUM(S731)</f>
        <v>0</v>
      </c>
      <c r="T732" s="432">
        <f t="shared" si="203"/>
        <v>0</v>
      </c>
      <c r="U732" s="432">
        <f t="shared" si="203"/>
        <v>0</v>
      </c>
      <c r="V732" s="432">
        <f t="shared" si="203"/>
        <v>0</v>
      </c>
      <c r="W732" s="432">
        <f t="shared" si="203"/>
        <v>0</v>
      </c>
      <c r="X732" s="432">
        <f t="shared" si="203"/>
        <v>0</v>
      </c>
      <c r="Y732" s="432">
        <f t="shared" si="203"/>
        <v>0</v>
      </c>
      <c r="Z732" s="432">
        <f t="shared" si="203"/>
        <v>0</v>
      </c>
      <c r="AA732" s="432">
        <f t="shared" si="203"/>
        <v>0</v>
      </c>
      <c r="AB732" s="432">
        <f t="shared" si="203"/>
        <v>0</v>
      </c>
      <c r="AC732" s="432">
        <f t="shared" si="203"/>
        <v>0</v>
      </c>
      <c r="AD732" s="432">
        <f t="shared" si="203"/>
        <v>0</v>
      </c>
      <c r="AE732" s="432">
        <f t="shared" si="203"/>
        <v>0</v>
      </c>
      <c r="AF732" s="433">
        <f t="shared" si="203"/>
        <v>0</v>
      </c>
      <c r="AG732" s="433">
        <f t="shared" si="203"/>
        <v>0</v>
      </c>
      <c r="AH732" s="497">
        <f t="shared" si="203"/>
        <v>240000000</v>
      </c>
      <c r="AI732" s="433">
        <f t="shared" si="203"/>
        <v>0</v>
      </c>
      <c r="AJ732" s="433">
        <f t="shared" si="203"/>
        <v>0</v>
      </c>
      <c r="AK732" s="575">
        <f>SUM(AK731)</f>
        <v>240000000</v>
      </c>
    </row>
    <row r="733" spans="1:37" ht="30" customHeight="1" x14ac:dyDescent="0.2">
      <c r="A733" s="39"/>
      <c r="B733" s="201"/>
      <c r="C733" s="133"/>
      <c r="D733" s="134"/>
      <c r="E733" s="134"/>
      <c r="F733" s="134"/>
      <c r="G733" s="245"/>
      <c r="H733" s="38"/>
      <c r="I733" s="38"/>
      <c r="J733" s="38"/>
      <c r="K733" s="536"/>
      <c r="L733" s="536"/>
      <c r="M733" s="38"/>
      <c r="N733" s="212"/>
      <c r="O733" s="38"/>
      <c r="P733" s="38"/>
      <c r="Q733" s="537"/>
      <c r="R733" s="537"/>
      <c r="S733" s="537"/>
      <c r="T733" s="537"/>
      <c r="U733" s="537"/>
      <c r="V733" s="537"/>
      <c r="W733" s="537"/>
      <c r="X733" s="537"/>
      <c r="Y733" s="537"/>
      <c r="Z733" s="537"/>
      <c r="AA733" s="537"/>
      <c r="AB733" s="537"/>
      <c r="AC733" s="537"/>
      <c r="AD733" s="537"/>
      <c r="AE733" s="537"/>
      <c r="AF733" s="538"/>
      <c r="AG733" s="538"/>
      <c r="AH733" s="538"/>
      <c r="AI733" s="538"/>
      <c r="AJ733" s="538"/>
      <c r="AK733" s="537"/>
    </row>
    <row r="734" spans="1:37" ht="77.25" customHeight="1" x14ac:dyDescent="0.2">
      <c r="A734" s="39"/>
      <c r="B734" s="39"/>
      <c r="C734" s="662">
        <v>7</v>
      </c>
      <c r="D734" s="657" t="s">
        <v>915</v>
      </c>
      <c r="E734" s="284">
        <v>0.317</v>
      </c>
      <c r="F734" s="663">
        <v>0.27</v>
      </c>
      <c r="G734" s="48"/>
      <c r="H734" s="662">
        <v>59</v>
      </c>
      <c r="I734" s="657" t="s">
        <v>141</v>
      </c>
      <c r="J734" s="662">
        <v>82</v>
      </c>
      <c r="K734" s="666">
        <v>12</v>
      </c>
      <c r="L734" s="851">
        <v>2017003630058</v>
      </c>
      <c r="M734" s="247" t="s">
        <v>140</v>
      </c>
      <c r="N734" s="853" t="s">
        <v>917</v>
      </c>
      <c r="O734" s="855" t="s">
        <v>918</v>
      </c>
      <c r="P734" s="662" t="s">
        <v>61</v>
      </c>
      <c r="Q734" s="416">
        <v>0</v>
      </c>
      <c r="R734" s="416">
        <v>0</v>
      </c>
      <c r="S734" s="684">
        <f>550000000+17250000+632750000</f>
        <v>1200000000</v>
      </c>
      <c r="T734" s="416">
        <v>0</v>
      </c>
      <c r="U734" s="416">
        <v>0</v>
      </c>
      <c r="V734" s="416">
        <v>0</v>
      </c>
      <c r="W734" s="416">
        <v>0</v>
      </c>
      <c r="X734" s="416"/>
      <c r="Y734" s="416"/>
      <c r="Z734" s="416">
        <v>0</v>
      </c>
      <c r="AA734" s="416">
        <v>0</v>
      </c>
      <c r="AB734" s="416"/>
      <c r="AC734" s="416"/>
      <c r="AD734" s="416">
        <v>0</v>
      </c>
      <c r="AE734" s="416">
        <v>0</v>
      </c>
      <c r="AF734" s="441">
        <v>0</v>
      </c>
      <c r="AG734" s="440"/>
      <c r="AH734" s="554">
        <v>0</v>
      </c>
      <c r="AI734" s="555">
        <v>0</v>
      </c>
      <c r="AJ734" s="444">
        <v>0</v>
      </c>
      <c r="AK734" s="391">
        <f>Q734+R734+S734+T734+U734+V734+W734+X734+Y734+Z734+AA734+AB734+AC734+AD734+AE734+AF734+AG734+AH734+AI734+AJ734</f>
        <v>1200000000</v>
      </c>
    </row>
    <row r="735" spans="1:37" ht="77.25" customHeight="1" x14ac:dyDescent="0.2">
      <c r="A735" s="39"/>
      <c r="B735" s="39"/>
      <c r="C735" s="54">
        <v>7</v>
      </c>
      <c r="D735" s="679" t="s">
        <v>915</v>
      </c>
      <c r="E735" s="259">
        <v>0.317</v>
      </c>
      <c r="F735" s="252">
        <v>0.27</v>
      </c>
      <c r="G735" s="48"/>
      <c r="H735" s="54">
        <v>57</v>
      </c>
      <c r="I735" s="679" t="s">
        <v>135</v>
      </c>
      <c r="J735" s="54">
        <v>103</v>
      </c>
      <c r="K735" s="105">
        <v>12</v>
      </c>
      <c r="L735" s="851"/>
      <c r="M735" s="363" t="s">
        <v>136</v>
      </c>
      <c r="N735" s="853"/>
      <c r="O735" s="855"/>
      <c r="P735" s="54" t="s">
        <v>61</v>
      </c>
      <c r="Q735" s="391"/>
      <c r="R735" s="391"/>
      <c r="S735" s="364">
        <f>550000000-250000000</f>
        <v>300000000</v>
      </c>
      <c r="T735" s="391"/>
      <c r="U735" s="391"/>
      <c r="V735" s="391"/>
      <c r="W735" s="391"/>
      <c r="X735" s="391"/>
      <c r="Y735" s="391"/>
      <c r="Z735" s="391"/>
      <c r="AA735" s="391"/>
      <c r="AB735" s="391"/>
      <c r="AC735" s="391"/>
      <c r="AD735" s="391"/>
      <c r="AE735" s="391"/>
      <c r="AF735" s="392"/>
      <c r="AG735" s="405"/>
      <c r="AH735" s="393">
        <v>0</v>
      </c>
      <c r="AI735" s="393"/>
      <c r="AJ735" s="418"/>
      <c r="AK735" s="391">
        <f>Q735+R735+S735+T735+U735+V735+W735+X735+Y735+Z735+AA735+AB735+AC735+AD735+AE735+AF735+AG735+AH735+AI735+AJ735</f>
        <v>300000000</v>
      </c>
    </row>
    <row r="736" spans="1:37" ht="77.25" customHeight="1" x14ac:dyDescent="0.2">
      <c r="A736" s="39"/>
      <c r="B736" s="39"/>
      <c r="C736" s="54">
        <v>7</v>
      </c>
      <c r="D736" s="679" t="s">
        <v>915</v>
      </c>
      <c r="E736" s="259">
        <v>0.317</v>
      </c>
      <c r="F736" s="252">
        <v>0.27</v>
      </c>
      <c r="G736" s="48"/>
      <c r="H736" s="54">
        <v>60</v>
      </c>
      <c r="I736" s="679" t="s">
        <v>142</v>
      </c>
      <c r="J736" s="54">
        <v>9</v>
      </c>
      <c r="K736" s="105">
        <v>12</v>
      </c>
      <c r="L736" s="851"/>
      <c r="M736" s="363" t="s">
        <v>140</v>
      </c>
      <c r="N736" s="853"/>
      <c r="O736" s="855"/>
      <c r="P736" s="54" t="s">
        <v>61</v>
      </c>
      <c r="Q736" s="391">
        <v>0</v>
      </c>
      <c r="R736" s="391">
        <v>0</v>
      </c>
      <c r="S736" s="364">
        <v>0</v>
      </c>
      <c r="T736" s="391">
        <v>0</v>
      </c>
      <c r="U736" s="391">
        <v>0</v>
      </c>
      <c r="V736" s="391">
        <v>0</v>
      </c>
      <c r="W736" s="391">
        <v>0</v>
      </c>
      <c r="X736" s="391"/>
      <c r="Y736" s="391"/>
      <c r="Z736" s="391">
        <v>0</v>
      </c>
      <c r="AA736" s="391">
        <v>0</v>
      </c>
      <c r="AB736" s="391"/>
      <c r="AC736" s="391"/>
      <c r="AD736" s="391">
        <v>0</v>
      </c>
      <c r="AE736" s="391">
        <v>0</v>
      </c>
      <c r="AF736" s="392"/>
      <c r="AG736" s="405"/>
      <c r="AH736" s="467">
        <f>388000000+49642368</f>
        <v>437642368</v>
      </c>
      <c r="AI736" s="470"/>
      <c r="AJ736" s="393">
        <v>0</v>
      </c>
      <c r="AK736" s="391">
        <f>Q736+R736+S736+T736+U736+V736+W736+X736+Y736+Z736+AA736+AB736+AC736+AD736+AE736+AF736+AG736+AH736+AI736+AJ736</f>
        <v>437642368</v>
      </c>
    </row>
    <row r="737" spans="1:37" ht="77.25" customHeight="1" thickBot="1" x14ac:dyDescent="0.25">
      <c r="A737" s="39"/>
      <c r="B737" s="39"/>
      <c r="C737" s="661">
        <v>7</v>
      </c>
      <c r="D737" s="655" t="s">
        <v>915</v>
      </c>
      <c r="E737" s="682">
        <v>0.317</v>
      </c>
      <c r="F737" s="681">
        <v>0.27</v>
      </c>
      <c r="G737" s="48"/>
      <c r="H737" s="54">
        <v>63</v>
      </c>
      <c r="I737" s="679" t="s">
        <v>145</v>
      </c>
      <c r="J737" s="54" t="s">
        <v>37</v>
      </c>
      <c r="K737" s="105">
        <v>250</v>
      </c>
      <c r="L737" s="852"/>
      <c r="M737" s="363" t="s">
        <v>146</v>
      </c>
      <c r="N737" s="854"/>
      <c r="O737" s="856"/>
      <c r="P737" s="54" t="s">
        <v>61</v>
      </c>
      <c r="Q737" s="391"/>
      <c r="R737" s="391"/>
      <c r="S737" s="467">
        <f>550000000-382750000</f>
        <v>167250000</v>
      </c>
      <c r="T737" s="391"/>
      <c r="U737" s="391"/>
      <c r="V737" s="391"/>
      <c r="W737" s="391"/>
      <c r="X737" s="391"/>
      <c r="Y737" s="391"/>
      <c r="Z737" s="391"/>
      <c r="AA737" s="391"/>
      <c r="AB737" s="391"/>
      <c r="AC737" s="391"/>
      <c r="AD737" s="391"/>
      <c r="AE737" s="391"/>
      <c r="AF737" s="510"/>
      <c r="AG737" s="511"/>
      <c r="AH737" s="467">
        <v>140000000</v>
      </c>
      <c r="AI737" s="470"/>
      <c r="AJ737" s="393"/>
      <c r="AK737" s="391">
        <f>Q737+R737+S737+T737+U737+V737+W737+X737+Y737+Z737+AA737+AB737+AC737+AD737+AE737+AF737+AG737+AH737+AI737+AJ737</f>
        <v>307250000</v>
      </c>
    </row>
    <row r="738" spans="1:37" ht="30" customHeight="1" x14ac:dyDescent="0.2">
      <c r="A738" s="379"/>
      <c r="B738" s="52"/>
      <c r="C738" s="662"/>
      <c r="D738" s="657"/>
      <c r="E738" s="662"/>
      <c r="F738" s="662"/>
      <c r="G738" s="272"/>
      <c r="H738" s="56"/>
      <c r="I738" s="55"/>
      <c r="J738" s="56"/>
      <c r="K738" s="132"/>
      <c r="L738" s="132"/>
      <c r="M738" s="286"/>
      <c r="N738" s="56"/>
      <c r="O738" s="55"/>
      <c r="P738" s="56"/>
      <c r="Q738" s="400">
        <f>SUM(Q734:Q737)</f>
        <v>0</v>
      </c>
      <c r="R738" s="400">
        <f>SUM(R734:R737)</f>
        <v>0</v>
      </c>
      <c r="S738" s="400">
        <f>SUM(S734:S737)</f>
        <v>1667250000</v>
      </c>
      <c r="T738" s="400">
        <f t="shared" ref="T738:AF738" si="204">SUM(T734:T737)</f>
        <v>0</v>
      </c>
      <c r="U738" s="400">
        <f t="shared" si="204"/>
        <v>0</v>
      </c>
      <c r="V738" s="400">
        <f t="shared" si="204"/>
        <v>0</v>
      </c>
      <c r="W738" s="400">
        <f t="shared" si="204"/>
        <v>0</v>
      </c>
      <c r="X738" s="400">
        <f t="shared" si="204"/>
        <v>0</v>
      </c>
      <c r="Y738" s="400">
        <f t="shared" si="204"/>
        <v>0</v>
      </c>
      <c r="Z738" s="400">
        <f t="shared" si="204"/>
        <v>0</v>
      </c>
      <c r="AA738" s="400">
        <f t="shared" si="204"/>
        <v>0</v>
      </c>
      <c r="AB738" s="400">
        <f t="shared" si="204"/>
        <v>0</v>
      </c>
      <c r="AC738" s="400">
        <f t="shared" si="204"/>
        <v>0</v>
      </c>
      <c r="AD738" s="400">
        <f t="shared" si="204"/>
        <v>0</v>
      </c>
      <c r="AE738" s="400">
        <f t="shared" si="204"/>
        <v>0</v>
      </c>
      <c r="AF738" s="463">
        <f t="shared" si="204"/>
        <v>0</v>
      </c>
      <c r="AG738" s="400"/>
      <c r="AH738" s="400">
        <f>SUM(AH734:AH737)</f>
        <v>577642368</v>
      </c>
      <c r="AI738" s="400">
        <f>SUM(AI734:AI737)</f>
        <v>0</v>
      </c>
      <c r="AJ738" s="400">
        <f>SUM(AJ734:AJ737)</f>
        <v>0</v>
      </c>
      <c r="AK738" s="400">
        <f>SUM(AK734:AK737)</f>
        <v>2244892368</v>
      </c>
    </row>
    <row r="739" spans="1:37" ht="30" customHeight="1" x14ac:dyDescent="0.2">
      <c r="A739" s="380"/>
      <c r="B739" s="59"/>
      <c r="C739" s="60"/>
      <c r="D739" s="59"/>
      <c r="E739" s="60"/>
      <c r="F739" s="60"/>
      <c r="G739" s="93"/>
      <c r="H739" s="60"/>
      <c r="I739" s="59"/>
      <c r="J739" s="60"/>
      <c r="K739" s="143"/>
      <c r="L739" s="143"/>
      <c r="M739" s="60"/>
      <c r="N739" s="60"/>
      <c r="O739" s="59"/>
      <c r="P739" s="60"/>
      <c r="Q739" s="406">
        <f t="shared" ref="Q739:AK741" si="205">Q738</f>
        <v>0</v>
      </c>
      <c r="R739" s="406">
        <f t="shared" si="205"/>
        <v>0</v>
      </c>
      <c r="S739" s="406">
        <f t="shared" si="205"/>
        <v>1667250000</v>
      </c>
      <c r="T739" s="406">
        <f t="shared" si="205"/>
        <v>0</v>
      </c>
      <c r="U739" s="406">
        <f t="shared" si="205"/>
        <v>0</v>
      </c>
      <c r="V739" s="406">
        <f t="shared" si="205"/>
        <v>0</v>
      </c>
      <c r="W739" s="406">
        <f t="shared" si="205"/>
        <v>0</v>
      </c>
      <c r="X739" s="406"/>
      <c r="Y739" s="406"/>
      <c r="Z739" s="406">
        <f t="shared" si="205"/>
        <v>0</v>
      </c>
      <c r="AA739" s="406">
        <f t="shared" si="205"/>
        <v>0</v>
      </c>
      <c r="AB739" s="406">
        <f t="shared" si="205"/>
        <v>0</v>
      </c>
      <c r="AC739" s="406">
        <f t="shared" si="205"/>
        <v>0</v>
      </c>
      <c r="AD739" s="406">
        <f t="shared" si="205"/>
        <v>0</v>
      </c>
      <c r="AE739" s="406">
        <f t="shared" si="205"/>
        <v>0</v>
      </c>
      <c r="AF739" s="464">
        <f>AF738+AF732</f>
        <v>0</v>
      </c>
      <c r="AG739" s="406"/>
      <c r="AH739" s="406">
        <f>AH738+AH732</f>
        <v>817642368</v>
      </c>
      <c r="AI739" s="406">
        <f>AI738+AI732</f>
        <v>0</v>
      </c>
      <c r="AJ739" s="406">
        <f>AJ738+AJ732</f>
        <v>0</v>
      </c>
      <c r="AK739" s="406">
        <f>AK738+AK732</f>
        <v>2484892368</v>
      </c>
    </row>
    <row r="740" spans="1:37" ht="30" customHeight="1" x14ac:dyDescent="0.2">
      <c r="A740" s="62"/>
      <c r="B740" s="62"/>
      <c r="C740" s="63"/>
      <c r="D740" s="62"/>
      <c r="E740" s="63"/>
      <c r="F740" s="63"/>
      <c r="G740" s="144"/>
      <c r="H740" s="63"/>
      <c r="I740" s="62"/>
      <c r="J740" s="63"/>
      <c r="K740" s="145"/>
      <c r="L740" s="145"/>
      <c r="M740" s="63"/>
      <c r="N740" s="63"/>
      <c r="O740" s="62"/>
      <c r="P740" s="63"/>
      <c r="Q740" s="412">
        <f t="shared" si="205"/>
        <v>0</v>
      </c>
      <c r="R740" s="412">
        <f t="shared" si="205"/>
        <v>0</v>
      </c>
      <c r="S740" s="412">
        <f t="shared" si="205"/>
        <v>1667250000</v>
      </c>
      <c r="T740" s="412">
        <f t="shared" si="205"/>
        <v>0</v>
      </c>
      <c r="U740" s="412">
        <f t="shared" si="205"/>
        <v>0</v>
      </c>
      <c r="V740" s="412">
        <f t="shared" si="205"/>
        <v>0</v>
      </c>
      <c r="W740" s="412">
        <f t="shared" si="205"/>
        <v>0</v>
      </c>
      <c r="X740" s="412"/>
      <c r="Y740" s="412"/>
      <c r="Z740" s="412">
        <f t="shared" si="205"/>
        <v>0</v>
      </c>
      <c r="AA740" s="412">
        <f t="shared" si="205"/>
        <v>0</v>
      </c>
      <c r="AB740" s="412">
        <f t="shared" si="205"/>
        <v>0</v>
      </c>
      <c r="AC740" s="412">
        <f t="shared" si="205"/>
        <v>0</v>
      </c>
      <c r="AD740" s="412">
        <f t="shared" si="205"/>
        <v>0</v>
      </c>
      <c r="AE740" s="412">
        <f t="shared" si="205"/>
        <v>0</v>
      </c>
      <c r="AF740" s="465">
        <f t="shared" si="205"/>
        <v>0</v>
      </c>
      <c r="AG740" s="412"/>
      <c r="AH740" s="412">
        <f t="shared" si="205"/>
        <v>817642368</v>
      </c>
      <c r="AI740" s="412">
        <f>AI739</f>
        <v>0</v>
      </c>
      <c r="AJ740" s="412">
        <f>AJ739</f>
        <v>0</v>
      </c>
      <c r="AK740" s="412">
        <f t="shared" si="205"/>
        <v>2484892368</v>
      </c>
    </row>
    <row r="741" spans="1:37" ht="30" customHeight="1" x14ac:dyDescent="0.2">
      <c r="A741" s="539"/>
      <c r="B741" s="539"/>
      <c r="C741" s="540"/>
      <c r="D741" s="539"/>
      <c r="E741" s="540"/>
      <c r="F741" s="540"/>
      <c r="G741" s="541"/>
      <c r="H741" s="540"/>
      <c r="I741" s="539"/>
      <c r="J741" s="540"/>
      <c r="K741" s="542"/>
      <c r="L741" s="542"/>
      <c r="M741" s="540"/>
      <c r="N741" s="540"/>
      <c r="O741" s="539"/>
      <c r="P741" s="540"/>
      <c r="Q741" s="543">
        <f t="shared" si="205"/>
        <v>0</v>
      </c>
      <c r="R741" s="543">
        <f t="shared" si="205"/>
        <v>0</v>
      </c>
      <c r="S741" s="543">
        <f t="shared" si="205"/>
        <v>1667250000</v>
      </c>
      <c r="T741" s="543">
        <f t="shared" si="205"/>
        <v>0</v>
      </c>
      <c r="U741" s="543">
        <f t="shared" si="205"/>
        <v>0</v>
      </c>
      <c r="V741" s="543">
        <f t="shared" si="205"/>
        <v>0</v>
      </c>
      <c r="W741" s="543">
        <f t="shared" si="205"/>
        <v>0</v>
      </c>
      <c r="X741" s="543"/>
      <c r="Y741" s="543"/>
      <c r="Z741" s="543">
        <f t="shared" si="205"/>
        <v>0</v>
      </c>
      <c r="AA741" s="543">
        <f t="shared" si="205"/>
        <v>0</v>
      </c>
      <c r="AB741" s="543">
        <f t="shared" si="205"/>
        <v>0</v>
      </c>
      <c r="AC741" s="543">
        <f t="shared" si="205"/>
        <v>0</v>
      </c>
      <c r="AD741" s="543">
        <f t="shared" si="205"/>
        <v>0</v>
      </c>
      <c r="AE741" s="543">
        <f t="shared" si="205"/>
        <v>0</v>
      </c>
      <c r="AF741" s="544">
        <f t="shared" si="205"/>
        <v>0</v>
      </c>
      <c r="AG741" s="543"/>
      <c r="AH741" s="543">
        <f t="shared" si="205"/>
        <v>817642368</v>
      </c>
      <c r="AI741" s="543">
        <f>AI740</f>
        <v>0</v>
      </c>
      <c r="AJ741" s="543">
        <f>AJ740</f>
        <v>0</v>
      </c>
      <c r="AK741" s="543">
        <f t="shared" si="205"/>
        <v>2484892368</v>
      </c>
    </row>
    <row r="742" spans="1:37" s="13" customFormat="1" ht="30" customHeight="1" x14ac:dyDescent="0.2">
      <c r="A742" s="545"/>
      <c r="B742" s="546"/>
      <c r="C742" s="547"/>
      <c r="D742" s="546"/>
      <c r="E742" s="547"/>
      <c r="F742" s="547"/>
      <c r="G742" s="546"/>
      <c r="H742" s="547"/>
      <c r="I742" s="546"/>
      <c r="J742" s="547"/>
      <c r="K742" s="548"/>
      <c r="L742" s="548"/>
      <c r="M742" s="547"/>
      <c r="N742" s="547"/>
      <c r="O742" s="546"/>
      <c r="P742" s="547"/>
      <c r="Q742" s="396"/>
      <c r="R742" s="396"/>
      <c r="S742" s="396"/>
      <c r="T742" s="396"/>
      <c r="U742" s="396"/>
      <c r="V742" s="396"/>
      <c r="W742" s="396"/>
      <c r="X742" s="396"/>
      <c r="Y742" s="396"/>
      <c r="Z742" s="396"/>
      <c r="AA742" s="396"/>
      <c r="AB742" s="396"/>
      <c r="AC742" s="396"/>
      <c r="AD742" s="396"/>
      <c r="AE742" s="396"/>
      <c r="AF742" s="549"/>
      <c r="AG742" s="396"/>
      <c r="AH742" s="396"/>
      <c r="AI742" s="396"/>
      <c r="AJ742" s="396"/>
      <c r="AK742" s="396"/>
    </row>
    <row r="743" spans="1:37" ht="30" customHeight="1" x14ac:dyDescent="0.2">
      <c r="A743" s="349" t="s">
        <v>919</v>
      </c>
      <c r="B743" s="349"/>
      <c r="C743" s="350"/>
      <c r="D743" s="349"/>
      <c r="E743" s="349"/>
      <c r="F743" s="349"/>
      <c r="G743" s="351"/>
      <c r="H743" s="352"/>
      <c r="I743" s="351"/>
      <c r="J743" s="351"/>
      <c r="K743" s="353"/>
      <c r="L743" s="353"/>
      <c r="M743" s="351"/>
      <c r="N743" s="352"/>
      <c r="O743" s="351"/>
      <c r="P743" s="352"/>
      <c r="Q743" s="501"/>
      <c r="R743" s="501"/>
      <c r="S743" s="501"/>
      <c r="T743" s="501"/>
      <c r="U743" s="501"/>
      <c r="V743" s="501"/>
      <c r="W743" s="501"/>
      <c r="X743" s="501"/>
      <c r="Y743" s="501"/>
      <c r="Z743" s="501"/>
      <c r="AA743" s="501"/>
      <c r="AB743" s="501"/>
      <c r="AC743" s="501"/>
      <c r="AD743" s="501"/>
      <c r="AE743" s="501"/>
      <c r="AF743" s="502"/>
      <c r="AG743" s="503"/>
      <c r="AH743" s="501"/>
      <c r="AI743" s="501"/>
      <c r="AJ743" s="501"/>
      <c r="AK743" s="504"/>
    </row>
    <row r="744" spans="1:37" ht="30" customHeight="1" x14ac:dyDescent="0.2">
      <c r="A744" s="658">
        <v>4</v>
      </c>
      <c r="B744" s="339" t="s">
        <v>920</v>
      </c>
      <c r="C744" s="206"/>
      <c r="D744" s="339"/>
      <c r="E744" s="339"/>
      <c r="F744" s="234"/>
      <c r="G744" s="354"/>
      <c r="H744" s="355"/>
      <c r="I744" s="354"/>
      <c r="J744" s="354"/>
      <c r="K744" s="356"/>
      <c r="L744" s="356"/>
      <c r="M744" s="354"/>
      <c r="N744" s="355"/>
      <c r="O744" s="354"/>
      <c r="P744" s="354"/>
      <c r="Q744" s="505"/>
      <c r="R744" s="505"/>
      <c r="S744" s="505"/>
      <c r="T744" s="505"/>
      <c r="U744" s="505"/>
      <c r="V744" s="505"/>
      <c r="W744" s="505"/>
      <c r="X744" s="505"/>
      <c r="Y744" s="505"/>
      <c r="Z744" s="505"/>
      <c r="AA744" s="505"/>
      <c r="AB744" s="505"/>
      <c r="AC744" s="505"/>
      <c r="AD744" s="505"/>
      <c r="AE744" s="505"/>
      <c r="AF744" s="506"/>
      <c r="AG744" s="505"/>
      <c r="AH744" s="505"/>
      <c r="AI744" s="505"/>
      <c r="AJ744" s="505"/>
      <c r="AK744" s="452"/>
    </row>
    <row r="745" spans="1:37" ht="30" customHeight="1" x14ac:dyDescent="0.2">
      <c r="A745" s="73"/>
      <c r="B745" s="148">
        <v>23</v>
      </c>
      <c r="C745" s="195" t="s">
        <v>184</v>
      </c>
      <c r="D745" s="334"/>
      <c r="E745" s="334"/>
      <c r="F745" s="334"/>
      <c r="G745" s="36"/>
      <c r="H745" s="37"/>
      <c r="I745" s="36"/>
      <c r="J745" s="36"/>
      <c r="K745" s="122"/>
      <c r="L745" s="122"/>
      <c r="M745" s="357"/>
      <c r="N745" s="358"/>
      <c r="O745" s="357"/>
      <c r="P745" s="357"/>
      <c r="Q745" s="507"/>
      <c r="R745" s="507"/>
      <c r="S745" s="507"/>
      <c r="T745" s="507"/>
      <c r="U745" s="507"/>
      <c r="V745" s="507"/>
      <c r="W745" s="507"/>
      <c r="X745" s="507"/>
      <c r="Y745" s="507"/>
      <c r="Z745" s="507"/>
      <c r="AA745" s="507"/>
      <c r="AB745" s="507"/>
      <c r="AC745" s="507"/>
      <c r="AD745" s="507"/>
      <c r="AE745" s="507"/>
      <c r="AF745" s="508"/>
      <c r="AG745" s="507"/>
      <c r="AH745" s="507"/>
      <c r="AI745" s="507"/>
      <c r="AJ745" s="507"/>
      <c r="AK745" s="509"/>
    </row>
    <row r="746" spans="1:37" ht="30" customHeight="1" x14ac:dyDescent="0.2">
      <c r="A746" s="39"/>
      <c r="B746" s="378"/>
      <c r="C746" s="661"/>
      <c r="D746" s="655"/>
      <c r="E746" s="661"/>
      <c r="F746" s="661"/>
      <c r="G746" s="215">
        <v>77</v>
      </c>
      <c r="H746" s="76" t="s">
        <v>921</v>
      </c>
      <c r="I746" s="77"/>
      <c r="J746" s="77"/>
      <c r="K746" s="124"/>
      <c r="L746" s="124"/>
      <c r="M746" s="77"/>
      <c r="N746" s="169"/>
      <c r="O746" s="77"/>
      <c r="P746" s="77"/>
      <c r="Q746" s="263"/>
      <c r="R746" s="263"/>
      <c r="S746" s="263"/>
      <c r="T746" s="263"/>
      <c r="U746" s="263"/>
      <c r="V746" s="263"/>
      <c r="W746" s="263"/>
      <c r="X746" s="263"/>
      <c r="Y746" s="263"/>
      <c r="Z746" s="263"/>
      <c r="AA746" s="263"/>
      <c r="AB746" s="263"/>
      <c r="AC746" s="263"/>
      <c r="AD746" s="263"/>
      <c r="AE746" s="263"/>
      <c r="AF746" s="404"/>
      <c r="AG746" s="263"/>
      <c r="AH746" s="263"/>
      <c r="AI746" s="263"/>
      <c r="AJ746" s="263"/>
      <c r="AK746" s="492"/>
    </row>
    <row r="747" spans="1:37" ht="52.5" customHeight="1" x14ac:dyDescent="0.2">
      <c r="A747" s="39"/>
      <c r="B747" s="379"/>
      <c r="C747" s="775">
        <v>11</v>
      </c>
      <c r="D747" s="775" t="s">
        <v>922</v>
      </c>
      <c r="E747" s="775" t="s">
        <v>923</v>
      </c>
      <c r="F747" s="775" t="s">
        <v>924</v>
      </c>
      <c r="G747" s="161"/>
      <c r="H747" s="54">
        <v>223</v>
      </c>
      <c r="I747" s="679" t="s">
        <v>180</v>
      </c>
      <c r="J747" s="41" t="s">
        <v>37</v>
      </c>
      <c r="K747" s="42">
        <v>1</v>
      </c>
      <c r="L747" s="784">
        <v>2017003630054</v>
      </c>
      <c r="M747" s="41" t="s">
        <v>128</v>
      </c>
      <c r="N747" s="832" t="s">
        <v>925</v>
      </c>
      <c r="O747" s="777" t="s">
        <v>926</v>
      </c>
      <c r="P747" s="54" t="s">
        <v>46</v>
      </c>
      <c r="Q747" s="391">
        <v>0</v>
      </c>
      <c r="R747" s="391">
        <v>0</v>
      </c>
      <c r="S747" s="391">
        <v>0</v>
      </c>
      <c r="T747" s="391">
        <v>0</v>
      </c>
      <c r="U747" s="391">
        <v>0</v>
      </c>
      <c r="V747" s="391">
        <v>0</v>
      </c>
      <c r="W747" s="391">
        <v>0</v>
      </c>
      <c r="X747" s="391"/>
      <c r="Y747" s="391"/>
      <c r="Z747" s="391">
        <v>0</v>
      </c>
      <c r="AA747" s="391">
        <v>0</v>
      </c>
      <c r="AB747" s="391"/>
      <c r="AC747" s="391"/>
      <c r="AD747" s="391">
        <v>0</v>
      </c>
      <c r="AE747" s="391">
        <v>0</v>
      </c>
      <c r="AF747" s="392">
        <v>0</v>
      </c>
      <c r="AG747" s="405"/>
      <c r="AH747" s="392">
        <v>102733200</v>
      </c>
      <c r="AI747" s="394"/>
      <c r="AJ747" s="393">
        <v>0</v>
      </c>
      <c r="AK747" s="391">
        <f>Q747+R747+S747+T747+U747+V747+W747+X747+Y747+Z747+AA747+AB747+AC747+AD747+AE747+AF747+AG747+AH747+AI747+AJ747</f>
        <v>102733200</v>
      </c>
    </row>
    <row r="748" spans="1:37" ht="52.5" customHeight="1" x14ac:dyDescent="0.2">
      <c r="A748" s="39"/>
      <c r="B748" s="379"/>
      <c r="C748" s="775"/>
      <c r="D748" s="775"/>
      <c r="E748" s="775"/>
      <c r="F748" s="775"/>
      <c r="G748" s="48"/>
      <c r="H748" s="54">
        <v>224</v>
      </c>
      <c r="I748" s="679" t="s">
        <v>927</v>
      </c>
      <c r="J748" s="41">
        <v>0</v>
      </c>
      <c r="K748" s="42">
        <v>1</v>
      </c>
      <c r="L748" s="785"/>
      <c r="M748" s="41" t="s">
        <v>128</v>
      </c>
      <c r="N748" s="830"/>
      <c r="O748" s="778"/>
      <c r="P748" s="54" t="s">
        <v>46</v>
      </c>
      <c r="Q748" s="391">
        <v>0</v>
      </c>
      <c r="R748" s="391">
        <v>0</v>
      </c>
      <c r="S748" s="391">
        <v>0</v>
      </c>
      <c r="T748" s="391">
        <v>0</v>
      </c>
      <c r="U748" s="391">
        <v>0</v>
      </c>
      <c r="V748" s="391">
        <v>0</v>
      </c>
      <c r="W748" s="391">
        <v>0</v>
      </c>
      <c r="X748" s="391"/>
      <c r="Y748" s="391"/>
      <c r="Z748" s="391">
        <v>0</v>
      </c>
      <c r="AA748" s="391">
        <v>0</v>
      </c>
      <c r="AB748" s="391"/>
      <c r="AC748" s="391"/>
      <c r="AD748" s="391">
        <v>0</v>
      </c>
      <c r="AE748" s="391">
        <v>0</v>
      </c>
      <c r="AF748" s="392">
        <v>0</v>
      </c>
      <c r="AG748" s="405"/>
      <c r="AH748" s="392">
        <v>10600000</v>
      </c>
      <c r="AI748" s="394"/>
      <c r="AJ748" s="393">
        <v>0</v>
      </c>
      <c r="AK748" s="391">
        <f>Q748+R748+S748+T748+U748+V748+W748+X748+Y748+Z748+AA748+AB748+AC748+AD748+AE748+AF748+AG748+AH748+AI748+AJ748</f>
        <v>10600000</v>
      </c>
    </row>
    <row r="749" spans="1:37" ht="52.5" customHeight="1" x14ac:dyDescent="0.2">
      <c r="A749" s="39"/>
      <c r="B749" s="379"/>
      <c r="C749" s="775"/>
      <c r="D749" s="775"/>
      <c r="E749" s="775"/>
      <c r="F749" s="775"/>
      <c r="G749" s="50"/>
      <c r="H749" s="54">
        <v>225</v>
      </c>
      <c r="I749" s="679" t="s">
        <v>928</v>
      </c>
      <c r="J749" s="41">
        <v>0</v>
      </c>
      <c r="K749" s="42">
        <v>1</v>
      </c>
      <c r="L749" s="786"/>
      <c r="M749" s="41" t="s">
        <v>128</v>
      </c>
      <c r="N749" s="831"/>
      <c r="O749" s="779"/>
      <c r="P749" s="54" t="s">
        <v>46</v>
      </c>
      <c r="Q749" s="391">
        <v>0</v>
      </c>
      <c r="R749" s="391">
        <v>0</v>
      </c>
      <c r="S749" s="391">
        <v>0</v>
      </c>
      <c r="T749" s="391">
        <v>0</v>
      </c>
      <c r="U749" s="391">
        <v>0</v>
      </c>
      <c r="V749" s="391">
        <v>0</v>
      </c>
      <c r="W749" s="391">
        <v>0</v>
      </c>
      <c r="X749" s="391"/>
      <c r="Y749" s="391"/>
      <c r="Z749" s="391">
        <v>0</v>
      </c>
      <c r="AA749" s="391">
        <v>0</v>
      </c>
      <c r="AB749" s="391"/>
      <c r="AC749" s="391"/>
      <c r="AD749" s="391">
        <v>0</v>
      </c>
      <c r="AE749" s="391">
        <v>0</v>
      </c>
      <c r="AF749" s="392">
        <v>0</v>
      </c>
      <c r="AG749" s="405"/>
      <c r="AH749" s="392">
        <v>1666800</v>
      </c>
      <c r="AI749" s="394"/>
      <c r="AJ749" s="393">
        <v>0</v>
      </c>
      <c r="AK749" s="391">
        <f>Q749+R749+S749+T749+U749+V749+W749+X749+Y749+Z749+AA749+AB749+AC749+AD749+AE749+AF749+AG749+AH749+AI749+AJ749</f>
        <v>1666800</v>
      </c>
    </row>
    <row r="750" spans="1:37" ht="30" customHeight="1" x14ac:dyDescent="0.2">
      <c r="A750" s="39"/>
      <c r="B750" s="380"/>
      <c r="C750" s="662"/>
      <c r="D750" s="657"/>
      <c r="E750" s="662"/>
      <c r="F750" s="662"/>
      <c r="G750" s="272"/>
      <c r="H750" s="56"/>
      <c r="I750" s="55"/>
      <c r="J750" s="57"/>
      <c r="K750" s="109"/>
      <c r="L750" s="109"/>
      <c r="M750" s="57"/>
      <c r="N750" s="56"/>
      <c r="O750" s="55"/>
      <c r="P750" s="56"/>
      <c r="Q750" s="400">
        <f t="shared" ref="Q750:AH750" si="206">SUM(Q747:Q749)</f>
        <v>0</v>
      </c>
      <c r="R750" s="400">
        <f t="shared" si="206"/>
        <v>0</v>
      </c>
      <c r="S750" s="400">
        <f t="shared" si="206"/>
        <v>0</v>
      </c>
      <c r="T750" s="400">
        <f t="shared" si="206"/>
        <v>0</v>
      </c>
      <c r="U750" s="400">
        <f t="shared" si="206"/>
        <v>0</v>
      </c>
      <c r="V750" s="400">
        <f t="shared" si="206"/>
        <v>0</v>
      </c>
      <c r="W750" s="400">
        <f t="shared" si="206"/>
        <v>0</v>
      </c>
      <c r="X750" s="400"/>
      <c r="Y750" s="400"/>
      <c r="Z750" s="400">
        <f t="shared" si="206"/>
        <v>0</v>
      </c>
      <c r="AA750" s="400">
        <f t="shared" si="206"/>
        <v>0</v>
      </c>
      <c r="AB750" s="400">
        <f t="shared" si="206"/>
        <v>0</v>
      </c>
      <c r="AC750" s="400">
        <f t="shared" si="206"/>
        <v>0</v>
      </c>
      <c r="AD750" s="400">
        <f t="shared" si="206"/>
        <v>0</v>
      </c>
      <c r="AE750" s="400">
        <f t="shared" si="206"/>
        <v>0</v>
      </c>
      <c r="AF750" s="463">
        <f t="shared" si="206"/>
        <v>0</v>
      </c>
      <c r="AG750" s="400"/>
      <c r="AH750" s="400">
        <f t="shared" si="206"/>
        <v>115000000</v>
      </c>
      <c r="AI750" s="400">
        <f>SUM(AI747:AI749)</f>
        <v>0</v>
      </c>
      <c r="AJ750" s="400">
        <f>SUM(AJ747:AJ749)</f>
        <v>0</v>
      </c>
      <c r="AK750" s="400">
        <f>SUM(AK747:AK749)</f>
        <v>115000000</v>
      </c>
    </row>
    <row r="751" spans="1:37" ht="30" customHeight="1" x14ac:dyDescent="0.2">
      <c r="A751" s="52"/>
      <c r="B751" s="59"/>
      <c r="C751" s="60"/>
      <c r="D751" s="59"/>
      <c r="E751" s="60"/>
      <c r="F751" s="60"/>
      <c r="G751" s="93"/>
      <c r="H751" s="60"/>
      <c r="I751" s="59"/>
      <c r="J751" s="61"/>
      <c r="K751" s="111"/>
      <c r="L751" s="111"/>
      <c r="M751" s="61"/>
      <c r="N751" s="60"/>
      <c r="O751" s="59"/>
      <c r="P751" s="60"/>
      <c r="Q751" s="406">
        <f t="shared" ref="Q751:AK753" si="207">Q750</f>
        <v>0</v>
      </c>
      <c r="R751" s="406">
        <f t="shared" si="207"/>
        <v>0</v>
      </c>
      <c r="S751" s="406">
        <f t="shared" si="207"/>
        <v>0</v>
      </c>
      <c r="T751" s="406">
        <f t="shared" si="207"/>
        <v>0</v>
      </c>
      <c r="U751" s="406">
        <f t="shared" si="207"/>
        <v>0</v>
      </c>
      <c r="V751" s="406">
        <f t="shared" si="207"/>
        <v>0</v>
      </c>
      <c r="W751" s="406">
        <f t="shared" si="207"/>
        <v>0</v>
      </c>
      <c r="X751" s="406"/>
      <c r="Y751" s="406"/>
      <c r="Z751" s="406">
        <f t="shared" si="207"/>
        <v>0</v>
      </c>
      <c r="AA751" s="406">
        <f t="shared" si="207"/>
        <v>0</v>
      </c>
      <c r="AB751" s="406">
        <f t="shared" si="207"/>
        <v>0</v>
      </c>
      <c r="AC751" s="406">
        <f t="shared" si="207"/>
        <v>0</v>
      </c>
      <c r="AD751" s="406">
        <f t="shared" si="207"/>
        <v>0</v>
      </c>
      <c r="AE751" s="406">
        <f t="shared" si="207"/>
        <v>0</v>
      </c>
      <c r="AF751" s="464">
        <f t="shared" si="207"/>
        <v>0</v>
      </c>
      <c r="AG751" s="406"/>
      <c r="AH751" s="406">
        <f t="shared" si="207"/>
        <v>115000000</v>
      </c>
      <c r="AI751" s="406">
        <f t="shared" si="207"/>
        <v>0</v>
      </c>
      <c r="AJ751" s="406">
        <f t="shared" si="207"/>
        <v>0</v>
      </c>
      <c r="AK751" s="406">
        <f t="shared" si="207"/>
        <v>115000000</v>
      </c>
    </row>
    <row r="752" spans="1:37" ht="30" customHeight="1" x14ac:dyDescent="0.2">
      <c r="A752" s="62"/>
      <c r="B752" s="62"/>
      <c r="C752" s="63"/>
      <c r="D752" s="62"/>
      <c r="E752" s="63"/>
      <c r="F752" s="63"/>
      <c r="G752" s="144"/>
      <c r="H752" s="63"/>
      <c r="I752" s="62"/>
      <c r="J752" s="64"/>
      <c r="K752" s="112"/>
      <c r="L752" s="112"/>
      <c r="M752" s="64"/>
      <c r="N752" s="63"/>
      <c r="O752" s="62"/>
      <c r="P752" s="63"/>
      <c r="Q752" s="412">
        <f t="shared" si="207"/>
        <v>0</v>
      </c>
      <c r="R752" s="412">
        <f t="shared" si="207"/>
        <v>0</v>
      </c>
      <c r="S752" s="412">
        <f t="shared" si="207"/>
        <v>0</v>
      </c>
      <c r="T752" s="412">
        <f t="shared" si="207"/>
        <v>0</v>
      </c>
      <c r="U752" s="412">
        <f t="shared" si="207"/>
        <v>0</v>
      </c>
      <c r="V752" s="412">
        <f t="shared" si="207"/>
        <v>0</v>
      </c>
      <c r="W752" s="412">
        <f t="shared" si="207"/>
        <v>0</v>
      </c>
      <c r="X752" s="412"/>
      <c r="Y752" s="412"/>
      <c r="Z752" s="412">
        <f t="shared" si="207"/>
        <v>0</v>
      </c>
      <c r="AA752" s="412">
        <f t="shared" si="207"/>
        <v>0</v>
      </c>
      <c r="AB752" s="412">
        <f t="shared" si="207"/>
        <v>0</v>
      </c>
      <c r="AC752" s="412">
        <f t="shared" si="207"/>
        <v>0</v>
      </c>
      <c r="AD752" s="412">
        <f t="shared" si="207"/>
        <v>0</v>
      </c>
      <c r="AE752" s="412">
        <f t="shared" si="207"/>
        <v>0</v>
      </c>
      <c r="AF752" s="465">
        <f t="shared" si="207"/>
        <v>0</v>
      </c>
      <c r="AG752" s="412"/>
      <c r="AH752" s="412">
        <f t="shared" si="207"/>
        <v>115000000</v>
      </c>
      <c r="AI752" s="412">
        <f t="shared" si="207"/>
        <v>0</v>
      </c>
      <c r="AJ752" s="412">
        <f t="shared" si="207"/>
        <v>0</v>
      </c>
      <c r="AK752" s="412">
        <f t="shared" si="207"/>
        <v>115000000</v>
      </c>
    </row>
    <row r="753" spans="1:37" ht="30" customHeight="1" x14ac:dyDescent="0.2">
      <c r="A753" s="539"/>
      <c r="B753" s="539"/>
      <c r="C753" s="540"/>
      <c r="D753" s="539"/>
      <c r="E753" s="540"/>
      <c r="F753" s="540"/>
      <c r="G753" s="541"/>
      <c r="H753" s="540"/>
      <c r="I753" s="539"/>
      <c r="J753" s="551"/>
      <c r="K753" s="552"/>
      <c r="L753" s="552"/>
      <c r="M753" s="551"/>
      <c r="N753" s="540"/>
      <c r="O753" s="539"/>
      <c r="P753" s="540"/>
      <c r="Q753" s="543">
        <f t="shared" si="207"/>
        <v>0</v>
      </c>
      <c r="R753" s="543">
        <f t="shared" si="207"/>
        <v>0</v>
      </c>
      <c r="S753" s="413">
        <f t="shared" si="207"/>
        <v>0</v>
      </c>
      <c r="T753" s="413">
        <f t="shared" si="207"/>
        <v>0</v>
      </c>
      <c r="U753" s="413">
        <f t="shared" si="207"/>
        <v>0</v>
      </c>
      <c r="V753" s="413">
        <f t="shared" si="207"/>
        <v>0</v>
      </c>
      <c r="W753" s="413">
        <f t="shared" si="207"/>
        <v>0</v>
      </c>
      <c r="X753" s="413"/>
      <c r="Y753" s="413"/>
      <c r="Z753" s="413">
        <f t="shared" si="207"/>
        <v>0</v>
      </c>
      <c r="AA753" s="413">
        <f t="shared" si="207"/>
        <v>0</v>
      </c>
      <c r="AB753" s="413">
        <f t="shared" si="207"/>
        <v>0</v>
      </c>
      <c r="AC753" s="413">
        <f t="shared" si="207"/>
        <v>0</v>
      </c>
      <c r="AD753" s="413">
        <f t="shared" si="207"/>
        <v>0</v>
      </c>
      <c r="AE753" s="413">
        <f t="shared" si="207"/>
        <v>0</v>
      </c>
      <c r="AF753" s="466">
        <f t="shared" si="207"/>
        <v>0</v>
      </c>
      <c r="AG753" s="413"/>
      <c r="AH753" s="413">
        <f t="shared" si="207"/>
        <v>115000000</v>
      </c>
      <c r="AI753" s="413">
        <f t="shared" si="207"/>
        <v>0</v>
      </c>
      <c r="AJ753" s="413">
        <f t="shared" si="207"/>
        <v>0</v>
      </c>
      <c r="AK753" s="413">
        <f t="shared" si="207"/>
        <v>115000000</v>
      </c>
    </row>
    <row r="754" spans="1:37" s="2" customFormat="1" ht="30" customHeight="1" x14ac:dyDescent="0.25">
      <c r="A754" s="847" t="s">
        <v>929</v>
      </c>
      <c r="B754" s="848"/>
      <c r="C754" s="848"/>
      <c r="D754" s="848"/>
      <c r="E754" s="848"/>
      <c r="F754" s="848"/>
      <c r="G754" s="848"/>
      <c r="H754" s="848"/>
      <c r="I754" s="848"/>
      <c r="J754" s="848"/>
      <c r="K754" s="848"/>
      <c r="L754" s="649"/>
      <c r="M754" s="74"/>
      <c r="N754" s="123"/>
      <c r="O754" s="74"/>
      <c r="P754" s="74"/>
      <c r="Q754" s="512">
        <f t="shared" ref="Q754:AK754" si="208">+Q753+Q741+Q725</f>
        <v>0</v>
      </c>
      <c r="R754" s="512">
        <f t="shared" si="208"/>
        <v>0</v>
      </c>
      <c r="S754" s="550">
        <f t="shared" si="208"/>
        <v>1667250000</v>
      </c>
      <c r="T754" s="512">
        <f t="shared" si="208"/>
        <v>0</v>
      </c>
      <c r="U754" s="512">
        <f t="shared" si="208"/>
        <v>0</v>
      </c>
      <c r="V754" s="512">
        <f t="shared" si="208"/>
        <v>0</v>
      </c>
      <c r="W754" s="512">
        <f t="shared" si="208"/>
        <v>0</v>
      </c>
      <c r="X754" s="512">
        <f t="shared" si="208"/>
        <v>0</v>
      </c>
      <c r="Y754" s="512">
        <f t="shared" si="208"/>
        <v>0</v>
      </c>
      <c r="Z754" s="512">
        <f t="shared" si="208"/>
        <v>0</v>
      </c>
      <c r="AA754" s="512">
        <f t="shared" si="208"/>
        <v>0</v>
      </c>
      <c r="AB754" s="512">
        <f t="shared" si="208"/>
        <v>0</v>
      </c>
      <c r="AC754" s="512">
        <f t="shared" si="208"/>
        <v>0</v>
      </c>
      <c r="AD754" s="512">
        <f t="shared" si="208"/>
        <v>0</v>
      </c>
      <c r="AE754" s="512">
        <f t="shared" si="208"/>
        <v>0</v>
      </c>
      <c r="AF754" s="512">
        <f t="shared" si="208"/>
        <v>810393341</v>
      </c>
      <c r="AG754" s="512">
        <f t="shared" si="208"/>
        <v>2096307355</v>
      </c>
      <c r="AH754" s="512">
        <f t="shared" si="208"/>
        <v>1209370528</v>
      </c>
      <c r="AI754" s="512">
        <f t="shared" si="208"/>
        <v>0</v>
      </c>
      <c r="AJ754" s="512">
        <f t="shared" si="208"/>
        <v>251747962</v>
      </c>
      <c r="AK754" s="512">
        <f t="shared" si="208"/>
        <v>6035069186</v>
      </c>
    </row>
    <row r="755" spans="1:37" s="374" customFormat="1" ht="30" customHeight="1" x14ac:dyDescent="0.25">
      <c r="A755" s="849" t="s">
        <v>930</v>
      </c>
      <c r="B755" s="850"/>
      <c r="C755" s="850"/>
      <c r="D755" s="850"/>
      <c r="E755" s="850"/>
      <c r="F755" s="850"/>
      <c r="G755" s="850"/>
      <c r="H755" s="850"/>
      <c r="I755" s="757"/>
      <c r="J755" s="758"/>
      <c r="K755" s="759"/>
      <c r="L755" s="759"/>
      <c r="M755" s="758"/>
      <c r="N755" s="760"/>
      <c r="O755" s="761"/>
      <c r="P755" s="735"/>
      <c r="Q755" s="736">
        <f t="shared" ref="Q755:AC755" si="209">+Q682+Q754</f>
        <v>2963763815</v>
      </c>
      <c r="R755" s="736">
        <f t="shared" si="209"/>
        <v>3885430678</v>
      </c>
      <c r="S755" s="736">
        <f t="shared" si="209"/>
        <v>12629090365</v>
      </c>
      <c r="T755" s="736">
        <f t="shared" si="209"/>
        <v>7014956012.3800001</v>
      </c>
      <c r="U755" s="736">
        <f t="shared" si="209"/>
        <v>293558736</v>
      </c>
      <c r="V755" s="736">
        <f t="shared" si="209"/>
        <v>893940463</v>
      </c>
      <c r="W755" s="736">
        <f t="shared" si="209"/>
        <v>3571563200</v>
      </c>
      <c r="X755" s="736">
        <f t="shared" si="209"/>
        <v>4131759812</v>
      </c>
      <c r="Y755" s="736">
        <f t="shared" si="209"/>
        <v>8532619661</v>
      </c>
      <c r="Z755" s="736">
        <f t="shared" si="209"/>
        <v>22644190885</v>
      </c>
      <c r="AA755" s="736">
        <f t="shared" si="209"/>
        <v>4351775573</v>
      </c>
      <c r="AB755" s="736">
        <f t="shared" si="209"/>
        <v>146517165276</v>
      </c>
      <c r="AC755" s="736">
        <f t="shared" si="209"/>
        <v>26281000000</v>
      </c>
      <c r="AD755" s="736">
        <f t="shared" ref="AD755" si="210">+AD682+AD754</f>
        <v>9535927847</v>
      </c>
      <c r="AE755" s="736">
        <f t="shared" ref="AE755:AK755" si="211">+AE682+AE754</f>
        <v>2525108749</v>
      </c>
      <c r="AF755" s="736">
        <f t="shared" si="211"/>
        <v>27072749480</v>
      </c>
      <c r="AG755" s="736">
        <f t="shared" si="211"/>
        <v>2096307355</v>
      </c>
      <c r="AH755" s="736">
        <f t="shared" si="211"/>
        <v>2123546358</v>
      </c>
      <c r="AI755" s="736">
        <f t="shared" si="211"/>
        <v>10629232919</v>
      </c>
      <c r="AJ755" s="736">
        <f t="shared" si="211"/>
        <v>15292914409</v>
      </c>
      <c r="AK755" s="736">
        <f t="shared" si="211"/>
        <v>312986601593.38</v>
      </c>
    </row>
    <row r="756" spans="1:37" s="13" customFormat="1" ht="30" customHeight="1" x14ac:dyDescent="0.2">
      <c r="C756" s="375"/>
      <c r="H756" s="375"/>
      <c r="K756" s="376"/>
      <c r="L756" s="376"/>
      <c r="N756" s="384"/>
      <c r="P756" s="375"/>
      <c r="AF756" s="14"/>
      <c r="AK756" s="15"/>
    </row>
    <row r="757" spans="1:37" s="13" customFormat="1" ht="30" customHeight="1" x14ac:dyDescent="0.2">
      <c r="C757" s="375"/>
      <c r="H757" s="375"/>
      <c r="K757" s="376"/>
      <c r="L757" s="376"/>
      <c r="N757" s="384"/>
      <c r="P757" s="375"/>
      <c r="X757" s="596"/>
      <c r="AB757" s="596"/>
      <c r="AF757" s="14"/>
    </row>
    <row r="758" spans="1:37" s="13" customFormat="1" ht="30" customHeight="1" x14ac:dyDescent="0.2">
      <c r="C758" s="375"/>
      <c r="H758" s="375"/>
      <c r="K758" s="376"/>
      <c r="L758" s="376"/>
      <c r="N758" s="384"/>
      <c r="P758" s="375"/>
      <c r="AB758" s="596"/>
      <c r="AF758" s="14"/>
    </row>
    <row r="759" spans="1:37" s="13" customFormat="1" ht="30" customHeight="1" x14ac:dyDescent="0.2">
      <c r="C759" s="375"/>
      <c r="H759" s="375"/>
      <c r="K759" s="376"/>
      <c r="L759" s="376"/>
      <c r="N759" s="384"/>
      <c r="P759" s="375"/>
      <c r="AF759" s="14"/>
      <c r="AK759" s="16" t="s">
        <v>63</v>
      </c>
    </row>
    <row r="760" spans="1:37" s="13" customFormat="1" ht="30" customHeight="1" x14ac:dyDescent="0.2">
      <c r="C760" s="375"/>
      <c r="H760" s="375"/>
      <c r="K760" s="376"/>
      <c r="L760" s="376"/>
      <c r="N760" s="384"/>
      <c r="P760" s="375"/>
      <c r="AB760" s="596"/>
      <c r="AF760" s="14"/>
    </row>
    <row r="761" spans="1:37" s="13" customFormat="1" ht="30" customHeight="1" x14ac:dyDescent="0.2">
      <c r="C761" s="375"/>
      <c r="H761" s="375"/>
      <c r="K761" s="376"/>
      <c r="L761" s="376"/>
      <c r="N761" s="384"/>
      <c r="P761" s="375"/>
      <c r="AF761" s="14"/>
    </row>
    <row r="762" spans="1:37" s="13" customFormat="1" ht="30" customHeight="1" x14ac:dyDescent="0.2">
      <c r="C762" s="375"/>
      <c r="H762" s="375"/>
      <c r="K762" s="376"/>
      <c r="L762" s="376"/>
      <c r="N762" s="384"/>
      <c r="P762" s="375"/>
      <c r="AF762" s="14"/>
    </row>
    <row r="763" spans="1:37" s="13" customFormat="1" ht="30" customHeight="1" x14ac:dyDescent="0.2">
      <c r="C763" s="375"/>
      <c r="H763" s="375"/>
      <c r="K763" s="376"/>
      <c r="L763" s="376"/>
      <c r="N763" s="384"/>
      <c r="P763" s="375"/>
      <c r="AF763" s="14"/>
    </row>
    <row r="764" spans="1:37" s="13" customFormat="1" ht="30" customHeight="1" x14ac:dyDescent="0.2">
      <c r="C764" s="375"/>
      <c r="H764" s="375"/>
      <c r="K764" s="376"/>
      <c r="L764" s="376"/>
      <c r="N764" s="384"/>
      <c r="P764" s="375"/>
      <c r="AF764" s="14"/>
    </row>
    <row r="765" spans="1:37" s="13" customFormat="1" ht="30" customHeight="1" x14ac:dyDescent="0.2">
      <c r="C765" s="375"/>
      <c r="H765" s="375"/>
      <c r="K765" s="376"/>
      <c r="L765" s="376"/>
      <c r="N765" s="384"/>
      <c r="P765" s="375"/>
      <c r="AF765" s="14"/>
    </row>
    <row r="766" spans="1:37" s="13" customFormat="1" ht="30" customHeight="1" x14ac:dyDescent="0.2">
      <c r="C766" s="375"/>
      <c r="H766" s="375"/>
      <c r="K766" s="376"/>
      <c r="L766" s="376"/>
      <c r="N766" s="384"/>
      <c r="P766" s="375"/>
      <c r="AF766" s="14"/>
    </row>
    <row r="767" spans="1:37" s="13" customFormat="1" ht="30" customHeight="1" x14ac:dyDescent="0.2">
      <c r="C767" s="375"/>
      <c r="H767" s="375"/>
      <c r="K767" s="376"/>
      <c r="L767" s="376"/>
      <c r="N767" s="384"/>
      <c r="P767" s="375"/>
      <c r="AF767" s="14"/>
    </row>
    <row r="768" spans="1:37" s="13" customFormat="1" ht="30" customHeight="1" x14ac:dyDescent="0.2">
      <c r="C768" s="375"/>
      <c r="H768" s="375"/>
      <c r="K768" s="376"/>
      <c r="L768" s="376"/>
      <c r="N768" s="384"/>
      <c r="P768" s="375"/>
      <c r="AF768" s="14"/>
    </row>
    <row r="769" spans="3:32" s="13" customFormat="1" ht="30" customHeight="1" x14ac:dyDescent="0.2">
      <c r="C769" s="375"/>
      <c r="H769" s="375"/>
      <c r="K769" s="376"/>
      <c r="L769" s="376"/>
      <c r="N769" s="384"/>
      <c r="P769" s="375"/>
      <c r="AF769" s="14"/>
    </row>
    <row r="770" spans="3:32" s="13" customFormat="1" ht="30" customHeight="1" x14ac:dyDescent="0.2">
      <c r="C770" s="375"/>
      <c r="H770" s="375"/>
      <c r="K770" s="376"/>
      <c r="L770" s="376"/>
      <c r="N770" s="384"/>
      <c r="P770" s="375"/>
      <c r="AF770" s="14"/>
    </row>
    <row r="771" spans="3:32" s="13" customFormat="1" ht="30" customHeight="1" x14ac:dyDescent="0.2">
      <c r="C771" s="375"/>
      <c r="H771" s="375"/>
      <c r="K771" s="376"/>
      <c r="L771" s="376"/>
      <c r="N771" s="384"/>
      <c r="P771" s="375"/>
      <c r="AF771" s="14"/>
    </row>
    <row r="772" spans="3:32" s="13" customFormat="1" ht="30" customHeight="1" x14ac:dyDescent="0.2">
      <c r="C772" s="375"/>
      <c r="H772" s="375"/>
      <c r="K772" s="376"/>
      <c r="L772" s="376"/>
      <c r="N772" s="384"/>
      <c r="P772" s="375"/>
      <c r="AF772" s="14"/>
    </row>
    <row r="773" spans="3:32" s="13" customFormat="1" ht="30" customHeight="1" x14ac:dyDescent="0.2">
      <c r="C773" s="375"/>
      <c r="H773" s="375"/>
      <c r="K773" s="376"/>
      <c r="L773" s="376"/>
      <c r="N773" s="384"/>
      <c r="P773" s="375"/>
      <c r="AF773" s="14"/>
    </row>
    <row r="774" spans="3:32" s="13" customFormat="1" ht="30" customHeight="1" x14ac:dyDescent="0.2">
      <c r="C774" s="375"/>
      <c r="H774" s="375"/>
      <c r="K774" s="376"/>
      <c r="L774" s="376"/>
      <c r="N774" s="384"/>
      <c r="P774" s="375"/>
      <c r="AF774" s="14"/>
    </row>
    <row r="775" spans="3:32" s="13" customFormat="1" ht="30" customHeight="1" x14ac:dyDescent="0.2">
      <c r="C775" s="375"/>
      <c r="H775" s="375"/>
      <c r="K775" s="376"/>
      <c r="L775" s="376"/>
      <c r="N775" s="384"/>
      <c r="P775" s="375"/>
      <c r="AF775" s="14"/>
    </row>
    <row r="776" spans="3:32" s="13" customFormat="1" ht="30" customHeight="1" x14ac:dyDescent="0.2">
      <c r="C776" s="375"/>
      <c r="H776" s="375"/>
      <c r="K776" s="376"/>
      <c r="L776" s="376"/>
      <c r="N776" s="384"/>
      <c r="P776" s="375"/>
      <c r="AF776" s="14"/>
    </row>
    <row r="777" spans="3:32" s="13" customFormat="1" ht="30" customHeight="1" x14ac:dyDescent="0.2">
      <c r="C777" s="375"/>
      <c r="H777" s="375"/>
      <c r="K777" s="376"/>
      <c r="L777" s="376"/>
      <c r="N777" s="384"/>
      <c r="P777" s="375"/>
      <c r="AF777" s="14"/>
    </row>
    <row r="778" spans="3:32" s="13" customFormat="1" ht="30" customHeight="1" x14ac:dyDescent="0.2">
      <c r="C778" s="375"/>
      <c r="H778" s="375"/>
      <c r="K778" s="376"/>
      <c r="L778" s="376"/>
      <c r="N778" s="384"/>
      <c r="P778" s="375"/>
      <c r="AF778" s="14"/>
    </row>
    <row r="779" spans="3:32" s="13" customFormat="1" ht="30" customHeight="1" x14ac:dyDescent="0.2">
      <c r="C779" s="375"/>
      <c r="H779" s="375"/>
      <c r="K779" s="376"/>
      <c r="L779" s="376"/>
      <c r="N779" s="384"/>
      <c r="P779" s="375"/>
      <c r="AF779" s="14"/>
    </row>
    <row r="780" spans="3:32" s="13" customFormat="1" ht="30" customHeight="1" x14ac:dyDescent="0.2">
      <c r="C780" s="375"/>
      <c r="H780" s="375"/>
      <c r="K780" s="376"/>
      <c r="L780" s="376"/>
      <c r="N780" s="384"/>
      <c r="P780" s="375"/>
      <c r="AF780" s="14"/>
    </row>
    <row r="781" spans="3:32" s="13" customFormat="1" ht="30" customHeight="1" x14ac:dyDescent="0.2">
      <c r="C781" s="375"/>
      <c r="H781" s="375"/>
      <c r="K781" s="376"/>
      <c r="L781" s="376"/>
      <c r="N781" s="384"/>
      <c r="P781" s="375"/>
      <c r="AF781" s="14"/>
    </row>
    <row r="782" spans="3:32" s="13" customFormat="1" ht="30" customHeight="1" x14ac:dyDescent="0.2">
      <c r="C782" s="375"/>
      <c r="H782" s="375"/>
      <c r="K782" s="376"/>
      <c r="L782" s="376"/>
      <c r="N782" s="384"/>
      <c r="P782" s="375"/>
      <c r="AF782" s="14"/>
    </row>
    <row r="783" spans="3:32" s="13" customFormat="1" ht="30" customHeight="1" x14ac:dyDescent="0.2">
      <c r="C783" s="375"/>
      <c r="H783" s="375"/>
      <c r="K783" s="376"/>
      <c r="L783" s="376"/>
      <c r="N783" s="384"/>
      <c r="P783" s="375"/>
      <c r="AF783" s="14"/>
    </row>
    <row r="784" spans="3:32" s="13" customFormat="1" ht="30" customHeight="1" x14ac:dyDescent="0.2">
      <c r="C784" s="375"/>
      <c r="H784" s="375"/>
      <c r="K784" s="376"/>
      <c r="L784" s="376"/>
      <c r="N784" s="384"/>
      <c r="P784" s="375"/>
      <c r="AF784" s="14"/>
    </row>
    <row r="785" spans="3:32" s="13" customFormat="1" ht="30" customHeight="1" x14ac:dyDescent="0.2">
      <c r="C785" s="375"/>
      <c r="H785" s="375"/>
      <c r="K785" s="376"/>
      <c r="L785" s="376"/>
      <c r="N785" s="384"/>
      <c r="P785" s="375"/>
      <c r="AF785" s="14"/>
    </row>
    <row r="786" spans="3:32" s="13" customFormat="1" ht="30" customHeight="1" x14ac:dyDescent="0.2">
      <c r="C786" s="375"/>
      <c r="H786" s="375"/>
      <c r="K786" s="376"/>
      <c r="L786" s="376"/>
      <c r="N786" s="384"/>
      <c r="P786" s="375"/>
      <c r="AF786" s="14"/>
    </row>
    <row r="787" spans="3:32" s="13" customFormat="1" ht="30" customHeight="1" x14ac:dyDescent="0.2">
      <c r="C787" s="375"/>
      <c r="H787" s="375"/>
      <c r="K787" s="376"/>
      <c r="L787" s="376"/>
      <c r="N787" s="384"/>
      <c r="P787" s="375"/>
      <c r="AF787" s="14"/>
    </row>
    <row r="788" spans="3:32" s="13" customFormat="1" ht="30" customHeight="1" x14ac:dyDescent="0.2">
      <c r="C788" s="375"/>
      <c r="H788" s="375"/>
      <c r="K788" s="376"/>
      <c r="L788" s="376"/>
      <c r="N788" s="384"/>
      <c r="P788" s="375"/>
      <c r="AF788" s="14"/>
    </row>
    <row r="789" spans="3:32" s="13" customFormat="1" ht="30" customHeight="1" x14ac:dyDescent="0.2">
      <c r="C789" s="375"/>
      <c r="H789" s="375"/>
      <c r="K789" s="376"/>
      <c r="L789" s="376"/>
      <c r="N789" s="384"/>
      <c r="P789" s="375"/>
      <c r="AF789" s="14"/>
    </row>
    <row r="790" spans="3:32" s="13" customFormat="1" ht="30" customHeight="1" x14ac:dyDescent="0.2">
      <c r="C790" s="375"/>
      <c r="H790" s="375"/>
      <c r="K790" s="376"/>
      <c r="L790" s="376"/>
      <c r="N790" s="384"/>
      <c r="P790" s="375"/>
      <c r="AF790" s="14"/>
    </row>
    <row r="791" spans="3:32" s="13" customFormat="1" ht="30" customHeight="1" x14ac:dyDescent="0.2">
      <c r="C791" s="375"/>
      <c r="H791" s="375"/>
      <c r="K791" s="376"/>
      <c r="L791" s="376"/>
      <c r="N791" s="384"/>
      <c r="P791" s="375"/>
      <c r="AF791" s="14"/>
    </row>
    <row r="792" spans="3:32" s="13" customFormat="1" ht="30" customHeight="1" x14ac:dyDescent="0.2">
      <c r="C792" s="375"/>
      <c r="H792" s="375"/>
      <c r="K792" s="376"/>
      <c r="L792" s="376"/>
      <c r="N792" s="384"/>
      <c r="P792" s="375"/>
      <c r="AF792" s="14"/>
    </row>
    <row r="793" spans="3:32" s="13" customFormat="1" ht="30" customHeight="1" x14ac:dyDescent="0.2">
      <c r="C793" s="375"/>
      <c r="H793" s="375"/>
      <c r="K793" s="376"/>
      <c r="L793" s="376"/>
      <c r="N793" s="384"/>
      <c r="P793" s="375"/>
      <c r="AF793" s="14"/>
    </row>
    <row r="794" spans="3:32" s="13" customFormat="1" ht="30" customHeight="1" x14ac:dyDescent="0.2">
      <c r="C794" s="375"/>
      <c r="H794" s="375"/>
      <c r="K794" s="376"/>
      <c r="L794" s="376"/>
      <c r="N794" s="384"/>
      <c r="P794" s="375"/>
      <c r="AF794" s="14"/>
    </row>
    <row r="795" spans="3:32" s="13" customFormat="1" ht="30" customHeight="1" x14ac:dyDescent="0.2">
      <c r="C795" s="375"/>
      <c r="H795" s="375"/>
      <c r="K795" s="376"/>
      <c r="L795" s="376"/>
      <c r="N795" s="384"/>
      <c r="P795" s="375"/>
      <c r="AF795" s="14"/>
    </row>
    <row r="796" spans="3:32" s="13" customFormat="1" ht="30" customHeight="1" x14ac:dyDescent="0.2">
      <c r="C796" s="375"/>
      <c r="H796" s="375"/>
      <c r="K796" s="376"/>
      <c r="L796" s="376"/>
      <c r="N796" s="384"/>
      <c r="P796" s="375"/>
      <c r="AF796" s="14"/>
    </row>
    <row r="797" spans="3:32" s="13" customFormat="1" ht="30" customHeight="1" x14ac:dyDescent="0.2">
      <c r="C797" s="375"/>
      <c r="H797" s="375"/>
      <c r="K797" s="376"/>
      <c r="L797" s="376"/>
      <c r="N797" s="384"/>
      <c r="P797" s="375"/>
      <c r="AF797" s="14"/>
    </row>
    <row r="798" spans="3:32" s="13" customFormat="1" ht="30" customHeight="1" x14ac:dyDescent="0.2">
      <c r="C798" s="375"/>
      <c r="H798" s="375"/>
      <c r="K798" s="376"/>
      <c r="L798" s="376"/>
      <c r="N798" s="384"/>
      <c r="P798" s="375"/>
      <c r="AF798" s="14"/>
    </row>
    <row r="799" spans="3:32" s="13" customFormat="1" ht="30" customHeight="1" x14ac:dyDescent="0.2">
      <c r="C799" s="375"/>
      <c r="H799" s="375"/>
      <c r="K799" s="376"/>
      <c r="L799" s="376"/>
      <c r="N799" s="384"/>
      <c r="P799" s="375"/>
      <c r="AF799" s="14"/>
    </row>
    <row r="800" spans="3:32" s="13" customFormat="1" ht="30" customHeight="1" x14ac:dyDescent="0.2">
      <c r="C800" s="375"/>
      <c r="H800" s="375"/>
      <c r="K800" s="376"/>
      <c r="L800" s="376"/>
      <c r="N800" s="384"/>
      <c r="P800" s="375"/>
      <c r="AF800" s="14"/>
    </row>
    <row r="801" spans="3:32" s="13" customFormat="1" ht="30" customHeight="1" x14ac:dyDescent="0.2">
      <c r="C801" s="375"/>
      <c r="H801" s="375"/>
      <c r="N801" s="384"/>
      <c r="P801" s="375"/>
      <c r="AF801" s="14"/>
    </row>
    <row r="802" spans="3:32" s="13" customFormat="1" ht="30" customHeight="1" x14ac:dyDescent="0.2">
      <c r="C802" s="375"/>
      <c r="H802" s="375"/>
      <c r="N802" s="384"/>
      <c r="P802" s="375"/>
      <c r="AF802" s="14"/>
    </row>
    <row r="803" spans="3:32" s="13" customFormat="1" ht="30" customHeight="1" x14ac:dyDescent="0.2">
      <c r="C803" s="375"/>
      <c r="H803" s="375"/>
      <c r="N803" s="384"/>
      <c r="P803" s="375"/>
      <c r="AF803" s="14"/>
    </row>
    <row r="804" spans="3:32" s="13" customFormat="1" ht="30" customHeight="1" x14ac:dyDescent="0.2">
      <c r="C804" s="375"/>
      <c r="H804" s="375"/>
      <c r="N804" s="384"/>
      <c r="P804" s="375"/>
      <c r="AF804" s="14"/>
    </row>
    <row r="805" spans="3:32" s="13" customFormat="1" ht="30" customHeight="1" x14ac:dyDescent="0.2">
      <c r="C805" s="375"/>
      <c r="H805" s="375"/>
      <c r="N805" s="384"/>
      <c r="P805" s="375"/>
      <c r="AF805" s="14"/>
    </row>
    <row r="806" spans="3:32" s="13" customFormat="1" ht="30" customHeight="1" x14ac:dyDescent="0.2">
      <c r="C806" s="375"/>
      <c r="H806" s="375"/>
      <c r="N806" s="384"/>
      <c r="P806" s="375"/>
      <c r="AF806" s="14"/>
    </row>
    <row r="807" spans="3:32" s="13" customFormat="1" ht="30" customHeight="1" x14ac:dyDescent="0.2">
      <c r="C807" s="375"/>
      <c r="H807" s="375"/>
      <c r="N807" s="384"/>
      <c r="P807" s="375"/>
      <c r="AF807" s="14"/>
    </row>
    <row r="808" spans="3:32" s="13" customFormat="1" ht="30" customHeight="1" x14ac:dyDescent="0.2">
      <c r="C808" s="375"/>
      <c r="H808" s="375"/>
      <c r="N808" s="384"/>
      <c r="P808" s="375"/>
      <c r="AF808" s="14"/>
    </row>
    <row r="809" spans="3:32" s="13" customFormat="1" ht="30" customHeight="1" x14ac:dyDescent="0.2">
      <c r="C809" s="375"/>
      <c r="H809" s="375"/>
      <c r="N809" s="384"/>
      <c r="P809" s="375"/>
      <c r="AF809" s="14"/>
    </row>
    <row r="810" spans="3:32" s="13" customFormat="1" ht="30" customHeight="1" x14ac:dyDescent="0.2">
      <c r="C810" s="375"/>
      <c r="H810" s="375"/>
      <c r="N810" s="384"/>
      <c r="P810" s="375"/>
      <c r="AF810" s="14"/>
    </row>
    <row r="811" spans="3:32" s="13" customFormat="1" ht="30" customHeight="1" x14ac:dyDescent="0.2">
      <c r="C811" s="375"/>
      <c r="H811" s="375"/>
      <c r="N811" s="384"/>
      <c r="P811" s="375"/>
      <c r="AF811" s="14"/>
    </row>
    <row r="812" spans="3:32" s="13" customFormat="1" ht="30" customHeight="1" x14ac:dyDescent="0.2">
      <c r="C812" s="375"/>
      <c r="H812" s="375"/>
      <c r="N812" s="384"/>
      <c r="P812" s="375"/>
      <c r="AF812" s="14"/>
    </row>
    <row r="813" spans="3:32" s="13" customFormat="1" ht="30" customHeight="1" x14ac:dyDescent="0.2">
      <c r="C813" s="375"/>
      <c r="H813" s="375"/>
      <c r="N813" s="384"/>
      <c r="P813" s="375"/>
      <c r="AF813" s="14"/>
    </row>
    <row r="814" spans="3:32" s="13" customFormat="1" ht="30" customHeight="1" x14ac:dyDescent="0.2">
      <c r="C814" s="375"/>
      <c r="H814" s="375"/>
      <c r="N814" s="384"/>
      <c r="P814" s="375"/>
      <c r="AF814" s="14"/>
    </row>
    <row r="815" spans="3:32" s="13" customFormat="1" ht="30" customHeight="1" x14ac:dyDescent="0.2">
      <c r="C815" s="375"/>
      <c r="H815" s="375"/>
      <c r="N815" s="384"/>
      <c r="P815" s="375"/>
      <c r="AF815" s="14"/>
    </row>
    <row r="816" spans="3:32" s="13" customFormat="1" ht="30" customHeight="1" x14ac:dyDescent="0.2">
      <c r="C816" s="375"/>
      <c r="H816" s="375"/>
      <c r="N816" s="384"/>
      <c r="P816" s="375"/>
      <c r="AF816" s="14"/>
    </row>
    <row r="817" spans="3:32" s="13" customFormat="1" ht="30" customHeight="1" x14ac:dyDescent="0.2">
      <c r="C817" s="375"/>
      <c r="H817" s="375"/>
      <c r="N817" s="384"/>
      <c r="P817" s="375"/>
      <c r="AF817" s="14"/>
    </row>
    <row r="818" spans="3:32" s="13" customFormat="1" ht="30" customHeight="1" x14ac:dyDescent="0.2">
      <c r="C818" s="375"/>
      <c r="H818" s="375"/>
      <c r="N818" s="384"/>
      <c r="P818" s="375"/>
      <c r="AF818" s="14"/>
    </row>
    <row r="819" spans="3:32" s="13" customFormat="1" ht="30" customHeight="1" x14ac:dyDescent="0.2">
      <c r="C819" s="375"/>
      <c r="H819" s="375"/>
      <c r="N819" s="384"/>
      <c r="P819" s="375"/>
      <c r="AF819" s="14"/>
    </row>
    <row r="820" spans="3:32" s="13" customFormat="1" ht="30" customHeight="1" x14ac:dyDescent="0.2">
      <c r="C820" s="375"/>
      <c r="H820" s="375"/>
      <c r="N820" s="384"/>
      <c r="P820" s="375"/>
      <c r="AF820" s="14"/>
    </row>
    <row r="821" spans="3:32" s="13" customFormat="1" ht="30" customHeight="1" x14ac:dyDescent="0.2">
      <c r="C821" s="375"/>
      <c r="H821" s="375"/>
      <c r="N821" s="384"/>
      <c r="P821" s="375"/>
      <c r="AF821" s="14"/>
    </row>
    <row r="822" spans="3:32" s="13" customFormat="1" ht="30" customHeight="1" x14ac:dyDescent="0.2">
      <c r="C822" s="375"/>
      <c r="H822" s="375"/>
      <c r="N822" s="384"/>
      <c r="P822" s="375"/>
      <c r="AF822" s="14"/>
    </row>
    <row r="823" spans="3:32" s="13" customFormat="1" ht="30" customHeight="1" x14ac:dyDescent="0.2">
      <c r="C823" s="375"/>
      <c r="H823" s="375"/>
      <c r="N823" s="384"/>
      <c r="P823" s="375"/>
      <c r="AF823" s="14"/>
    </row>
    <row r="824" spans="3:32" s="13" customFormat="1" ht="30" customHeight="1" x14ac:dyDescent="0.2">
      <c r="C824" s="375"/>
      <c r="H824" s="375"/>
      <c r="N824" s="384"/>
      <c r="P824" s="375"/>
      <c r="AF824" s="14"/>
    </row>
    <row r="825" spans="3:32" s="13" customFormat="1" ht="30" customHeight="1" x14ac:dyDescent="0.2">
      <c r="C825" s="375"/>
      <c r="H825" s="375"/>
      <c r="N825" s="384"/>
      <c r="P825" s="375"/>
      <c r="AF825" s="14"/>
    </row>
    <row r="826" spans="3:32" s="13" customFormat="1" ht="30" customHeight="1" x14ac:dyDescent="0.2">
      <c r="C826" s="375"/>
      <c r="H826" s="375"/>
      <c r="N826" s="384"/>
      <c r="P826" s="375"/>
      <c r="AF826" s="14"/>
    </row>
    <row r="827" spans="3:32" s="13" customFormat="1" ht="30" customHeight="1" x14ac:dyDescent="0.2">
      <c r="C827" s="375"/>
      <c r="H827" s="375"/>
      <c r="N827" s="384"/>
      <c r="P827" s="375"/>
      <c r="AF827" s="14"/>
    </row>
    <row r="828" spans="3:32" s="13" customFormat="1" ht="30" customHeight="1" x14ac:dyDescent="0.2">
      <c r="C828" s="375"/>
      <c r="H828" s="375"/>
      <c r="N828" s="384"/>
      <c r="P828" s="375"/>
      <c r="AF828" s="14"/>
    </row>
    <row r="829" spans="3:32" s="13" customFormat="1" ht="30" customHeight="1" x14ac:dyDescent="0.2">
      <c r="C829" s="375"/>
      <c r="H829" s="375"/>
      <c r="N829" s="384"/>
      <c r="P829" s="375"/>
      <c r="AF829" s="14"/>
    </row>
    <row r="830" spans="3:32" s="13" customFormat="1" ht="30" customHeight="1" x14ac:dyDescent="0.2">
      <c r="C830" s="375"/>
      <c r="H830" s="375"/>
      <c r="N830" s="384"/>
      <c r="P830" s="375"/>
      <c r="AF830" s="14"/>
    </row>
    <row r="831" spans="3:32" s="13" customFormat="1" ht="30" customHeight="1" x14ac:dyDescent="0.2">
      <c r="C831" s="375"/>
      <c r="H831" s="375"/>
      <c r="N831" s="384"/>
      <c r="P831" s="375"/>
      <c r="AF831" s="14"/>
    </row>
    <row r="832" spans="3:32" s="13" customFormat="1" ht="30" customHeight="1" x14ac:dyDescent="0.2">
      <c r="C832" s="375"/>
      <c r="H832" s="375"/>
      <c r="N832" s="384"/>
      <c r="P832" s="375"/>
      <c r="AF832" s="14"/>
    </row>
    <row r="833" spans="3:32" s="13" customFormat="1" ht="30" customHeight="1" x14ac:dyDescent="0.2">
      <c r="C833" s="375"/>
      <c r="H833" s="375"/>
      <c r="N833" s="384"/>
      <c r="P833" s="375"/>
      <c r="AF833" s="14"/>
    </row>
    <row r="834" spans="3:32" s="13" customFormat="1" ht="30" customHeight="1" x14ac:dyDescent="0.2">
      <c r="C834" s="375"/>
      <c r="H834" s="375"/>
      <c r="N834" s="384"/>
      <c r="P834" s="375"/>
      <c r="AF834" s="14"/>
    </row>
    <row r="835" spans="3:32" s="13" customFormat="1" ht="30" customHeight="1" x14ac:dyDescent="0.2">
      <c r="C835" s="375"/>
      <c r="H835" s="375"/>
      <c r="N835" s="384"/>
      <c r="P835" s="375"/>
      <c r="AF835" s="14"/>
    </row>
    <row r="836" spans="3:32" s="13" customFormat="1" ht="30" customHeight="1" x14ac:dyDescent="0.2">
      <c r="C836" s="375"/>
      <c r="H836" s="375"/>
      <c r="N836" s="384"/>
      <c r="P836" s="375"/>
      <c r="AF836" s="14"/>
    </row>
    <row r="837" spans="3:32" s="13" customFormat="1" ht="30" customHeight="1" x14ac:dyDescent="0.2">
      <c r="C837" s="375"/>
      <c r="H837" s="375"/>
      <c r="N837" s="384"/>
      <c r="P837" s="375"/>
      <c r="AF837" s="14"/>
    </row>
    <row r="838" spans="3:32" s="13" customFormat="1" ht="30" customHeight="1" x14ac:dyDescent="0.2">
      <c r="C838" s="375"/>
      <c r="H838" s="375"/>
      <c r="N838" s="384"/>
      <c r="P838" s="375"/>
      <c r="AF838" s="14"/>
    </row>
    <row r="839" spans="3:32" s="13" customFormat="1" ht="30" customHeight="1" x14ac:dyDescent="0.2">
      <c r="C839" s="375"/>
      <c r="H839" s="375"/>
      <c r="N839" s="384"/>
      <c r="P839" s="375"/>
      <c r="AF839" s="14"/>
    </row>
    <row r="840" spans="3:32" s="13" customFormat="1" ht="30" customHeight="1" x14ac:dyDescent="0.2">
      <c r="C840" s="375"/>
      <c r="H840" s="375"/>
      <c r="N840" s="384"/>
      <c r="P840" s="375"/>
      <c r="AF840" s="14"/>
    </row>
    <row r="841" spans="3:32" s="13" customFormat="1" ht="30" customHeight="1" x14ac:dyDescent="0.2">
      <c r="C841" s="375"/>
      <c r="H841" s="375"/>
      <c r="N841" s="384"/>
      <c r="P841" s="375"/>
      <c r="AF841" s="14"/>
    </row>
    <row r="842" spans="3:32" s="13" customFormat="1" ht="30" customHeight="1" x14ac:dyDescent="0.2">
      <c r="C842" s="375"/>
      <c r="H842" s="375"/>
      <c r="N842" s="384"/>
      <c r="P842" s="375"/>
      <c r="AF842" s="14"/>
    </row>
    <row r="843" spans="3:32" s="13" customFormat="1" ht="30" customHeight="1" x14ac:dyDescent="0.2">
      <c r="C843" s="375"/>
      <c r="H843" s="375"/>
      <c r="N843" s="384"/>
      <c r="P843" s="375"/>
      <c r="AF843" s="14"/>
    </row>
    <row r="844" spans="3:32" s="13" customFormat="1" ht="30" customHeight="1" x14ac:dyDescent="0.2">
      <c r="C844" s="375"/>
      <c r="H844" s="375"/>
      <c r="N844" s="384"/>
      <c r="P844" s="375"/>
      <c r="AF844" s="14"/>
    </row>
    <row r="845" spans="3:32" s="13" customFormat="1" ht="30" customHeight="1" x14ac:dyDescent="0.2">
      <c r="C845" s="375"/>
      <c r="H845" s="375"/>
      <c r="N845" s="384"/>
      <c r="P845" s="375"/>
      <c r="AF845" s="14"/>
    </row>
    <row r="846" spans="3:32" s="13" customFormat="1" ht="30" customHeight="1" x14ac:dyDescent="0.2">
      <c r="C846" s="375"/>
      <c r="H846" s="375"/>
      <c r="N846" s="384"/>
      <c r="P846" s="375"/>
      <c r="AF846" s="14"/>
    </row>
    <row r="847" spans="3:32" s="13" customFormat="1" ht="30" customHeight="1" x14ac:dyDescent="0.2">
      <c r="C847" s="375"/>
      <c r="H847" s="375"/>
      <c r="N847" s="384"/>
      <c r="P847" s="375"/>
      <c r="AF847" s="14"/>
    </row>
    <row r="848" spans="3:32" s="13" customFormat="1" ht="30" customHeight="1" x14ac:dyDescent="0.2">
      <c r="C848" s="375"/>
      <c r="H848" s="375"/>
      <c r="N848" s="384"/>
      <c r="P848" s="375"/>
      <c r="AF848" s="14"/>
    </row>
    <row r="849" spans="3:32" s="13" customFormat="1" ht="30" customHeight="1" x14ac:dyDescent="0.2">
      <c r="C849" s="375"/>
      <c r="H849" s="375"/>
      <c r="N849" s="384"/>
      <c r="P849" s="375"/>
      <c r="AF849" s="14"/>
    </row>
    <row r="850" spans="3:32" s="13" customFormat="1" ht="30" customHeight="1" x14ac:dyDescent="0.2">
      <c r="C850" s="375"/>
      <c r="H850" s="375"/>
      <c r="N850" s="384"/>
      <c r="P850" s="375"/>
      <c r="AF850" s="14"/>
    </row>
    <row r="851" spans="3:32" s="13" customFormat="1" ht="30" customHeight="1" x14ac:dyDescent="0.2">
      <c r="C851" s="375"/>
      <c r="H851" s="375"/>
      <c r="N851" s="384"/>
      <c r="P851" s="375"/>
      <c r="AF851" s="14"/>
    </row>
    <row r="852" spans="3:32" s="13" customFormat="1" ht="30" customHeight="1" x14ac:dyDescent="0.2">
      <c r="C852" s="375"/>
      <c r="H852" s="375"/>
      <c r="N852" s="384"/>
      <c r="P852" s="375"/>
      <c r="AF852" s="14"/>
    </row>
    <row r="853" spans="3:32" s="13" customFormat="1" ht="30" customHeight="1" x14ac:dyDescent="0.2">
      <c r="C853" s="375"/>
      <c r="H853" s="375"/>
      <c r="N853" s="384"/>
      <c r="P853" s="375"/>
      <c r="AF853" s="14"/>
    </row>
    <row r="854" spans="3:32" s="13" customFormat="1" ht="30" customHeight="1" x14ac:dyDescent="0.2">
      <c r="C854" s="375"/>
      <c r="H854" s="375"/>
      <c r="N854" s="384"/>
      <c r="P854" s="375"/>
      <c r="AF854" s="14"/>
    </row>
    <row r="855" spans="3:32" s="13" customFormat="1" ht="30" customHeight="1" x14ac:dyDescent="0.2">
      <c r="C855" s="375"/>
      <c r="H855" s="375"/>
      <c r="N855" s="384"/>
      <c r="P855" s="375"/>
      <c r="AF855" s="14"/>
    </row>
    <row r="856" spans="3:32" s="13" customFormat="1" ht="30" customHeight="1" x14ac:dyDescent="0.2">
      <c r="C856" s="375"/>
      <c r="H856" s="375"/>
      <c r="N856" s="384"/>
      <c r="P856" s="375"/>
      <c r="AF856" s="14"/>
    </row>
    <row r="857" spans="3:32" s="13" customFormat="1" ht="30" customHeight="1" x14ac:dyDescent="0.2">
      <c r="C857" s="375"/>
      <c r="H857" s="375"/>
      <c r="N857" s="384"/>
      <c r="P857" s="375"/>
      <c r="AF857" s="14"/>
    </row>
    <row r="858" spans="3:32" s="13" customFormat="1" ht="30" customHeight="1" x14ac:dyDescent="0.2">
      <c r="C858" s="375"/>
      <c r="H858" s="375"/>
      <c r="N858" s="384"/>
      <c r="P858" s="375"/>
      <c r="AF858" s="14"/>
    </row>
    <row r="859" spans="3:32" s="13" customFormat="1" ht="30" customHeight="1" x14ac:dyDescent="0.2">
      <c r="C859" s="375"/>
      <c r="H859" s="375"/>
      <c r="N859" s="384"/>
      <c r="P859" s="375"/>
      <c r="AF859" s="14"/>
    </row>
    <row r="860" spans="3:32" s="13" customFormat="1" ht="30" customHeight="1" x14ac:dyDescent="0.2">
      <c r="C860" s="375"/>
      <c r="H860" s="375"/>
      <c r="N860" s="384"/>
      <c r="P860" s="375"/>
      <c r="AF860" s="14"/>
    </row>
    <row r="861" spans="3:32" s="13" customFormat="1" ht="30" customHeight="1" x14ac:dyDescent="0.2">
      <c r="C861" s="375"/>
      <c r="H861" s="375"/>
      <c r="N861" s="384"/>
      <c r="P861" s="375"/>
      <c r="AF861" s="14"/>
    </row>
    <row r="862" spans="3:32" s="13" customFormat="1" ht="30" customHeight="1" x14ac:dyDescent="0.2">
      <c r="C862" s="375"/>
      <c r="H862" s="375"/>
      <c r="N862" s="384"/>
      <c r="P862" s="375"/>
      <c r="AF862" s="14"/>
    </row>
    <row r="863" spans="3:32" s="13" customFormat="1" ht="30" customHeight="1" x14ac:dyDescent="0.2">
      <c r="C863" s="375"/>
      <c r="H863" s="375"/>
      <c r="N863" s="384"/>
      <c r="P863" s="375"/>
      <c r="AF863" s="14"/>
    </row>
    <row r="864" spans="3:32" s="13" customFormat="1" ht="30" customHeight="1" x14ac:dyDescent="0.2">
      <c r="C864" s="375"/>
      <c r="H864" s="375"/>
      <c r="N864" s="384"/>
      <c r="P864" s="375"/>
      <c r="AF864" s="14"/>
    </row>
    <row r="865" spans="3:32" s="13" customFormat="1" ht="30" customHeight="1" x14ac:dyDescent="0.2">
      <c r="C865" s="375"/>
      <c r="H865" s="375"/>
      <c r="N865" s="384"/>
      <c r="P865" s="375"/>
      <c r="AF865" s="14"/>
    </row>
    <row r="866" spans="3:32" s="13" customFormat="1" ht="30" customHeight="1" x14ac:dyDescent="0.2">
      <c r="C866" s="375"/>
      <c r="H866" s="375"/>
      <c r="N866" s="384"/>
      <c r="P866" s="375"/>
      <c r="AF866" s="14"/>
    </row>
    <row r="867" spans="3:32" s="13" customFormat="1" ht="30" customHeight="1" x14ac:dyDescent="0.2">
      <c r="C867" s="375"/>
      <c r="H867" s="375"/>
      <c r="N867" s="384"/>
      <c r="P867" s="375"/>
      <c r="AF867" s="14"/>
    </row>
    <row r="868" spans="3:32" s="13" customFormat="1" ht="30" customHeight="1" x14ac:dyDescent="0.2">
      <c r="C868" s="375"/>
      <c r="H868" s="375"/>
      <c r="N868" s="384"/>
      <c r="P868" s="375"/>
      <c r="AF868" s="14"/>
    </row>
    <row r="869" spans="3:32" s="13" customFormat="1" ht="30" customHeight="1" x14ac:dyDescent="0.2">
      <c r="C869" s="375"/>
      <c r="H869" s="375"/>
      <c r="N869" s="384"/>
      <c r="P869" s="375"/>
      <c r="AF869" s="14"/>
    </row>
    <row r="870" spans="3:32" s="13" customFormat="1" ht="30" customHeight="1" x14ac:dyDescent="0.2">
      <c r="C870" s="375"/>
      <c r="H870" s="375"/>
      <c r="N870" s="384"/>
      <c r="P870" s="375"/>
      <c r="AF870" s="14"/>
    </row>
    <row r="871" spans="3:32" s="13" customFormat="1" ht="30" customHeight="1" x14ac:dyDescent="0.2">
      <c r="C871" s="375"/>
      <c r="H871" s="375"/>
      <c r="N871" s="384"/>
      <c r="P871" s="375"/>
      <c r="AF871" s="14"/>
    </row>
    <row r="872" spans="3:32" s="13" customFormat="1" ht="30" customHeight="1" x14ac:dyDescent="0.2">
      <c r="C872" s="375"/>
      <c r="H872" s="375"/>
      <c r="N872" s="384"/>
      <c r="P872" s="375"/>
      <c r="AF872" s="14"/>
    </row>
    <row r="873" spans="3:32" s="13" customFormat="1" ht="30" customHeight="1" x14ac:dyDescent="0.2">
      <c r="C873" s="375"/>
      <c r="H873" s="375"/>
      <c r="N873" s="384"/>
      <c r="P873" s="375"/>
      <c r="AF873" s="14"/>
    </row>
    <row r="874" spans="3:32" s="13" customFormat="1" ht="30" customHeight="1" x14ac:dyDescent="0.2">
      <c r="C874" s="375"/>
      <c r="H874" s="375"/>
      <c r="N874" s="384"/>
      <c r="P874" s="375"/>
      <c r="AF874" s="14"/>
    </row>
    <row r="875" spans="3:32" s="13" customFormat="1" ht="30" customHeight="1" x14ac:dyDescent="0.2">
      <c r="C875" s="375"/>
      <c r="H875" s="375"/>
      <c r="N875" s="384"/>
      <c r="P875" s="375"/>
      <c r="AF875" s="14"/>
    </row>
    <row r="876" spans="3:32" s="13" customFormat="1" ht="30" customHeight="1" x14ac:dyDescent="0.2">
      <c r="C876" s="375"/>
      <c r="H876" s="375"/>
      <c r="N876" s="384"/>
      <c r="P876" s="375"/>
      <c r="AF876" s="14"/>
    </row>
    <row r="877" spans="3:32" s="13" customFormat="1" ht="30" customHeight="1" x14ac:dyDescent="0.2">
      <c r="C877" s="375"/>
      <c r="H877" s="375"/>
      <c r="N877" s="384"/>
      <c r="P877" s="375"/>
      <c r="AF877" s="14"/>
    </row>
    <row r="878" spans="3:32" s="13" customFormat="1" ht="30" customHeight="1" x14ac:dyDescent="0.2">
      <c r="C878" s="375"/>
      <c r="H878" s="375"/>
      <c r="N878" s="384"/>
      <c r="P878" s="375"/>
      <c r="AF878" s="14"/>
    </row>
    <row r="879" spans="3:32" s="13" customFormat="1" ht="30" customHeight="1" x14ac:dyDescent="0.2">
      <c r="C879" s="375"/>
      <c r="H879" s="375"/>
      <c r="N879" s="384"/>
      <c r="P879" s="375"/>
      <c r="AF879" s="14"/>
    </row>
    <row r="880" spans="3:32" s="13" customFormat="1" ht="30" customHeight="1" x14ac:dyDescent="0.2">
      <c r="C880" s="375"/>
      <c r="H880" s="375"/>
      <c r="N880" s="384"/>
      <c r="P880" s="375"/>
      <c r="AF880" s="14"/>
    </row>
    <row r="881" spans="3:32" s="13" customFormat="1" ht="30" customHeight="1" x14ac:dyDescent="0.2">
      <c r="C881" s="375"/>
      <c r="H881" s="375"/>
      <c r="N881" s="384"/>
      <c r="P881" s="375"/>
      <c r="AF881" s="14"/>
    </row>
    <row r="882" spans="3:32" s="13" customFormat="1" ht="30" customHeight="1" x14ac:dyDescent="0.2">
      <c r="C882" s="375"/>
      <c r="H882" s="375"/>
      <c r="N882" s="384"/>
      <c r="P882" s="375"/>
      <c r="AF882" s="14"/>
    </row>
    <row r="883" spans="3:32" s="13" customFormat="1" ht="30" customHeight="1" x14ac:dyDescent="0.2">
      <c r="C883" s="375"/>
      <c r="H883" s="375"/>
      <c r="N883" s="384"/>
      <c r="P883" s="375"/>
      <c r="AF883" s="14"/>
    </row>
    <row r="884" spans="3:32" s="13" customFormat="1" ht="30" customHeight="1" x14ac:dyDescent="0.2">
      <c r="C884" s="375"/>
      <c r="H884" s="375"/>
      <c r="N884" s="384"/>
      <c r="P884" s="375"/>
      <c r="AF884" s="14"/>
    </row>
    <row r="885" spans="3:32" s="13" customFormat="1" ht="30" customHeight="1" x14ac:dyDescent="0.2">
      <c r="C885" s="375"/>
      <c r="H885" s="375"/>
      <c r="N885" s="384"/>
      <c r="P885" s="375"/>
      <c r="AF885" s="14"/>
    </row>
    <row r="886" spans="3:32" s="13" customFormat="1" ht="30" customHeight="1" x14ac:dyDescent="0.2">
      <c r="C886" s="375"/>
      <c r="H886" s="375"/>
      <c r="N886" s="384"/>
      <c r="P886" s="375"/>
      <c r="AF886" s="14"/>
    </row>
    <row r="887" spans="3:32" s="13" customFormat="1" ht="30" customHeight="1" x14ac:dyDescent="0.2">
      <c r="C887" s="375"/>
      <c r="H887" s="375"/>
      <c r="N887" s="384"/>
      <c r="P887" s="375"/>
      <c r="AF887" s="14"/>
    </row>
    <row r="888" spans="3:32" s="13" customFormat="1" ht="30" customHeight="1" x14ac:dyDescent="0.2">
      <c r="C888" s="375"/>
      <c r="H888" s="375"/>
      <c r="N888" s="384"/>
      <c r="P888" s="375"/>
      <c r="AF888" s="14"/>
    </row>
    <row r="889" spans="3:32" s="13" customFormat="1" ht="30" customHeight="1" x14ac:dyDescent="0.2">
      <c r="C889" s="375"/>
      <c r="H889" s="375"/>
      <c r="N889" s="384"/>
      <c r="P889" s="375"/>
      <c r="AF889" s="14"/>
    </row>
    <row r="890" spans="3:32" s="13" customFormat="1" ht="30" customHeight="1" x14ac:dyDescent="0.2">
      <c r="C890" s="375"/>
      <c r="H890" s="375"/>
      <c r="N890" s="384"/>
      <c r="P890" s="375"/>
      <c r="AF890" s="14"/>
    </row>
    <row r="891" spans="3:32" s="13" customFormat="1" ht="30" customHeight="1" x14ac:dyDescent="0.2">
      <c r="C891" s="375"/>
      <c r="H891" s="375"/>
      <c r="N891" s="384"/>
      <c r="P891" s="375"/>
      <c r="AF891" s="14"/>
    </row>
    <row r="892" spans="3:32" s="13" customFormat="1" ht="30" customHeight="1" x14ac:dyDescent="0.2">
      <c r="C892" s="375"/>
      <c r="H892" s="375"/>
      <c r="N892" s="384"/>
      <c r="P892" s="375"/>
      <c r="AF892" s="14"/>
    </row>
    <row r="893" spans="3:32" s="13" customFormat="1" ht="30" customHeight="1" x14ac:dyDescent="0.2">
      <c r="C893" s="375"/>
      <c r="H893" s="375"/>
      <c r="N893" s="384"/>
      <c r="P893" s="375"/>
      <c r="AF893" s="14"/>
    </row>
    <row r="894" spans="3:32" s="13" customFormat="1" ht="30" customHeight="1" x14ac:dyDescent="0.2">
      <c r="C894" s="375"/>
      <c r="H894" s="375"/>
      <c r="N894" s="384"/>
      <c r="P894" s="375"/>
      <c r="AF894" s="14"/>
    </row>
    <row r="895" spans="3:32" s="13" customFormat="1" ht="30" customHeight="1" x14ac:dyDescent="0.2">
      <c r="C895" s="375"/>
      <c r="H895" s="375"/>
      <c r="N895" s="384"/>
      <c r="P895" s="375"/>
      <c r="AF895" s="14"/>
    </row>
    <row r="896" spans="3:32" s="13" customFormat="1" ht="30" customHeight="1" x14ac:dyDescent="0.2">
      <c r="C896" s="375"/>
      <c r="H896" s="375"/>
      <c r="N896" s="384"/>
      <c r="P896" s="375"/>
      <c r="AF896" s="14"/>
    </row>
    <row r="897" spans="3:32" s="13" customFormat="1" ht="30" customHeight="1" x14ac:dyDescent="0.2">
      <c r="C897" s="375"/>
      <c r="H897" s="375"/>
      <c r="N897" s="384"/>
      <c r="P897" s="375"/>
      <c r="AF897" s="14"/>
    </row>
    <row r="898" spans="3:32" s="13" customFormat="1" ht="30" customHeight="1" x14ac:dyDescent="0.2">
      <c r="C898" s="375"/>
      <c r="H898" s="375"/>
      <c r="N898" s="384"/>
      <c r="P898" s="375"/>
      <c r="AF898" s="14"/>
    </row>
    <row r="899" spans="3:32" s="13" customFormat="1" ht="30" customHeight="1" x14ac:dyDescent="0.2">
      <c r="C899" s="375"/>
      <c r="H899" s="375"/>
      <c r="N899" s="384"/>
      <c r="P899" s="375"/>
      <c r="AF899" s="14"/>
    </row>
    <row r="900" spans="3:32" s="13" customFormat="1" ht="30" customHeight="1" x14ac:dyDescent="0.2">
      <c r="C900" s="375"/>
      <c r="H900" s="375"/>
      <c r="N900" s="384"/>
      <c r="P900" s="375"/>
      <c r="AF900" s="14"/>
    </row>
    <row r="901" spans="3:32" s="13" customFormat="1" ht="30" customHeight="1" x14ac:dyDescent="0.2">
      <c r="C901" s="375"/>
      <c r="H901" s="375"/>
      <c r="N901" s="384"/>
      <c r="P901" s="375"/>
      <c r="AF901" s="14"/>
    </row>
    <row r="902" spans="3:32" s="13" customFormat="1" ht="30" customHeight="1" x14ac:dyDescent="0.2">
      <c r="C902" s="375"/>
      <c r="H902" s="375"/>
      <c r="N902" s="384"/>
      <c r="P902" s="375"/>
      <c r="AF902" s="14"/>
    </row>
    <row r="903" spans="3:32" s="13" customFormat="1" ht="30" customHeight="1" x14ac:dyDescent="0.2">
      <c r="C903" s="375"/>
      <c r="H903" s="375"/>
      <c r="N903" s="384"/>
      <c r="P903" s="375"/>
      <c r="AF903" s="14"/>
    </row>
    <row r="904" spans="3:32" s="13" customFormat="1" ht="30" customHeight="1" x14ac:dyDescent="0.2">
      <c r="C904" s="375"/>
      <c r="H904" s="375"/>
      <c r="N904" s="384"/>
      <c r="P904" s="375"/>
      <c r="AF904" s="14"/>
    </row>
    <row r="905" spans="3:32" s="13" customFormat="1" ht="30" customHeight="1" x14ac:dyDescent="0.2">
      <c r="C905" s="375"/>
      <c r="H905" s="375"/>
      <c r="N905" s="384"/>
      <c r="P905" s="375"/>
      <c r="AF905" s="14"/>
    </row>
    <row r="906" spans="3:32" s="13" customFormat="1" ht="30" customHeight="1" x14ac:dyDescent="0.2">
      <c r="C906" s="375"/>
      <c r="H906" s="375"/>
      <c r="N906" s="384"/>
      <c r="P906" s="375"/>
      <c r="AF906" s="14"/>
    </row>
    <row r="907" spans="3:32" s="13" customFormat="1" ht="30" customHeight="1" x14ac:dyDescent="0.2">
      <c r="C907" s="375"/>
      <c r="H907" s="375"/>
      <c r="N907" s="384"/>
      <c r="P907" s="375"/>
      <c r="AF907" s="14"/>
    </row>
    <row r="908" spans="3:32" s="13" customFormat="1" ht="30" customHeight="1" x14ac:dyDescent="0.2">
      <c r="C908" s="375"/>
      <c r="H908" s="375"/>
      <c r="N908" s="384"/>
      <c r="P908" s="375"/>
      <c r="AF908" s="14"/>
    </row>
    <row r="909" spans="3:32" s="13" customFormat="1" ht="30" customHeight="1" x14ac:dyDescent="0.2">
      <c r="C909" s="375"/>
      <c r="H909" s="375"/>
      <c r="N909" s="384"/>
      <c r="P909" s="375"/>
      <c r="AF909" s="14"/>
    </row>
    <row r="910" spans="3:32" s="13" customFormat="1" ht="30" customHeight="1" x14ac:dyDescent="0.2">
      <c r="C910" s="375"/>
      <c r="H910" s="375"/>
      <c r="N910" s="384"/>
      <c r="P910" s="375"/>
      <c r="AF910" s="14"/>
    </row>
    <row r="911" spans="3:32" s="13" customFormat="1" ht="30" customHeight="1" x14ac:dyDescent="0.2">
      <c r="C911" s="375"/>
      <c r="H911" s="375"/>
      <c r="N911" s="384"/>
      <c r="P911" s="375"/>
      <c r="AF911" s="14"/>
    </row>
    <row r="912" spans="3:32" s="13" customFormat="1" ht="30" customHeight="1" x14ac:dyDescent="0.2">
      <c r="C912" s="375"/>
      <c r="H912" s="375"/>
      <c r="N912" s="384"/>
      <c r="P912" s="375"/>
      <c r="AF912" s="14"/>
    </row>
    <row r="913" spans="3:32" s="13" customFormat="1" ht="30" customHeight="1" x14ac:dyDescent="0.2">
      <c r="C913" s="375"/>
      <c r="H913" s="375"/>
      <c r="N913" s="384"/>
      <c r="P913" s="375"/>
      <c r="AF913" s="14"/>
    </row>
    <row r="914" spans="3:32" s="13" customFormat="1" ht="30" customHeight="1" x14ac:dyDescent="0.2">
      <c r="C914" s="375"/>
      <c r="H914" s="375"/>
      <c r="N914" s="384"/>
      <c r="P914" s="375"/>
      <c r="AF914" s="14"/>
    </row>
    <row r="915" spans="3:32" s="13" customFormat="1" ht="30" customHeight="1" x14ac:dyDescent="0.2">
      <c r="C915" s="375"/>
      <c r="H915" s="375"/>
      <c r="N915" s="384"/>
      <c r="P915" s="375"/>
      <c r="AF915" s="14"/>
    </row>
    <row r="916" spans="3:32" s="13" customFormat="1" ht="30" customHeight="1" x14ac:dyDescent="0.2">
      <c r="C916" s="375"/>
      <c r="H916" s="375"/>
      <c r="N916" s="384"/>
      <c r="P916" s="375"/>
      <c r="AF916" s="14"/>
    </row>
    <row r="917" spans="3:32" s="13" customFormat="1" ht="30" customHeight="1" x14ac:dyDescent="0.2">
      <c r="C917" s="375"/>
      <c r="H917" s="375"/>
      <c r="N917" s="384"/>
      <c r="P917" s="375"/>
      <c r="AF917" s="14"/>
    </row>
    <row r="918" spans="3:32" s="13" customFormat="1" ht="30" customHeight="1" x14ac:dyDescent="0.2">
      <c r="C918" s="375"/>
      <c r="H918" s="375"/>
      <c r="N918" s="384"/>
      <c r="P918" s="375"/>
      <c r="AF918" s="14"/>
    </row>
    <row r="919" spans="3:32" s="13" customFormat="1" ht="30" customHeight="1" x14ac:dyDescent="0.2">
      <c r="C919" s="375"/>
      <c r="H919" s="375"/>
      <c r="N919" s="384"/>
      <c r="P919" s="375"/>
      <c r="AF919" s="14"/>
    </row>
    <row r="920" spans="3:32" s="13" customFormat="1" ht="30" customHeight="1" x14ac:dyDescent="0.2">
      <c r="C920" s="375"/>
      <c r="H920" s="375"/>
      <c r="N920" s="384"/>
      <c r="P920" s="375"/>
      <c r="AF920" s="14"/>
    </row>
    <row r="921" spans="3:32" s="13" customFormat="1" ht="30" customHeight="1" x14ac:dyDescent="0.2">
      <c r="C921" s="375"/>
      <c r="H921" s="375"/>
      <c r="N921" s="384"/>
      <c r="P921" s="375"/>
      <c r="AF921" s="14"/>
    </row>
    <row r="922" spans="3:32" s="13" customFormat="1" ht="30" customHeight="1" x14ac:dyDescent="0.2">
      <c r="C922" s="375"/>
      <c r="H922" s="375"/>
      <c r="N922" s="384"/>
      <c r="P922" s="375"/>
      <c r="AF922" s="14"/>
    </row>
    <row r="923" spans="3:32" s="13" customFormat="1" ht="30" customHeight="1" x14ac:dyDescent="0.2">
      <c r="C923" s="375"/>
      <c r="H923" s="375"/>
      <c r="N923" s="384"/>
      <c r="P923" s="375"/>
      <c r="AF923" s="14"/>
    </row>
    <row r="924" spans="3:32" s="13" customFormat="1" ht="30" customHeight="1" x14ac:dyDescent="0.2">
      <c r="C924" s="375"/>
      <c r="H924" s="375"/>
      <c r="N924" s="384"/>
      <c r="P924" s="375"/>
      <c r="AF924" s="14"/>
    </row>
    <row r="925" spans="3:32" s="13" customFormat="1" ht="30" customHeight="1" x14ac:dyDescent="0.2">
      <c r="C925" s="375"/>
      <c r="H925" s="375"/>
      <c r="N925" s="384"/>
      <c r="P925" s="375"/>
      <c r="AF925" s="14"/>
    </row>
    <row r="926" spans="3:32" s="13" customFormat="1" ht="30" customHeight="1" x14ac:dyDescent="0.2">
      <c r="C926" s="375"/>
      <c r="H926" s="375"/>
      <c r="N926" s="384"/>
      <c r="P926" s="375"/>
      <c r="AF926" s="14"/>
    </row>
    <row r="927" spans="3:32" s="13" customFormat="1" ht="30" customHeight="1" x14ac:dyDescent="0.2">
      <c r="C927" s="375"/>
      <c r="H927" s="375"/>
      <c r="N927" s="384"/>
      <c r="P927" s="375"/>
      <c r="AF927" s="14"/>
    </row>
    <row r="928" spans="3:32" s="13" customFormat="1" ht="30" customHeight="1" x14ac:dyDescent="0.2">
      <c r="C928" s="375"/>
      <c r="H928" s="375"/>
      <c r="N928" s="384"/>
      <c r="P928" s="375"/>
      <c r="AF928" s="14"/>
    </row>
    <row r="929" spans="3:32" s="13" customFormat="1" ht="30" customHeight="1" x14ac:dyDescent="0.2">
      <c r="C929" s="375"/>
      <c r="H929" s="375"/>
      <c r="N929" s="384"/>
      <c r="P929" s="375"/>
      <c r="AF929" s="14"/>
    </row>
    <row r="930" spans="3:32" s="13" customFormat="1" ht="30" customHeight="1" x14ac:dyDescent="0.2">
      <c r="C930" s="375"/>
      <c r="H930" s="375"/>
      <c r="N930" s="384"/>
      <c r="P930" s="375"/>
      <c r="AF930" s="14"/>
    </row>
    <row r="931" spans="3:32" s="13" customFormat="1" ht="30" customHeight="1" x14ac:dyDescent="0.2">
      <c r="C931" s="375"/>
      <c r="H931" s="375"/>
      <c r="N931" s="384"/>
      <c r="P931" s="375"/>
      <c r="AF931" s="14"/>
    </row>
    <row r="932" spans="3:32" s="13" customFormat="1" ht="30" customHeight="1" x14ac:dyDescent="0.2">
      <c r="C932" s="375"/>
      <c r="H932" s="375"/>
      <c r="N932" s="384"/>
      <c r="P932" s="375"/>
      <c r="AF932" s="14"/>
    </row>
    <row r="933" spans="3:32" s="13" customFormat="1" ht="30" customHeight="1" x14ac:dyDescent="0.2">
      <c r="C933" s="375"/>
      <c r="H933" s="375"/>
      <c r="N933" s="384"/>
      <c r="P933" s="375"/>
      <c r="AF933" s="14"/>
    </row>
    <row r="934" spans="3:32" s="13" customFormat="1" ht="30" customHeight="1" x14ac:dyDescent="0.2">
      <c r="C934" s="375"/>
      <c r="H934" s="375"/>
      <c r="N934" s="384"/>
      <c r="P934" s="375"/>
      <c r="AF934" s="14"/>
    </row>
    <row r="935" spans="3:32" s="13" customFormat="1" ht="30" customHeight="1" x14ac:dyDescent="0.2">
      <c r="C935" s="375"/>
      <c r="H935" s="375"/>
      <c r="N935" s="384"/>
      <c r="P935" s="375"/>
      <c r="AF935" s="14"/>
    </row>
    <row r="936" spans="3:32" s="13" customFormat="1" ht="30" customHeight="1" x14ac:dyDescent="0.2">
      <c r="C936" s="375"/>
      <c r="H936" s="375"/>
      <c r="N936" s="384"/>
      <c r="P936" s="375"/>
      <c r="AF936" s="14"/>
    </row>
    <row r="937" spans="3:32" s="13" customFormat="1" ht="30" customHeight="1" x14ac:dyDescent="0.2">
      <c r="C937" s="375"/>
      <c r="H937" s="375"/>
      <c r="N937" s="384"/>
      <c r="P937" s="375"/>
      <c r="AF937" s="14"/>
    </row>
    <row r="938" spans="3:32" s="13" customFormat="1" ht="30" customHeight="1" x14ac:dyDescent="0.2">
      <c r="C938" s="375"/>
      <c r="H938" s="375"/>
      <c r="N938" s="384"/>
      <c r="P938" s="375"/>
      <c r="AF938" s="14"/>
    </row>
    <row r="939" spans="3:32" s="13" customFormat="1" ht="30" customHeight="1" x14ac:dyDescent="0.2">
      <c r="C939" s="375"/>
      <c r="H939" s="375"/>
      <c r="N939" s="384"/>
      <c r="P939" s="375"/>
      <c r="AF939" s="14"/>
    </row>
    <row r="940" spans="3:32" s="13" customFormat="1" ht="30" customHeight="1" x14ac:dyDescent="0.2">
      <c r="C940" s="375"/>
      <c r="H940" s="375"/>
      <c r="N940" s="384"/>
      <c r="P940" s="375"/>
      <c r="AF940" s="14"/>
    </row>
    <row r="941" spans="3:32" s="13" customFormat="1" ht="30" customHeight="1" x14ac:dyDescent="0.2">
      <c r="C941" s="375"/>
      <c r="H941" s="375"/>
      <c r="N941" s="384"/>
      <c r="P941" s="375"/>
      <c r="AF941" s="14"/>
    </row>
    <row r="942" spans="3:32" s="13" customFormat="1" ht="30" customHeight="1" x14ac:dyDescent="0.2">
      <c r="C942" s="375"/>
      <c r="H942" s="375"/>
      <c r="N942" s="384"/>
      <c r="P942" s="375"/>
      <c r="AF942" s="14"/>
    </row>
    <row r="943" spans="3:32" s="13" customFormat="1" ht="30" customHeight="1" x14ac:dyDescent="0.2">
      <c r="C943" s="375"/>
      <c r="H943" s="375"/>
      <c r="N943" s="384"/>
      <c r="P943" s="375"/>
      <c r="AF943" s="14"/>
    </row>
    <row r="944" spans="3:32" s="13" customFormat="1" ht="30" customHeight="1" x14ac:dyDescent="0.2">
      <c r="C944" s="375"/>
      <c r="H944" s="375"/>
      <c r="N944" s="384"/>
      <c r="P944" s="375"/>
      <c r="AF944" s="14"/>
    </row>
    <row r="945" spans="3:32" s="13" customFormat="1" ht="30" customHeight="1" x14ac:dyDescent="0.2">
      <c r="C945" s="375"/>
      <c r="H945" s="375"/>
      <c r="N945" s="384"/>
      <c r="P945" s="375"/>
      <c r="AF945" s="14"/>
    </row>
    <row r="946" spans="3:32" s="13" customFormat="1" ht="30" customHeight="1" x14ac:dyDescent="0.2">
      <c r="C946" s="375"/>
      <c r="H946" s="375"/>
      <c r="N946" s="384"/>
      <c r="P946" s="375"/>
      <c r="AF946" s="14"/>
    </row>
    <row r="947" spans="3:32" s="13" customFormat="1" ht="30" customHeight="1" x14ac:dyDescent="0.2">
      <c r="C947" s="375"/>
      <c r="H947" s="375"/>
      <c r="N947" s="384"/>
      <c r="P947" s="375"/>
      <c r="AF947" s="14"/>
    </row>
    <row r="948" spans="3:32" s="13" customFormat="1" ht="30" customHeight="1" x14ac:dyDescent="0.2">
      <c r="C948" s="375"/>
      <c r="H948" s="375"/>
      <c r="N948" s="384"/>
      <c r="P948" s="375"/>
      <c r="AF948" s="14"/>
    </row>
    <row r="949" spans="3:32" s="13" customFormat="1" ht="30" customHeight="1" x14ac:dyDescent="0.2">
      <c r="C949" s="375"/>
      <c r="H949" s="375"/>
      <c r="N949" s="384"/>
      <c r="P949" s="375"/>
      <c r="AF949" s="14"/>
    </row>
    <row r="950" spans="3:32" s="13" customFormat="1" ht="30" customHeight="1" x14ac:dyDescent="0.2">
      <c r="C950" s="375"/>
      <c r="H950" s="375"/>
      <c r="N950" s="384"/>
      <c r="P950" s="375"/>
      <c r="AF950" s="14"/>
    </row>
    <row r="951" spans="3:32" s="13" customFormat="1" ht="30" customHeight="1" x14ac:dyDescent="0.2">
      <c r="C951" s="375"/>
      <c r="H951" s="375"/>
      <c r="N951" s="384"/>
      <c r="P951" s="375"/>
      <c r="AF951" s="14"/>
    </row>
    <row r="952" spans="3:32" s="13" customFormat="1" ht="30" customHeight="1" x14ac:dyDescent="0.2">
      <c r="C952" s="375"/>
      <c r="H952" s="375"/>
      <c r="N952" s="384"/>
      <c r="P952" s="375"/>
      <c r="AF952" s="14"/>
    </row>
    <row r="953" spans="3:32" s="13" customFormat="1" ht="30" customHeight="1" x14ac:dyDescent="0.2">
      <c r="C953" s="375"/>
      <c r="H953" s="375"/>
      <c r="N953" s="384"/>
      <c r="P953" s="375"/>
      <c r="AF953" s="14"/>
    </row>
    <row r="954" spans="3:32" s="13" customFormat="1" ht="30" customHeight="1" x14ac:dyDescent="0.2">
      <c r="C954" s="375"/>
      <c r="H954" s="375"/>
      <c r="N954" s="384"/>
      <c r="P954" s="375"/>
      <c r="AF954" s="14"/>
    </row>
    <row r="955" spans="3:32" s="13" customFormat="1" ht="30" customHeight="1" x14ac:dyDescent="0.2">
      <c r="C955" s="375"/>
      <c r="H955" s="375"/>
      <c r="N955" s="384"/>
      <c r="P955" s="375"/>
      <c r="AF955" s="14"/>
    </row>
    <row r="956" spans="3:32" s="13" customFormat="1" ht="30" customHeight="1" x14ac:dyDescent="0.2">
      <c r="C956" s="375"/>
      <c r="H956" s="375"/>
      <c r="N956" s="384"/>
      <c r="P956" s="375"/>
      <c r="AF956" s="14"/>
    </row>
    <row r="957" spans="3:32" s="13" customFormat="1" ht="30" customHeight="1" x14ac:dyDescent="0.2">
      <c r="C957" s="375"/>
      <c r="H957" s="375"/>
      <c r="N957" s="384"/>
      <c r="P957" s="375"/>
      <c r="AF957" s="14"/>
    </row>
    <row r="958" spans="3:32" s="13" customFormat="1" ht="30" customHeight="1" x14ac:dyDescent="0.2">
      <c r="C958" s="375"/>
      <c r="H958" s="375"/>
      <c r="N958" s="384"/>
      <c r="P958" s="375"/>
      <c r="AF958" s="14"/>
    </row>
    <row r="959" spans="3:32" s="13" customFormat="1" ht="30" customHeight="1" x14ac:dyDescent="0.2">
      <c r="C959" s="375"/>
      <c r="H959" s="375"/>
      <c r="N959" s="384"/>
      <c r="P959" s="375"/>
      <c r="AF959" s="14"/>
    </row>
    <row r="960" spans="3:32" s="13" customFormat="1" ht="30" customHeight="1" x14ac:dyDescent="0.2">
      <c r="C960" s="375"/>
      <c r="H960" s="375"/>
      <c r="N960" s="384"/>
      <c r="P960" s="375"/>
      <c r="AF960" s="14"/>
    </row>
    <row r="961" spans="3:32" s="13" customFormat="1" ht="30" customHeight="1" x14ac:dyDescent="0.2">
      <c r="C961" s="375"/>
      <c r="H961" s="375"/>
      <c r="N961" s="384"/>
      <c r="P961" s="375"/>
      <c r="AF961" s="14"/>
    </row>
    <row r="962" spans="3:32" s="13" customFormat="1" ht="30" customHeight="1" x14ac:dyDescent="0.2">
      <c r="C962" s="375"/>
      <c r="H962" s="375"/>
      <c r="N962" s="384"/>
      <c r="P962" s="375"/>
      <c r="AF962" s="14"/>
    </row>
    <row r="963" spans="3:32" s="13" customFormat="1" ht="30" customHeight="1" x14ac:dyDescent="0.2">
      <c r="C963" s="375"/>
      <c r="H963" s="375"/>
      <c r="N963" s="384"/>
      <c r="P963" s="375"/>
      <c r="AF963" s="14"/>
    </row>
    <row r="964" spans="3:32" s="13" customFormat="1" ht="30" customHeight="1" x14ac:dyDescent="0.2">
      <c r="C964" s="375"/>
      <c r="H964" s="375"/>
      <c r="N964" s="384"/>
      <c r="P964" s="375"/>
      <c r="AF964" s="14"/>
    </row>
    <row r="965" spans="3:32" s="13" customFormat="1" ht="30" customHeight="1" x14ac:dyDescent="0.2">
      <c r="C965" s="375"/>
      <c r="H965" s="375"/>
      <c r="N965" s="384"/>
      <c r="P965" s="375"/>
      <c r="AF965" s="14"/>
    </row>
    <row r="966" spans="3:32" s="13" customFormat="1" ht="30" customHeight="1" x14ac:dyDescent="0.2">
      <c r="C966" s="375"/>
      <c r="H966" s="375"/>
      <c r="N966" s="384"/>
      <c r="P966" s="375"/>
      <c r="AF966" s="14"/>
    </row>
    <row r="967" spans="3:32" s="13" customFormat="1" ht="30" customHeight="1" x14ac:dyDescent="0.2">
      <c r="C967" s="375"/>
      <c r="H967" s="375"/>
      <c r="N967" s="384"/>
      <c r="P967" s="375"/>
      <c r="AF967" s="14"/>
    </row>
    <row r="968" spans="3:32" s="13" customFormat="1" ht="30" customHeight="1" x14ac:dyDescent="0.2">
      <c r="C968" s="375"/>
      <c r="H968" s="375"/>
      <c r="N968" s="384"/>
      <c r="P968" s="375"/>
      <c r="AF968" s="14"/>
    </row>
    <row r="969" spans="3:32" s="13" customFormat="1" ht="30" customHeight="1" x14ac:dyDescent="0.2">
      <c r="C969" s="375"/>
      <c r="H969" s="375"/>
      <c r="N969" s="384"/>
      <c r="P969" s="375"/>
      <c r="AF969" s="14"/>
    </row>
    <row r="970" spans="3:32" s="13" customFormat="1" ht="30" customHeight="1" x14ac:dyDescent="0.2">
      <c r="C970" s="375"/>
      <c r="H970" s="375"/>
      <c r="N970" s="384"/>
      <c r="P970" s="375"/>
      <c r="AF970" s="14"/>
    </row>
    <row r="971" spans="3:32" s="13" customFormat="1" ht="30" customHeight="1" x14ac:dyDescent="0.2">
      <c r="C971" s="375"/>
      <c r="H971" s="375"/>
      <c r="N971" s="384"/>
      <c r="P971" s="375"/>
      <c r="AF971" s="14"/>
    </row>
    <row r="972" spans="3:32" s="13" customFormat="1" ht="30" customHeight="1" x14ac:dyDescent="0.2">
      <c r="C972" s="375"/>
      <c r="H972" s="375"/>
      <c r="N972" s="384"/>
      <c r="P972" s="375"/>
      <c r="AF972" s="14"/>
    </row>
    <row r="973" spans="3:32" s="13" customFormat="1" ht="30" customHeight="1" x14ac:dyDescent="0.2">
      <c r="C973" s="375"/>
      <c r="H973" s="375"/>
      <c r="N973" s="384"/>
      <c r="P973" s="375"/>
      <c r="AF973" s="14"/>
    </row>
    <row r="974" spans="3:32" s="13" customFormat="1" ht="30" customHeight="1" x14ac:dyDescent="0.2">
      <c r="C974" s="375"/>
      <c r="H974" s="375"/>
      <c r="N974" s="384"/>
      <c r="P974" s="375"/>
      <c r="AF974" s="14"/>
    </row>
    <row r="975" spans="3:32" s="13" customFormat="1" ht="30" customHeight="1" x14ac:dyDescent="0.2">
      <c r="C975" s="375"/>
      <c r="H975" s="375"/>
      <c r="N975" s="384"/>
      <c r="P975" s="375"/>
      <c r="AF975" s="14"/>
    </row>
    <row r="976" spans="3:32" s="13" customFormat="1" ht="30" customHeight="1" x14ac:dyDescent="0.2">
      <c r="C976" s="375"/>
      <c r="H976" s="375"/>
      <c r="N976" s="384"/>
      <c r="P976" s="375"/>
      <c r="AF976" s="14"/>
    </row>
    <row r="977" spans="3:32" s="13" customFormat="1" ht="30" customHeight="1" x14ac:dyDescent="0.2">
      <c r="C977" s="375"/>
      <c r="H977" s="375"/>
      <c r="N977" s="384"/>
      <c r="P977" s="375"/>
      <c r="AF977" s="14"/>
    </row>
    <row r="978" spans="3:32" s="13" customFormat="1" ht="30" customHeight="1" x14ac:dyDescent="0.2">
      <c r="C978" s="375"/>
      <c r="H978" s="375"/>
      <c r="N978" s="384"/>
      <c r="P978" s="375"/>
      <c r="AF978" s="14"/>
    </row>
    <row r="979" spans="3:32" s="13" customFormat="1" ht="30" customHeight="1" x14ac:dyDescent="0.2">
      <c r="C979" s="375"/>
      <c r="H979" s="375"/>
      <c r="N979" s="384"/>
      <c r="P979" s="375"/>
      <c r="AF979" s="14"/>
    </row>
    <row r="980" spans="3:32" s="13" customFormat="1" ht="30" customHeight="1" x14ac:dyDescent="0.2">
      <c r="C980" s="375"/>
      <c r="H980" s="375"/>
      <c r="N980" s="384"/>
      <c r="P980" s="375"/>
      <c r="AF980" s="14"/>
    </row>
    <row r="981" spans="3:32" s="13" customFormat="1" ht="30" customHeight="1" x14ac:dyDescent="0.2">
      <c r="C981" s="375"/>
      <c r="H981" s="375"/>
      <c r="N981" s="384"/>
      <c r="P981" s="375"/>
      <c r="AF981" s="14"/>
    </row>
    <row r="982" spans="3:32" s="13" customFormat="1" ht="30" customHeight="1" x14ac:dyDescent="0.2">
      <c r="C982" s="375"/>
      <c r="H982" s="375"/>
      <c r="N982" s="384"/>
      <c r="P982" s="375"/>
      <c r="AF982" s="14"/>
    </row>
    <row r="983" spans="3:32" s="13" customFormat="1" ht="30" customHeight="1" x14ac:dyDescent="0.2">
      <c r="C983" s="375"/>
      <c r="H983" s="375"/>
      <c r="N983" s="384"/>
      <c r="P983" s="375"/>
      <c r="AF983" s="14"/>
    </row>
    <row r="984" spans="3:32" s="13" customFormat="1" ht="30" customHeight="1" x14ac:dyDescent="0.2">
      <c r="C984" s="375"/>
      <c r="H984" s="375"/>
      <c r="N984" s="384"/>
      <c r="P984" s="375"/>
      <c r="AF984" s="14"/>
    </row>
    <row r="985" spans="3:32" s="13" customFormat="1" ht="30" customHeight="1" x14ac:dyDescent="0.2">
      <c r="C985" s="375"/>
      <c r="H985" s="375"/>
      <c r="N985" s="384"/>
      <c r="P985" s="375"/>
      <c r="AF985" s="14"/>
    </row>
    <row r="986" spans="3:32" s="13" customFormat="1" ht="30" customHeight="1" x14ac:dyDescent="0.2">
      <c r="C986" s="375"/>
      <c r="H986" s="375"/>
      <c r="N986" s="384"/>
      <c r="P986" s="375"/>
      <c r="AF986" s="14"/>
    </row>
    <row r="987" spans="3:32" s="13" customFormat="1" ht="30" customHeight="1" x14ac:dyDescent="0.2">
      <c r="C987" s="375"/>
      <c r="H987" s="375"/>
      <c r="N987" s="384"/>
      <c r="P987" s="375"/>
      <c r="AF987" s="14"/>
    </row>
    <row r="988" spans="3:32" s="13" customFormat="1" ht="30" customHeight="1" x14ac:dyDescent="0.2">
      <c r="C988" s="375"/>
      <c r="H988" s="375"/>
      <c r="N988" s="384"/>
      <c r="P988" s="375"/>
      <c r="AF988" s="14"/>
    </row>
    <row r="989" spans="3:32" s="13" customFormat="1" ht="30" customHeight="1" x14ac:dyDescent="0.2">
      <c r="C989" s="375"/>
      <c r="H989" s="375"/>
      <c r="N989" s="384"/>
      <c r="P989" s="375"/>
      <c r="AF989" s="14"/>
    </row>
    <row r="990" spans="3:32" s="13" customFormat="1" ht="30" customHeight="1" x14ac:dyDescent="0.2">
      <c r="C990" s="375"/>
      <c r="H990" s="375"/>
      <c r="N990" s="384"/>
      <c r="P990" s="375"/>
      <c r="AF990" s="14"/>
    </row>
    <row r="991" spans="3:32" s="13" customFormat="1" ht="30" customHeight="1" x14ac:dyDescent="0.2">
      <c r="C991" s="375"/>
      <c r="H991" s="375"/>
      <c r="N991" s="384"/>
      <c r="P991" s="375"/>
      <c r="AF991" s="14"/>
    </row>
    <row r="992" spans="3:32" s="13" customFormat="1" ht="30" customHeight="1" x14ac:dyDescent="0.2">
      <c r="C992" s="375"/>
      <c r="H992" s="375"/>
      <c r="N992" s="384"/>
      <c r="P992" s="375"/>
      <c r="AF992" s="14"/>
    </row>
    <row r="993" spans="3:32" s="13" customFormat="1" ht="30" customHeight="1" x14ac:dyDescent="0.2">
      <c r="C993" s="375"/>
      <c r="H993" s="375"/>
      <c r="N993" s="384"/>
      <c r="P993" s="375"/>
      <c r="AF993" s="14"/>
    </row>
    <row r="994" spans="3:32" s="13" customFormat="1" ht="30" customHeight="1" x14ac:dyDescent="0.2">
      <c r="C994" s="375"/>
      <c r="H994" s="375"/>
      <c r="N994" s="384"/>
      <c r="P994" s="375"/>
      <c r="AF994" s="14"/>
    </row>
    <row r="995" spans="3:32" s="13" customFormat="1" ht="30" customHeight="1" x14ac:dyDescent="0.2">
      <c r="C995" s="375"/>
      <c r="H995" s="375"/>
      <c r="N995" s="384"/>
      <c r="P995" s="375"/>
      <c r="AF995" s="14"/>
    </row>
    <row r="996" spans="3:32" s="13" customFormat="1" ht="30" customHeight="1" x14ac:dyDescent="0.2">
      <c r="C996" s="375"/>
      <c r="H996" s="375"/>
      <c r="N996" s="384"/>
      <c r="P996" s="375"/>
      <c r="AF996" s="14"/>
    </row>
    <row r="997" spans="3:32" s="13" customFormat="1" ht="30" customHeight="1" x14ac:dyDescent="0.2">
      <c r="C997" s="375"/>
      <c r="H997" s="375"/>
      <c r="N997" s="384"/>
      <c r="P997" s="375"/>
      <c r="AF997" s="14"/>
    </row>
    <row r="998" spans="3:32" s="13" customFormat="1" ht="30" customHeight="1" x14ac:dyDescent="0.2">
      <c r="C998" s="375"/>
      <c r="H998" s="375"/>
      <c r="N998" s="384"/>
      <c r="P998" s="375"/>
      <c r="AF998" s="14"/>
    </row>
    <row r="999" spans="3:32" s="13" customFormat="1" ht="30" customHeight="1" x14ac:dyDescent="0.2">
      <c r="C999" s="375"/>
      <c r="H999" s="375"/>
      <c r="N999" s="384"/>
      <c r="P999" s="375"/>
      <c r="AF999" s="14"/>
    </row>
    <row r="1000" spans="3:32" s="13" customFormat="1" ht="30" customHeight="1" x14ac:dyDescent="0.2">
      <c r="C1000" s="375"/>
      <c r="H1000" s="375"/>
      <c r="N1000" s="384"/>
      <c r="P1000" s="375"/>
      <c r="AF1000" s="14"/>
    </row>
    <row r="1001" spans="3:32" s="13" customFormat="1" ht="30" customHeight="1" x14ac:dyDescent="0.2">
      <c r="C1001" s="375"/>
      <c r="H1001" s="375"/>
      <c r="N1001" s="384"/>
      <c r="P1001" s="375"/>
      <c r="AF1001" s="14"/>
    </row>
    <row r="1002" spans="3:32" s="13" customFormat="1" ht="30" customHeight="1" x14ac:dyDescent="0.2">
      <c r="C1002" s="375"/>
      <c r="H1002" s="375"/>
      <c r="N1002" s="384"/>
      <c r="P1002" s="375"/>
      <c r="AF1002" s="14"/>
    </row>
    <row r="1003" spans="3:32" s="13" customFormat="1" ht="30" customHeight="1" x14ac:dyDescent="0.2">
      <c r="C1003" s="375"/>
      <c r="H1003" s="375"/>
      <c r="N1003" s="384"/>
      <c r="P1003" s="375"/>
      <c r="AF1003" s="14"/>
    </row>
    <row r="1004" spans="3:32" s="13" customFormat="1" ht="30" customHeight="1" x14ac:dyDescent="0.2">
      <c r="C1004" s="375"/>
      <c r="H1004" s="375"/>
      <c r="N1004" s="384"/>
      <c r="P1004" s="375"/>
      <c r="AF1004" s="14"/>
    </row>
    <row r="1005" spans="3:32" s="13" customFormat="1" ht="30" customHeight="1" x14ac:dyDescent="0.2">
      <c r="C1005" s="375"/>
      <c r="H1005" s="375"/>
      <c r="N1005" s="384"/>
      <c r="P1005" s="375"/>
      <c r="AF1005" s="14"/>
    </row>
    <row r="1006" spans="3:32" s="13" customFormat="1" ht="30" customHeight="1" x14ac:dyDescent="0.2">
      <c r="C1006" s="375"/>
      <c r="H1006" s="375"/>
      <c r="N1006" s="384"/>
      <c r="P1006" s="375"/>
      <c r="AF1006" s="14"/>
    </row>
    <row r="1007" spans="3:32" s="13" customFormat="1" ht="30" customHeight="1" x14ac:dyDescent="0.2">
      <c r="C1007" s="375"/>
      <c r="H1007" s="375"/>
      <c r="N1007" s="384"/>
      <c r="P1007" s="375"/>
      <c r="AF1007" s="14"/>
    </row>
    <row r="1008" spans="3:32" s="13" customFormat="1" ht="30" customHeight="1" x14ac:dyDescent="0.2">
      <c r="C1008" s="375"/>
      <c r="H1008" s="375"/>
      <c r="N1008" s="384"/>
      <c r="P1008" s="375"/>
      <c r="AF1008" s="14"/>
    </row>
    <row r="1009" spans="3:32" s="13" customFormat="1" ht="30" customHeight="1" x14ac:dyDescent="0.2">
      <c r="C1009" s="375"/>
      <c r="H1009" s="375"/>
      <c r="N1009" s="384"/>
      <c r="P1009" s="375"/>
      <c r="AF1009" s="14"/>
    </row>
    <row r="1010" spans="3:32" s="13" customFormat="1" ht="30" customHeight="1" x14ac:dyDescent="0.2">
      <c r="C1010" s="375"/>
      <c r="H1010" s="375"/>
      <c r="N1010" s="384"/>
      <c r="P1010" s="375"/>
      <c r="AF1010" s="14"/>
    </row>
    <row r="1011" spans="3:32" s="13" customFormat="1" ht="30" customHeight="1" x14ac:dyDescent="0.2">
      <c r="C1011" s="375"/>
      <c r="H1011" s="375"/>
      <c r="N1011" s="384"/>
      <c r="P1011" s="375"/>
      <c r="AF1011" s="14"/>
    </row>
    <row r="1012" spans="3:32" s="13" customFormat="1" ht="30" customHeight="1" x14ac:dyDescent="0.2">
      <c r="C1012" s="375"/>
      <c r="H1012" s="375"/>
      <c r="N1012" s="384"/>
      <c r="P1012" s="375"/>
      <c r="AF1012" s="14"/>
    </row>
    <row r="1013" spans="3:32" s="13" customFormat="1" ht="30" customHeight="1" x14ac:dyDescent="0.2">
      <c r="C1013" s="375"/>
      <c r="H1013" s="375"/>
      <c r="N1013" s="384"/>
      <c r="P1013" s="375"/>
      <c r="AF1013" s="14"/>
    </row>
    <row r="1014" spans="3:32" s="13" customFormat="1" ht="30" customHeight="1" x14ac:dyDescent="0.2">
      <c r="C1014" s="375"/>
      <c r="H1014" s="375"/>
      <c r="N1014" s="384"/>
      <c r="P1014" s="375"/>
      <c r="AF1014" s="14"/>
    </row>
    <row r="1015" spans="3:32" s="13" customFormat="1" ht="30" customHeight="1" x14ac:dyDescent="0.2">
      <c r="C1015" s="375"/>
      <c r="H1015" s="375"/>
      <c r="N1015" s="384"/>
      <c r="P1015" s="375"/>
      <c r="AF1015" s="14"/>
    </row>
    <row r="1016" spans="3:32" s="13" customFormat="1" ht="30" customHeight="1" x14ac:dyDescent="0.2">
      <c r="C1016" s="375"/>
      <c r="H1016" s="375"/>
      <c r="N1016" s="384"/>
      <c r="P1016" s="375"/>
      <c r="AF1016" s="14"/>
    </row>
    <row r="1017" spans="3:32" s="13" customFormat="1" ht="30" customHeight="1" x14ac:dyDescent="0.2">
      <c r="C1017" s="375"/>
      <c r="H1017" s="375"/>
      <c r="N1017" s="384"/>
      <c r="P1017" s="375"/>
      <c r="AF1017" s="14"/>
    </row>
    <row r="1018" spans="3:32" s="13" customFormat="1" ht="30" customHeight="1" x14ac:dyDescent="0.2">
      <c r="C1018" s="375"/>
      <c r="H1018" s="375"/>
      <c r="N1018" s="384"/>
      <c r="P1018" s="375"/>
      <c r="AF1018" s="14"/>
    </row>
    <row r="1019" spans="3:32" s="13" customFormat="1" ht="30" customHeight="1" x14ac:dyDescent="0.2">
      <c r="C1019" s="375"/>
      <c r="H1019" s="375"/>
      <c r="N1019" s="384"/>
      <c r="P1019" s="375"/>
      <c r="AF1019" s="14"/>
    </row>
    <row r="1020" spans="3:32" s="13" customFormat="1" ht="30" customHeight="1" x14ac:dyDescent="0.2">
      <c r="C1020" s="375"/>
      <c r="H1020" s="375"/>
      <c r="N1020" s="384"/>
      <c r="P1020" s="375"/>
      <c r="AF1020" s="14"/>
    </row>
    <row r="1021" spans="3:32" s="13" customFormat="1" ht="30" customHeight="1" x14ac:dyDescent="0.2">
      <c r="C1021" s="375"/>
      <c r="H1021" s="375"/>
      <c r="N1021" s="384"/>
      <c r="P1021" s="375"/>
      <c r="AF1021" s="14"/>
    </row>
    <row r="1022" spans="3:32" s="13" customFormat="1" ht="30" customHeight="1" x14ac:dyDescent="0.2">
      <c r="C1022" s="375"/>
      <c r="H1022" s="375"/>
      <c r="N1022" s="384"/>
      <c r="P1022" s="375"/>
      <c r="AF1022" s="14"/>
    </row>
    <row r="1023" spans="3:32" s="13" customFormat="1" ht="30" customHeight="1" x14ac:dyDescent="0.2">
      <c r="C1023" s="375"/>
      <c r="H1023" s="375"/>
      <c r="N1023" s="384"/>
      <c r="P1023" s="375"/>
      <c r="AF1023" s="14"/>
    </row>
    <row r="1024" spans="3:32" s="13" customFormat="1" ht="30" customHeight="1" x14ac:dyDescent="0.2">
      <c r="C1024" s="375"/>
      <c r="H1024" s="375"/>
      <c r="N1024" s="384"/>
      <c r="P1024" s="375"/>
      <c r="AF1024" s="14"/>
    </row>
    <row r="1025" spans="3:32" s="13" customFormat="1" ht="30" customHeight="1" x14ac:dyDescent="0.2">
      <c r="C1025" s="375"/>
      <c r="H1025" s="375"/>
      <c r="N1025" s="384"/>
      <c r="P1025" s="375"/>
      <c r="AF1025" s="14"/>
    </row>
    <row r="1026" spans="3:32" s="13" customFormat="1" ht="30" customHeight="1" x14ac:dyDescent="0.2">
      <c r="C1026" s="375"/>
      <c r="H1026" s="375"/>
      <c r="N1026" s="384"/>
      <c r="P1026" s="375"/>
      <c r="AF1026" s="14"/>
    </row>
    <row r="1027" spans="3:32" s="13" customFormat="1" ht="30" customHeight="1" x14ac:dyDescent="0.2">
      <c r="C1027" s="375"/>
      <c r="H1027" s="375"/>
      <c r="N1027" s="384"/>
      <c r="P1027" s="375"/>
      <c r="AF1027" s="14"/>
    </row>
    <row r="1028" spans="3:32" s="13" customFormat="1" ht="30" customHeight="1" x14ac:dyDescent="0.2">
      <c r="C1028" s="375"/>
      <c r="H1028" s="375"/>
      <c r="N1028" s="384"/>
      <c r="P1028" s="375"/>
      <c r="AF1028" s="14"/>
    </row>
    <row r="1029" spans="3:32" s="13" customFormat="1" ht="30" customHeight="1" x14ac:dyDescent="0.2">
      <c r="C1029" s="375"/>
      <c r="H1029" s="375"/>
      <c r="N1029" s="384"/>
      <c r="P1029" s="375"/>
      <c r="AF1029" s="14"/>
    </row>
    <row r="1030" spans="3:32" s="13" customFormat="1" ht="30" customHeight="1" x14ac:dyDescent="0.2">
      <c r="C1030" s="375"/>
      <c r="H1030" s="375"/>
      <c r="N1030" s="384"/>
      <c r="P1030" s="375"/>
      <c r="AF1030" s="14"/>
    </row>
    <row r="1031" spans="3:32" s="13" customFormat="1" ht="30" customHeight="1" x14ac:dyDescent="0.2">
      <c r="C1031" s="375"/>
      <c r="H1031" s="375"/>
      <c r="N1031" s="384"/>
      <c r="P1031" s="375"/>
      <c r="AF1031" s="14"/>
    </row>
    <row r="1032" spans="3:32" s="13" customFormat="1" ht="30" customHeight="1" x14ac:dyDescent="0.2">
      <c r="C1032" s="375"/>
      <c r="H1032" s="375"/>
      <c r="N1032" s="384"/>
      <c r="P1032" s="375"/>
      <c r="AF1032" s="14"/>
    </row>
    <row r="1033" spans="3:32" s="13" customFormat="1" ht="30" customHeight="1" x14ac:dyDescent="0.2">
      <c r="C1033" s="375"/>
      <c r="H1033" s="375"/>
      <c r="N1033" s="384"/>
      <c r="P1033" s="375"/>
      <c r="AF1033" s="14"/>
    </row>
    <row r="1034" spans="3:32" s="13" customFormat="1" ht="30" customHeight="1" x14ac:dyDescent="0.2">
      <c r="C1034" s="375"/>
      <c r="H1034" s="375"/>
      <c r="N1034" s="384"/>
      <c r="P1034" s="375"/>
      <c r="AF1034" s="14"/>
    </row>
    <row r="1035" spans="3:32" s="13" customFormat="1" ht="30" customHeight="1" x14ac:dyDescent="0.2">
      <c r="C1035" s="375"/>
      <c r="H1035" s="375"/>
      <c r="N1035" s="384"/>
      <c r="P1035" s="375"/>
      <c r="AF1035" s="14"/>
    </row>
    <row r="1036" spans="3:32" s="13" customFormat="1" ht="30" customHeight="1" x14ac:dyDescent="0.2">
      <c r="C1036" s="375"/>
      <c r="H1036" s="375"/>
      <c r="N1036" s="384"/>
      <c r="P1036" s="375"/>
      <c r="AF1036" s="14"/>
    </row>
    <row r="1037" spans="3:32" s="13" customFormat="1" ht="30" customHeight="1" x14ac:dyDescent="0.2">
      <c r="C1037" s="375"/>
      <c r="H1037" s="375"/>
      <c r="N1037" s="384"/>
      <c r="P1037" s="375"/>
      <c r="AF1037" s="14"/>
    </row>
    <row r="1038" spans="3:32" s="13" customFormat="1" ht="30" customHeight="1" x14ac:dyDescent="0.2">
      <c r="C1038" s="375"/>
      <c r="H1038" s="375"/>
      <c r="N1038" s="384"/>
      <c r="P1038" s="375"/>
      <c r="AF1038" s="14"/>
    </row>
    <row r="1039" spans="3:32" s="13" customFormat="1" ht="30" customHeight="1" x14ac:dyDescent="0.2">
      <c r="C1039" s="375"/>
      <c r="H1039" s="375"/>
      <c r="N1039" s="384"/>
      <c r="P1039" s="375"/>
      <c r="AF1039" s="14"/>
    </row>
    <row r="1040" spans="3:32" s="13" customFormat="1" ht="30" customHeight="1" x14ac:dyDescent="0.2">
      <c r="C1040" s="375"/>
      <c r="H1040" s="375"/>
      <c r="N1040" s="384"/>
      <c r="P1040" s="375"/>
      <c r="AF1040" s="14"/>
    </row>
    <row r="1041" spans="3:32" s="13" customFormat="1" ht="30" customHeight="1" x14ac:dyDescent="0.2">
      <c r="C1041" s="375"/>
      <c r="H1041" s="375"/>
      <c r="N1041" s="384"/>
      <c r="P1041" s="375"/>
      <c r="AF1041" s="14"/>
    </row>
    <row r="1042" spans="3:32" s="13" customFormat="1" ht="30" customHeight="1" x14ac:dyDescent="0.2">
      <c r="C1042" s="375"/>
      <c r="H1042" s="375"/>
      <c r="N1042" s="384"/>
      <c r="P1042" s="375"/>
      <c r="AF1042" s="14"/>
    </row>
    <row r="1043" spans="3:32" s="13" customFormat="1" ht="30" customHeight="1" x14ac:dyDescent="0.2">
      <c r="C1043" s="375"/>
      <c r="H1043" s="375"/>
      <c r="N1043" s="384"/>
      <c r="P1043" s="375"/>
      <c r="AF1043" s="14"/>
    </row>
    <row r="1044" spans="3:32" s="13" customFormat="1" ht="30" customHeight="1" x14ac:dyDescent="0.2">
      <c r="C1044" s="375"/>
      <c r="H1044" s="375"/>
      <c r="N1044" s="384"/>
      <c r="P1044" s="375"/>
      <c r="AF1044" s="14"/>
    </row>
    <row r="1045" spans="3:32" s="13" customFormat="1" ht="30" customHeight="1" x14ac:dyDescent="0.2">
      <c r="C1045" s="375"/>
      <c r="H1045" s="375"/>
      <c r="N1045" s="384"/>
      <c r="P1045" s="375"/>
      <c r="AF1045" s="14"/>
    </row>
    <row r="1046" spans="3:32" s="13" customFormat="1" ht="30" customHeight="1" x14ac:dyDescent="0.2">
      <c r="C1046" s="375"/>
      <c r="H1046" s="375"/>
      <c r="N1046" s="384"/>
      <c r="P1046" s="375"/>
      <c r="AF1046" s="14"/>
    </row>
    <row r="1047" spans="3:32" s="13" customFormat="1" ht="30" customHeight="1" x14ac:dyDescent="0.2">
      <c r="C1047" s="375"/>
      <c r="H1047" s="375"/>
      <c r="N1047" s="384"/>
      <c r="P1047" s="375"/>
      <c r="AF1047" s="14"/>
    </row>
    <row r="1048" spans="3:32" s="13" customFormat="1" ht="30" customHeight="1" x14ac:dyDescent="0.2">
      <c r="C1048" s="375"/>
      <c r="H1048" s="375"/>
      <c r="N1048" s="384"/>
      <c r="P1048" s="375"/>
      <c r="AF1048" s="14"/>
    </row>
    <row r="1049" spans="3:32" s="13" customFormat="1" ht="30" customHeight="1" x14ac:dyDescent="0.2">
      <c r="C1049" s="375"/>
      <c r="H1049" s="375"/>
      <c r="N1049" s="384"/>
      <c r="P1049" s="375"/>
      <c r="AF1049" s="14"/>
    </row>
    <row r="1050" spans="3:32" s="13" customFormat="1" ht="30" customHeight="1" x14ac:dyDescent="0.2">
      <c r="C1050" s="375"/>
      <c r="H1050" s="375"/>
      <c r="N1050" s="384"/>
      <c r="P1050" s="375"/>
      <c r="AF1050" s="14"/>
    </row>
    <row r="1051" spans="3:32" s="13" customFormat="1" ht="30" customHeight="1" x14ac:dyDescent="0.2">
      <c r="C1051" s="375"/>
      <c r="H1051" s="375"/>
      <c r="N1051" s="384"/>
      <c r="P1051" s="375"/>
      <c r="AF1051" s="14"/>
    </row>
    <row r="1052" spans="3:32" s="13" customFormat="1" ht="30" customHeight="1" x14ac:dyDescent="0.2">
      <c r="C1052" s="375"/>
      <c r="H1052" s="375"/>
      <c r="N1052" s="384"/>
      <c r="P1052" s="375"/>
      <c r="AF1052" s="14"/>
    </row>
    <row r="1053" spans="3:32" s="13" customFormat="1" ht="30" customHeight="1" x14ac:dyDescent="0.2">
      <c r="C1053" s="375"/>
      <c r="H1053" s="375"/>
      <c r="N1053" s="384"/>
      <c r="P1053" s="375"/>
      <c r="AF1053" s="14"/>
    </row>
    <row r="1054" spans="3:32" s="13" customFormat="1" ht="30" customHeight="1" x14ac:dyDescent="0.2">
      <c r="C1054" s="375"/>
      <c r="H1054" s="375"/>
      <c r="N1054" s="384"/>
      <c r="P1054" s="375"/>
      <c r="AF1054" s="14"/>
    </row>
    <row r="1055" spans="3:32" s="13" customFormat="1" ht="30" customHeight="1" x14ac:dyDescent="0.2">
      <c r="C1055" s="375"/>
      <c r="H1055" s="375"/>
      <c r="N1055" s="384"/>
      <c r="P1055" s="375"/>
      <c r="AF1055" s="14"/>
    </row>
    <row r="1056" spans="3:32" s="13" customFormat="1" ht="30" customHeight="1" x14ac:dyDescent="0.2">
      <c r="C1056" s="375"/>
      <c r="H1056" s="375"/>
      <c r="N1056" s="384"/>
      <c r="P1056" s="375"/>
      <c r="AF1056" s="14"/>
    </row>
    <row r="1057" spans="3:32" s="13" customFormat="1" ht="30" customHeight="1" x14ac:dyDescent="0.2">
      <c r="C1057" s="375"/>
      <c r="H1057" s="375"/>
      <c r="N1057" s="384"/>
      <c r="P1057" s="375"/>
      <c r="AF1057" s="14"/>
    </row>
    <row r="1058" spans="3:32" s="13" customFormat="1" ht="30" customHeight="1" x14ac:dyDescent="0.2">
      <c r="C1058" s="375"/>
      <c r="H1058" s="375"/>
      <c r="N1058" s="384"/>
      <c r="P1058" s="375"/>
      <c r="AF1058" s="14"/>
    </row>
    <row r="1059" spans="3:32" s="13" customFormat="1" ht="30" customHeight="1" x14ac:dyDescent="0.2">
      <c r="C1059" s="375"/>
      <c r="H1059" s="375"/>
      <c r="N1059" s="384"/>
      <c r="P1059" s="375"/>
      <c r="AF1059" s="14"/>
    </row>
    <row r="1060" spans="3:32" s="13" customFormat="1" ht="30" customHeight="1" x14ac:dyDescent="0.2">
      <c r="C1060" s="375"/>
      <c r="H1060" s="375"/>
      <c r="N1060" s="384"/>
      <c r="P1060" s="375"/>
      <c r="AF1060" s="14"/>
    </row>
    <row r="1061" spans="3:32" s="13" customFormat="1" ht="30" customHeight="1" x14ac:dyDescent="0.2">
      <c r="C1061" s="375"/>
      <c r="H1061" s="375"/>
      <c r="N1061" s="384"/>
      <c r="P1061" s="375"/>
      <c r="AF1061" s="14"/>
    </row>
    <row r="1062" spans="3:32" s="13" customFormat="1" ht="30" customHeight="1" x14ac:dyDescent="0.2">
      <c r="C1062" s="375"/>
      <c r="H1062" s="375"/>
      <c r="N1062" s="384"/>
      <c r="P1062" s="375"/>
      <c r="AF1062" s="14"/>
    </row>
    <row r="1063" spans="3:32" s="13" customFormat="1" ht="30" customHeight="1" x14ac:dyDescent="0.2">
      <c r="C1063" s="375"/>
      <c r="H1063" s="375"/>
      <c r="N1063" s="384"/>
      <c r="P1063" s="375"/>
      <c r="AF1063" s="14"/>
    </row>
    <row r="1064" spans="3:32" s="13" customFormat="1" ht="30" customHeight="1" x14ac:dyDescent="0.2">
      <c r="C1064" s="375"/>
      <c r="H1064" s="375"/>
      <c r="N1064" s="384"/>
      <c r="P1064" s="375"/>
      <c r="AF1064" s="14"/>
    </row>
    <row r="1065" spans="3:32" s="13" customFormat="1" ht="30" customHeight="1" x14ac:dyDescent="0.2">
      <c r="C1065" s="375"/>
      <c r="H1065" s="375"/>
      <c r="N1065" s="384"/>
      <c r="P1065" s="375"/>
      <c r="AF1065" s="14"/>
    </row>
    <row r="1066" spans="3:32" s="13" customFormat="1" ht="30" customHeight="1" x14ac:dyDescent="0.2">
      <c r="C1066" s="375"/>
      <c r="H1066" s="375"/>
      <c r="N1066" s="384"/>
      <c r="P1066" s="375"/>
      <c r="AF1066" s="14"/>
    </row>
    <row r="1067" spans="3:32" s="13" customFormat="1" ht="30" customHeight="1" x14ac:dyDescent="0.2">
      <c r="C1067" s="375"/>
      <c r="H1067" s="375"/>
      <c r="N1067" s="384"/>
      <c r="P1067" s="375"/>
      <c r="AF1067" s="14"/>
    </row>
    <row r="1068" spans="3:32" s="13" customFormat="1" ht="30" customHeight="1" x14ac:dyDescent="0.2">
      <c r="C1068" s="375"/>
      <c r="H1068" s="375"/>
      <c r="N1068" s="384"/>
      <c r="P1068" s="375"/>
      <c r="AF1068" s="14"/>
    </row>
    <row r="1069" spans="3:32" s="13" customFormat="1" ht="30" customHeight="1" x14ac:dyDescent="0.2">
      <c r="C1069" s="375"/>
      <c r="H1069" s="375"/>
      <c r="N1069" s="384"/>
      <c r="P1069" s="375"/>
      <c r="AF1069" s="14"/>
    </row>
    <row r="1070" spans="3:32" s="13" customFormat="1" ht="30" customHeight="1" x14ac:dyDescent="0.2">
      <c r="C1070" s="375"/>
      <c r="H1070" s="375"/>
      <c r="N1070" s="384"/>
      <c r="P1070" s="375"/>
      <c r="AF1070" s="14"/>
    </row>
    <row r="1071" spans="3:32" s="13" customFormat="1" ht="30" customHeight="1" x14ac:dyDescent="0.2">
      <c r="C1071" s="375"/>
      <c r="H1071" s="375"/>
      <c r="N1071" s="384"/>
      <c r="P1071" s="375"/>
      <c r="AF1071" s="14"/>
    </row>
    <row r="1072" spans="3:32" s="13" customFormat="1" ht="30" customHeight="1" x14ac:dyDescent="0.2">
      <c r="C1072" s="375"/>
      <c r="H1072" s="375"/>
      <c r="N1072" s="384"/>
      <c r="P1072" s="375"/>
      <c r="AF1072" s="14"/>
    </row>
    <row r="1073" spans="3:32" s="13" customFormat="1" ht="30" customHeight="1" x14ac:dyDescent="0.2">
      <c r="C1073" s="375"/>
      <c r="H1073" s="375"/>
      <c r="N1073" s="384"/>
      <c r="P1073" s="375"/>
      <c r="AF1073" s="14"/>
    </row>
    <row r="1074" spans="3:32" s="13" customFormat="1" ht="30" customHeight="1" x14ac:dyDescent="0.2">
      <c r="C1074" s="375"/>
      <c r="H1074" s="375"/>
      <c r="N1074" s="384"/>
      <c r="P1074" s="375"/>
      <c r="AF1074" s="14"/>
    </row>
    <row r="1075" spans="3:32" s="13" customFormat="1" ht="30" customHeight="1" x14ac:dyDescent="0.2">
      <c r="C1075" s="375"/>
      <c r="H1075" s="375"/>
      <c r="N1075" s="384"/>
      <c r="P1075" s="375"/>
      <c r="AF1075" s="14"/>
    </row>
    <row r="1076" spans="3:32" s="13" customFormat="1" ht="30" customHeight="1" x14ac:dyDescent="0.2">
      <c r="C1076" s="375"/>
      <c r="H1076" s="375"/>
      <c r="N1076" s="384"/>
      <c r="P1076" s="375"/>
      <c r="AF1076" s="14"/>
    </row>
    <row r="1077" spans="3:32" s="13" customFormat="1" ht="30" customHeight="1" x14ac:dyDescent="0.2">
      <c r="C1077" s="375"/>
      <c r="H1077" s="375"/>
      <c r="N1077" s="384"/>
      <c r="P1077" s="375"/>
      <c r="AF1077" s="14"/>
    </row>
    <row r="1078" spans="3:32" s="13" customFormat="1" ht="30" customHeight="1" x14ac:dyDescent="0.2">
      <c r="C1078" s="375"/>
      <c r="H1078" s="375"/>
      <c r="N1078" s="384"/>
      <c r="P1078" s="375"/>
      <c r="AF1078" s="14"/>
    </row>
    <row r="1079" spans="3:32" s="13" customFormat="1" ht="30" customHeight="1" x14ac:dyDescent="0.2">
      <c r="C1079" s="375"/>
      <c r="H1079" s="375"/>
      <c r="N1079" s="384"/>
      <c r="P1079" s="375"/>
      <c r="AF1079" s="14"/>
    </row>
    <row r="1080" spans="3:32" s="13" customFormat="1" ht="30" customHeight="1" x14ac:dyDescent="0.2">
      <c r="C1080" s="375"/>
      <c r="H1080" s="375"/>
      <c r="N1080" s="384"/>
      <c r="P1080" s="375"/>
      <c r="AF1080" s="14"/>
    </row>
    <row r="1081" spans="3:32" s="13" customFormat="1" ht="30" customHeight="1" x14ac:dyDescent="0.2">
      <c r="C1081" s="375"/>
      <c r="H1081" s="375"/>
      <c r="N1081" s="384"/>
      <c r="P1081" s="375"/>
      <c r="AF1081" s="14"/>
    </row>
    <row r="1082" spans="3:32" s="13" customFormat="1" ht="30" customHeight="1" x14ac:dyDescent="0.2">
      <c r="C1082" s="375"/>
      <c r="H1082" s="375"/>
      <c r="N1082" s="384"/>
      <c r="P1082" s="375"/>
      <c r="AF1082" s="14"/>
    </row>
    <row r="1083" spans="3:32" s="13" customFormat="1" ht="30" customHeight="1" x14ac:dyDescent="0.2">
      <c r="C1083" s="375"/>
      <c r="H1083" s="375"/>
      <c r="N1083" s="384"/>
      <c r="P1083" s="375"/>
      <c r="AF1083" s="14"/>
    </row>
    <row r="1084" spans="3:32" s="13" customFormat="1" ht="30" customHeight="1" x14ac:dyDescent="0.2">
      <c r="C1084" s="375"/>
      <c r="H1084" s="375"/>
      <c r="N1084" s="384"/>
      <c r="P1084" s="375"/>
      <c r="AF1084" s="14"/>
    </row>
    <row r="1085" spans="3:32" s="13" customFormat="1" ht="30" customHeight="1" x14ac:dyDescent="0.2">
      <c r="C1085" s="375"/>
      <c r="H1085" s="375"/>
      <c r="N1085" s="384"/>
      <c r="P1085" s="375"/>
      <c r="AF1085" s="14"/>
    </row>
    <row r="1086" spans="3:32" s="13" customFormat="1" ht="30" customHeight="1" x14ac:dyDescent="0.2">
      <c r="C1086" s="375"/>
      <c r="H1086" s="375"/>
      <c r="N1086" s="384"/>
      <c r="P1086" s="375"/>
      <c r="AF1086" s="14"/>
    </row>
    <row r="1087" spans="3:32" s="13" customFormat="1" ht="30" customHeight="1" x14ac:dyDescent="0.2">
      <c r="C1087" s="375"/>
      <c r="H1087" s="375"/>
      <c r="N1087" s="384"/>
      <c r="P1087" s="375"/>
      <c r="AF1087" s="14"/>
    </row>
    <row r="1088" spans="3:32" s="13" customFormat="1" ht="30" customHeight="1" x14ac:dyDescent="0.2">
      <c r="C1088" s="375"/>
      <c r="H1088" s="375"/>
      <c r="N1088" s="384"/>
      <c r="P1088" s="375"/>
      <c r="AF1088" s="14"/>
    </row>
    <row r="1089" spans="3:32" s="13" customFormat="1" ht="30" customHeight="1" x14ac:dyDescent="0.2">
      <c r="C1089" s="375"/>
      <c r="H1089" s="375"/>
      <c r="N1089" s="384"/>
      <c r="P1089" s="375"/>
      <c r="AF1089" s="14"/>
    </row>
    <row r="1090" spans="3:32" s="13" customFormat="1" ht="30" customHeight="1" x14ac:dyDescent="0.2">
      <c r="C1090" s="375"/>
      <c r="H1090" s="375"/>
      <c r="N1090" s="384"/>
      <c r="P1090" s="375"/>
      <c r="AF1090" s="14"/>
    </row>
    <row r="1091" spans="3:32" s="13" customFormat="1" ht="30" customHeight="1" x14ac:dyDescent="0.2">
      <c r="C1091" s="375"/>
      <c r="H1091" s="375"/>
      <c r="N1091" s="384"/>
      <c r="P1091" s="375"/>
      <c r="AF1091" s="14"/>
    </row>
    <row r="1092" spans="3:32" s="13" customFormat="1" ht="30" customHeight="1" x14ac:dyDescent="0.2">
      <c r="C1092" s="375"/>
      <c r="H1092" s="375"/>
      <c r="N1092" s="384"/>
      <c r="P1092" s="375"/>
      <c r="AF1092" s="14"/>
    </row>
    <row r="1093" spans="3:32" s="13" customFormat="1" ht="30" customHeight="1" x14ac:dyDescent="0.2">
      <c r="C1093" s="375"/>
      <c r="H1093" s="375"/>
      <c r="N1093" s="384"/>
      <c r="P1093" s="375"/>
      <c r="AF1093" s="14"/>
    </row>
    <row r="1094" spans="3:32" s="13" customFormat="1" ht="30" customHeight="1" x14ac:dyDescent="0.2">
      <c r="C1094" s="375"/>
      <c r="H1094" s="375"/>
      <c r="N1094" s="384"/>
      <c r="P1094" s="375"/>
      <c r="AF1094" s="14"/>
    </row>
    <row r="1095" spans="3:32" s="13" customFormat="1" ht="30" customHeight="1" x14ac:dyDescent="0.2">
      <c r="C1095" s="375"/>
      <c r="H1095" s="375"/>
      <c r="N1095" s="384"/>
      <c r="P1095" s="375"/>
      <c r="AF1095" s="14"/>
    </row>
    <row r="1096" spans="3:32" s="13" customFormat="1" ht="30" customHeight="1" x14ac:dyDescent="0.2">
      <c r="C1096" s="375"/>
      <c r="H1096" s="375"/>
      <c r="N1096" s="384"/>
      <c r="P1096" s="375"/>
      <c r="AF1096" s="14"/>
    </row>
    <row r="1097" spans="3:32" s="13" customFormat="1" ht="30" customHeight="1" x14ac:dyDescent="0.2">
      <c r="C1097" s="375"/>
      <c r="H1097" s="375"/>
      <c r="N1097" s="384"/>
      <c r="P1097" s="375"/>
      <c r="AF1097" s="14"/>
    </row>
    <row r="1098" spans="3:32" s="13" customFormat="1" ht="30" customHeight="1" x14ac:dyDescent="0.2">
      <c r="C1098" s="375"/>
      <c r="H1098" s="375"/>
      <c r="N1098" s="384"/>
      <c r="P1098" s="375"/>
      <c r="AF1098" s="14"/>
    </row>
    <row r="1099" spans="3:32" s="13" customFormat="1" ht="30" customHeight="1" x14ac:dyDescent="0.2">
      <c r="C1099" s="375"/>
      <c r="H1099" s="375"/>
      <c r="N1099" s="384"/>
      <c r="P1099" s="375"/>
      <c r="AF1099" s="14"/>
    </row>
    <row r="1100" spans="3:32" s="13" customFormat="1" ht="30" customHeight="1" x14ac:dyDescent="0.2">
      <c r="C1100" s="375"/>
      <c r="H1100" s="375"/>
      <c r="N1100" s="384"/>
      <c r="P1100" s="375"/>
      <c r="AF1100" s="14"/>
    </row>
    <row r="1101" spans="3:32" s="13" customFormat="1" ht="30" customHeight="1" x14ac:dyDescent="0.2">
      <c r="C1101" s="375"/>
      <c r="H1101" s="375"/>
      <c r="N1101" s="384"/>
      <c r="P1101" s="375"/>
      <c r="AF1101" s="14"/>
    </row>
    <row r="1102" spans="3:32" s="13" customFormat="1" ht="30" customHeight="1" x14ac:dyDescent="0.2">
      <c r="C1102" s="375"/>
      <c r="H1102" s="375"/>
      <c r="N1102" s="384"/>
      <c r="P1102" s="375"/>
      <c r="AF1102" s="14"/>
    </row>
    <row r="1103" spans="3:32" s="13" customFormat="1" ht="30" customHeight="1" x14ac:dyDescent="0.2">
      <c r="C1103" s="375"/>
      <c r="H1103" s="375"/>
      <c r="N1103" s="384"/>
      <c r="P1103" s="375"/>
      <c r="AF1103" s="14"/>
    </row>
    <row r="1104" spans="3:32" s="13" customFormat="1" ht="30" customHeight="1" x14ac:dyDescent="0.2">
      <c r="C1104" s="375"/>
      <c r="H1104" s="375"/>
      <c r="N1104" s="384"/>
      <c r="P1104" s="375"/>
      <c r="AF1104" s="14"/>
    </row>
    <row r="1105" spans="3:32" s="13" customFormat="1" ht="30" customHeight="1" x14ac:dyDescent="0.2">
      <c r="C1105" s="375"/>
      <c r="H1105" s="375"/>
      <c r="N1105" s="384"/>
      <c r="P1105" s="375"/>
      <c r="AF1105" s="14"/>
    </row>
    <row r="1106" spans="3:32" s="13" customFormat="1" ht="30" customHeight="1" x14ac:dyDescent="0.2">
      <c r="C1106" s="375"/>
      <c r="H1106" s="375"/>
      <c r="N1106" s="384"/>
      <c r="P1106" s="375"/>
      <c r="AF1106" s="14"/>
    </row>
    <row r="1107" spans="3:32" s="13" customFormat="1" ht="30" customHeight="1" x14ac:dyDescent="0.2">
      <c r="C1107" s="375"/>
      <c r="H1107" s="375"/>
      <c r="N1107" s="384"/>
      <c r="P1107" s="375"/>
      <c r="AF1107" s="14"/>
    </row>
    <row r="1108" spans="3:32" s="13" customFormat="1" ht="30" customHeight="1" x14ac:dyDescent="0.2">
      <c r="C1108" s="375"/>
      <c r="H1108" s="375"/>
      <c r="N1108" s="384"/>
      <c r="P1108" s="375"/>
      <c r="AF1108" s="14"/>
    </row>
    <row r="1109" spans="3:32" s="13" customFormat="1" ht="30" customHeight="1" x14ac:dyDescent="0.2">
      <c r="C1109" s="375"/>
      <c r="H1109" s="375"/>
      <c r="N1109" s="384"/>
      <c r="P1109" s="375"/>
      <c r="AF1109" s="14"/>
    </row>
    <row r="1110" spans="3:32" s="13" customFormat="1" ht="30" customHeight="1" x14ac:dyDescent="0.2">
      <c r="C1110" s="375"/>
      <c r="H1110" s="375"/>
      <c r="N1110" s="384"/>
      <c r="P1110" s="375"/>
      <c r="AF1110" s="14"/>
    </row>
    <row r="1111" spans="3:32" s="13" customFormat="1" ht="30" customHeight="1" x14ac:dyDescent="0.2">
      <c r="C1111" s="375"/>
      <c r="H1111" s="375"/>
      <c r="N1111" s="384"/>
      <c r="P1111" s="375"/>
      <c r="AF1111" s="14"/>
    </row>
    <row r="1112" spans="3:32" s="13" customFormat="1" ht="30" customHeight="1" x14ac:dyDescent="0.2">
      <c r="C1112" s="375"/>
      <c r="H1112" s="375"/>
      <c r="N1112" s="384"/>
      <c r="P1112" s="375"/>
      <c r="AF1112" s="14"/>
    </row>
    <row r="1113" spans="3:32" s="13" customFormat="1" ht="30" customHeight="1" x14ac:dyDescent="0.2">
      <c r="C1113" s="375"/>
      <c r="H1113" s="375"/>
      <c r="N1113" s="384"/>
      <c r="P1113" s="375"/>
      <c r="AF1113" s="14"/>
    </row>
    <row r="1114" spans="3:32" s="13" customFormat="1" ht="30" customHeight="1" x14ac:dyDescent="0.2">
      <c r="C1114" s="375"/>
      <c r="H1114" s="375"/>
      <c r="N1114" s="384"/>
      <c r="P1114" s="375"/>
      <c r="AF1114" s="14"/>
    </row>
    <row r="1115" spans="3:32" s="13" customFormat="1" ht="30" customHeight="1" x14ac:dyDescent="0.2">
      <c r="C1115" s="375"/>
      <c r="H1115" s="375"/>
      <c r="N1115" s="384"/>
      <c r="P1115" s="375"/>
      <c r="AF1115" s="14"/>
    </row>
    <row r="1116" spans="3:32" s="13" customFormat="1" ht="30" customHeight="1" x14ac:dyDescent="0.2">
      <c r="C1116" s="375"/>
      <c r="H1116" s="375"/>
      <c r="N1116" s="384"/>
      <c r="P1116" s="375"/>
      <c r="AF1116" s="14"/>
    </row>
    <row r="1117" spans="3:32" s="13" customFormat="1" ht="30" customHeight="1" x14ac:dyDescent="0.2">
      <c r="C1117" s="375"/>
      <c r="H1117" s="375"/>
      <c r="N1117" s="384"/>
      <c r="P1117" s="375"/>
      <c r="AF1117" s="14"/>
    </row>
    <row r="1118" spans="3:32" s="13" customFormat="1" ht="30" customHeight="1" x14ac:dyDescent="0.2">
      <c r="C1118" s="375"/>
      <c r="H1118" s="375"/>
      <c r="N1118" s="384"/>
      <c r="P1118" s="375"/>
      <c r="AF1118" s="14"/>
    </row>
    <row r="1119" spans="3:32" s="13" customFormat="1" ht="30" customHeight="1" x14ac:dyDescent="0.2">
      <c r="C1119" s="375"/>
      <c r="H1119" s="375"/>
      <c r="N1119" s="384"/>
      <c r="P1119" s="375"/>
      <c r="AF1119" s="14"/>
    </row>
    <row r="1120" spans="3:32" s="13" customFormat="1" ht="30" customHeight="1" x14ac:dyDescent="0.2">
      <c r="C1120" s="375"/>
      <c r="H1120" s="375"/>
      <c r="N1120" s="384"/>
      <c r="P1120" s="375"/>
      <c r="AF1120" s="14"/>
    </row>
    <row r="1121" spans="3:32" s="13" customFormat="1" ht="30" customHeight="1" x14ac:dyDescent="0.2">
      <c r="C1121" s="375"/>
      <c r="H1121" s="375"/>
      <c r="N1121" s="384"/>
      <c r="P1121" s="375"/>
      <c r="AF1121" s="14"/>
    </row>
    <row r="1122" spans="3:32" s="13" customFormat="1" ht="30" customHeight="1" x14ac:dyDescent="0.2">
      <c r="C1122" s="375"/>
      <c r="H1122" s="375"/>
      <c r="N1122" s="384"/>
      <c r="P1122" s="375"/>
      <c r="AF1122" s="14"/>
    </row>
    <row r="1123" spans="3:32" s="13" customFormat="1" ht="30" customHeight="1" x14ac:dyDescent="0.2">
      <c r="C1123" s="375"/>
      <c r="H1123" s="375"/>
      <c r="N1123" s="384"/>
      <c r="P1123" s="375"/>
      <c r="AF1123" s="14"/>
    </row>
    <row r="1124" spans="3:32" s="13" customFormat="1" ht="30" customHeight="1" x14ac:dyDescent="0.2">
      <c r="C1124" s="375"/>
      <c r="H1124" s="375"/>
      <c r="N1124" s="384"/>
      <c r="P1124" s="375"/>
      <c r="AF1124" s="14"/>
    </row>
    <row r="1125" spans="3:32" s="13" customFormat="1" ht="30" customHeight="1" x14ac:dyDescent="0.2">
      <c r="C1125" s="375"/>
      <c r="H1125" s="375"/>
      <c r="N1125" s="384"/>
      <c r="P1125" s="375"/>
      <c r="AF1125" s="14"/>
    </row>
    <row r="1126" spans="3:32" s="13" customFormat="1" ht="30" customHeight="1" x14ac:dyDescent="0.2">
      <c r="C1126" s="375"/>
      <c r="H1126" s="375"/>
      <c r="N1126" s="384"/>
      <c r="P1126" s="375"/>
      <c r="AF1126" s="14"/>
    </row>
    <row r="1127" spans="3:32" s="13" customFormat="1" ht="30" customHeight="1" x14ac:dyDescent="0.2">
      <c r="C1127" s="375"/>
      <c r="H1127" s="375"/>
      <c r="N1127" s="384"/>
      <c r="P1127" s="375"/>
      <c r="AF1127" s="14"/>
    </row>
    <row r="1128" spans="3:32" s="13" customFormat="1" ht="30" customHeight="1" x14ac:dyDescent="0.2">
      <c r="C1128" s="375"/>
      <c r="H1128" s="375"/>
      <c r="N1128" s="384"/>
      <c r="P1128" s="375"/>
      <c r="AF1128" s="14"/>
    </row>
    <row r="1129" spans="3:32" s="13" customFormat="1" ht="30" customHeight="1" x14ac:dyDescent="0.2">
      <c r="C1129" s="375"/>
      <c r="H1129" s="375"/>
      <c r="N1129" s="384"/>
      <c r="P1129" s="375"/>
      <c r="AF1129" s="14"/>
    </row>
    <row r="1130" spans="3:32" s="13" customFormat="1" ht="30" customHeight="1" x14ac:dyDescent="0.2">
      <c r="C1130" s="375"/>
      <c r="H1130" s="375"/>
      <c r="N1130" s="384"/>
      <c r="P1130" s="375"/>
      <c r="AF1130" s="14"/>
    </row>
    <row r="1131" spans="3:32" s="13" customFormat="1" ht="30" customHeight="1" x14ac:dyDescent="0.2">
      <c r="C1131" s="375"/>
      <c r="H1131" s="375"/>
      <c r="N1131" s="384"/>
      <c r="P1131" s="375"/>
      <c r="AF1131" s="14"/>
    </row>
    <row r="1132" spans="3:32" s="13" customFormat="1" ht="30" customHeight="1" x14ac:dyDescent="0.2">
      <c r="C1132" s="375"/>
      <c r="H1132" s="375"/>
      <c r="N1132" s="384"/>
      <c r="P1132" s="375"/>
      <c r="AF1132" s="14"/>
    </row>
    <row r="1133" spans="3:32" s="13" customFormat="1" ht="30" customHeight="1" x14ac:dyDescent="0.2">
      <c r="C1133" s="375"/>
      <c r="H1133" s="375"/>
      <c r="N1133" s="384"/>
      <c r="P1133" s="375"/>
      <c r="AF1133" s="14"/>
    </row>
    <row r="1134" spans="3:32" s="13" customFormat="1" ht="30" customHeight="1" x14ac:dyDescent="0.2">
      <c r="C1134" s="375"/>
      <c r="H1134" s="375"/>
      <c r="N1134" s="384"/>
      <c r="P1134" s="375"/>
      <c r="AF1134" s="14"/>
    </row>
    <row r="1135" spans="3:32" s="13" customFormat="1" ht="30" customHeight="1" x14ac:dyDescent="0.2">
      <c r="C1135" s="375"/>
      <c r="H1135" s="375"/>
      <c r="N1135" s="384"/>
      <c r="P1135" s="375"/>
      <c r="AF1135" s="14"/>
    </row>
    <row r="1136" spans="3:32" s="13" customFormat="1" ht="30" customHeight="1" x14ac:dyDescent="0.2">
      <c r="C1136" s="375"/>
      <c r="H1136" s="375"/>
      <c r="N1136" s="384"/>
      <c r="P1136" s="375"/>
      <c r="AF1136" s="14"/>
    </row>
    <row r="1137" spans="3:32" s="13" customFormat="1" ht="30" customHeight="1" x14ac:dyDescent="0.2">
      <c r="C1137" s="375"/>
      <c r="H1137" s="375"/>
      <c r="N1137" s="384"/>
      <c r="P1137" s="375"/>
      <c r="AF1137" s="14"/>
    </row>
    <row r="1138" spans="3:32" s="13" customFormat="1" ht="30" customHeight="1" x14ac:dyDescent="0.2">
      <c r="C1138" s="375"/>
      <c r="H1138" s="375"/>
      <c r="N1138" s="384"/>
      <c r="P1138" s="375"/>
      <c r="AF1138" s="14"/>
    </row>
    <row r="1139" spans="3:32" s="13" customFormat="1" ht="30" customHeight="1" x14ac:dyDescent="0.2">
      <c r="C1139" s="375"/>
      <c r="H1139" s="375"/>
      <c r="N1139" s="384"/>
      <c r="P1139" s="375"/>
      <c r="AF1139" s="14"/>
    </row>
    <row r="1140" spans="3:32" s="13" customFormat="1" ht="30" customHeight="1" x14ac:dyDescent="0.2">
      <c r="C1140" s="375"/>
      <c r="H1140" s="375"/>
      <c r="N1140" s="384"/>
      <c r="P1140" s="375"/>
      <c r="AF1140" s="14"/>
    </row>
    <row r="1141" spans="3:32" s="13" customFormat="1" ht="30" customHeight="1" x14ac:dyDescent="0.2">
      <c r="C1141" s="375"/>
      <c r="H1141" s="375"/>
      <c r="N1141" s="384"/>
      <c r="P1141" s="375"/>
      <c r="AF1141" s="14"/>
    </row>
    <row r="1142" spans="3:32" s="13" customFormat="1" ht="30" customHeight="1" x14ac:dyDescent="0.2">
      <c r="C1142" s="375"/>
      <c r="H1142" s="375"/>
      <c r="N1142" s="384"/>
      <c r="P1142" s="375"/>
      <c r="AF1142" s="14"/>
    </row>
    <row r="1143" spans="3:32" s="13" customFormat="1" ht="30" customHeight="1" x14ac:dyDescent="0.2">
      <c r="C1143" s="375"/>
      <c r="H1143" s="375"/>
      <c r="N1143" s="384"/>
      <c r="P1143" s="375"/>
      <c r="AF1143" s="14"/>
    </row>
    <row r="1144" spans="3:32" s="13" customFormat="1" ht="30" customHeight="1" x14ac:dyDescent="0.2">
      <c r="C1144" s="375"/>
      <c r="H1144" s="375"/>
      <c r="N1144" s="384"/>
      <c r="P1144" s="375"/>
      <c r="AF1144" s="14"/>
    </row>
    <row r="1145" spans="3:32" s="13" customFormat="1" ht="30" customHeight="1" x14ac:dyDescent="0.2">
      <c r="C1145" s="375"/>
      <c r="H1145" s="375"/>
      <c r="N1145" s="384"/>
      <c r="P1145" s="375"/>
      <c r="AF1145" s="14"/>
    </row>
    <row r="1146" spans="3:32" s="13" customFormat="1" ht="30" customHeight="1" x14ac:dyDescent="0.2">
      <c r="C1146" s="375"/>
      <c r="H1146" s="375"/>
      <c r="N1146" s="384"/>
      <c r="P1146" s="375"/>
      <c r="AF1146" s="14"/>
    </row>
    <row r="1147" spans="3:32" s="13" customFormat="1" ht="30" customHeight="1" x14ac:dyDescent="0.2">
      <c r="C1147" s="375"/>
      <c r="H1147" s="375"/>
      <c r="N1147" s="384"/>
      <c r="P1147" s="375"/>
      <c r="AF1147" s="14"/>
    </row>
    <row r="1148" spans="3:32" s="13" customFormat="1" ht="30" customHeight="1" x14ac:dyDescent="0.2">
      <c r="C1148" s="375"/>
      <c r="H1148" s="375"/>
      <c r="N1148" s="384"/>
      <c r="P1148" s="375"/>
      <c r="AF1148" s="14"/>
    </row>
    <row r="1149" spans="3:32" s="13" customFormat="1" ht="30" customHeight="1" x14ac:dyDescent="0.2">
      <c r="C1149" s="375"/>
      <c r="H1149" s="375"/>
      <c r="N1149" s="384"/>
      <c r="P1149" s="375"/>
      <c r="AF1149" s="14"/>
    </row>
    <row r="1150" spans="3:32" s="13" customFormat="1" ht="30" customHeight="1" x14ac:dyDescent="0.2">
      <c r="C1150" s="375"/>
      <c r="H1150" s="375"/>
      <c r="N1150" s="384"/>
      <c r="P1150" s="375"/>
      <c r="AF1150" s="14"/>
    </row>
    <row r="1151" spans="3:32" s="13" customFormat="1" ht="30" customHeight="1" x14ac:dyDescent="0.2">
      <c r="C1151" s="375"/>
      <c r="H1151" s="375"/>
      <c r="N1151" s="384"/>
      <c r="P1151" s="375"/>
      <c r="AF1151" s="14"/>
    </row>
    <row r="1152" spans="3:32" s="13" customFormat="1" ht="30" customHeight="1" x14ac:dyDescent="0.2">
      <c r="C1152" s="375"/>
      <c r="H1152" s="375"/>
      <c r="N1152" s="384"/>
      <c r="P1152" s="375"/>
      <c r="AF1152" s="14"/>
    </row>
    <row r="1153" spans="3:32" s="13" customFormat="1" ht="30" customHeight="1" x14ac:dyDescent="0.2">
      <c r="C1153" s="375"/>
      <c r="H1153" s="375"/>
      <c r="N1153" s="384"/>
      <c r="P1153" s="375"/>
      <c r="AF1153" s="14"/>
    </row>
    <row r="1154" spans="3:32" s="13" customFormat="1" ht="30" customHeight="1" x14ac:dyDescent="0.2">
      <c r="C1154" s="375"/>
      <c r="H1154" s="375"/>
      <c r="N1154" s="384"/>
      <c r="P1154" s="375"/>
      <c r="AF1154" s="14"/>
    </row>
    <row r="1155" spans="3:32" s="13" customFormat="1" ht="30" customHeight="1" x14ac:dyDescent="0.2">
      <c r="C1155" s="375"/>
      <c r="H1155" s="375"/>
      <c r="N1155" s="384"/>
      <c r="P1155" s="375"/>
      <c r="AF1155" s="14"/>
    </row>
    <row r="1156" spans="3:32" s="13" customFormat="1" ht="30" customHeight="1" x14ac:dyDescent="0.2">
      <c r="C1156" s="375"/>
      <c r="H1156" s="375"/>
      <c r="N1156" s="384"/>
      <c r="P1156" s="375"/>
      <c r="AF1156" s="14"/>
    </row>
    <row r="1157" spans="3:32" s="13" customFormat="1" ht="30" customHeight="1" x14ac:dyDescent="0.2">
      <c r="C1157" s="375"/>
      <c r="H1157" s="375"/>
      <c r="N1157" s="384"/>
      <c r="P1157" s="375"/>
      <c r="AF1157" s="14"/>
    </row>
    <row r="1158" spans="3:32" s="13" customFormat="1" ht="30" customHeight="1" x14ac:dyDescent="0.2">
      <c r="C1158" s="375"/>
      <c r="H1158" s="375"/>
      <c r="N1158" s="384"/>
      <c r="P1158" s="375"/>
      <c r="AF1158" s="14"/>
    </row>
    <row r="1159" spans="3:32" s="13" customFormat="1" ht="30" customHeight="1" x14ac:dyDescent="0.2">
      <c r="C1159" s="375"/>
      <c r="H1159" s="375"/>
      <c r="N1159" s="384"/>
      <c r="P1159" s="375"/>
      <c r="AF1159" s="14"/>
    </row>
    <row r="1160" spans="3:32" s="13" customFormat="1" ht="30" customHeight="1" x14ac:dyDescent="0.2">
      <c r="C1160" s="375"/>
      <c r="H1160" s="375"/>
      <c r="N1160" s="384"/>
      <c r="P1160" s="375"/>
      <c r="AF1160" s="14"/>
    </row>
    <row r="1161" spans="3:32" s="13" customFormat="1" ht="30" customHeight="1" x14ac:dyDescent="0.2">
      <c r="C1161" s="375"/>
      <c r="H1161" s="375"/>
      <c r="N1161" s="384"/>
      <c r="P1161" s="375"/>
      <c r="AF1161" s="14"/>
    </row>
    <row r="1162" spans="3:32" s="13" customFormat="1" ht="30" customHeight="1" x14ac:dyDescent="0.2">
      <c r="C1162" s="375"/>
      <c r="H1162" s="375"/>
      <c r="N1162" s="384"/>
      <c r="P1162" s="375"/>
      <c r="AF1162" s="14"/>
    </row>
    <row r="1163" spans="3:32" s="13" customFormat="1" ht="30" customHeight="1" x14ac:dyDescent="0.2">
      <c r="C1163" s="375"/>
      <c r="H1163" s="375"/>
      <c r="N1163" s="384"/>
      <c r="P1163" s="375"/>
      <c r="AF1163" s="14"/>
    </row>
    <row r="1164" spans="3:32" s="13" customFormat="1" ht="30" customHeight="1" x14ac:dyDescent="0.2">
      <c r="C1164" s="375"/>
      <c r="H1164" s="375"/>
      <c r="N1164" s="384"/>
      <c r="P1164" s="375"/>
      <c r="AF1164" s="14"/>
    </row>
    <row r="1165" spans="3:32" s="13" customFormat="1" ht="30" customHeight="1" x14ac:dyDescent="0.2">
      <c r="C1165" s="375"/>
      <c r="H1165" s="375"/>
      <c r="N1165" s="384"/>
      <c r="P1165" s="375"/>
      <c r="AF1165" s="14"/>
    </row>
    <row r="1166" spans="3:32" s="13" customFormat="1" ht="30" customHeight="1" x14ac:dyDescent="0.2">
      <c r="C1166" s="375"/>
      <c r="H1166" s="375"/>
      <c r="N1166" s="384"/>
      <c r="P1166" s="375"/>
      <c r="AF1166" s="14"/>
    </row>
    <row r="1167" spans="3:32" s="13" customFormat="1" ht="30" customHeight="1" x14ac:dyDescent="0.2">
      <c r="C1167" s="375"/>
      <c r="H1167" s="375"/>
      <c r="N1167" s="384"/>
      <c r="P1167" s="375"/>
      <c r="AF1167" s="14"/>
    </row>
    <row r="1168" spans="3:32" s="13" customFormat="1" ht="30" customHeight="1" x14ac:dyDescent="0.2">
      <c r="C1168" s="375"/>
      <c r="H1168" s="375"/>
      <c r="N1168" s="384"/>
      <c r="P1168" s="375"/>
      <c r="AF1168" s="14"/>
    </row>
    <row r="1169" spans="3:32" s="13" customFormat="1" ht="30" customHeight="1" x14ac:dyDescent="0.2">
      <c r="C1169" s="375"/>
      <c r="H1169" s="375"/>
      <c r="N1169" s="384"/>
      <c r="P1169" s="375"/>
      <c r="AF1169" s="14"/>
    </row>
    <row r="1170" spans="3:32" s="13" customFormat="1" ht="30" customHeight="1" x14ac:dyDescent="0.2">
      <c r="C1170" s="375"/>
      <c r="H1170" s="375"/>
      <c r="N1170" s="384"/>
      <c r="P1170" s="375"/>
      <c r="AF1170" s="14"/>
    </row>
    <row r="1171" spans="3:32" s="13" customFormat="1" ht="30" customHeight="1" x14ac:dyDescent="0.2">
      <c r="C1171" s="375"/>
      <c r="H1171" s="375"/>
      <c r="N1171" s="384"/>
      <c r="P1171" s="375"/>
      <c r="AF1171" s="14"/>
    </row>
    <row r="1172" spans="3:32" s="13" customFormat="1" ht="30" customHeight="1" x14ac:dyDescent="0.2">
      <c r="C1172" s="375"/>
      <c r="H1172" s="375"/>
      <c r="N1172" s="384"/>
      <c r="P1172" s="375"/>
      <c r="AF1172" s="14"/>
    </row>
    <row r="1173" spans="3:32" s="13" customFormat="1" ht="30" customHeight="1" x14ac:dyDescent="0.2">
      <c r="C1173" s="375"/>
      <c r="H1173" s="375"/>
      <c r="N1173" s="384"/>
      <c r="P1173" s="375"/>
      <c r="AF1173" s="14"/>
    </row>
    <row r="1174" spans="3:32" s="13" customFormat="1" ht="30" customHeight="1" x14ac:dyDescent="0.2">
      <c r="C1174" s="375"/>
      <c r="H1174" s="375"/>
      <c r="N1174" s="384"/>
      <c r="P1174" s="375"/>
      <c r="AF1174" s="14"/>
    </row>
    <row r="1175" spans="3:32" s="13" customFormat="1" ht="30" customHeight="1" x14ac:dyDescent="0.2">
      <c r="C1175" s="375"/>
      <c r="H1175" s="375"/>
      <c r="N1175" s="384"/>
      <c r="P1175" s="375"/>
      <c r="AF1175" s="14"/>
    </row>
    <row r="1176" spans="3:32" s="13" customFormat="1" ht="30" customHeight="1" x14ac:dyDescent="0.2">
      <c r="C1176" s="375"/>
      <c r="H1176" s="375"/>
      <c r="N1176" s="384"/>
      <c r="P1176" s="375"/>
      <c r="AF1176" s="14"/>
    </row>
    <row r="1177" spans="3:32" s="13" customFormat="1" ht="30" customHeight="1" x14ac:dyDescent="0.2">
      <c r="C1177" s="375"/>
      <c r="H1177" s="375"/>
      <c r="N1177" s="384"/>
      <c r="P1177" s="375"/>
      <c r="AF1177" s="14"/>
    </row>
    <row r="1178" spans="3:32" s="13" customFormat="1" ht="30" customHeight="1" x14ac:dyDescent="0.2">
      <c r="C1178" s="375"/>
      <c r="H1178" s="375"/>
      <c r="N1178" s="384"/>
      <c r="P1178" s="375"/>
      <c r="AF1178" s="14"/>
    </row>
    <row r="1179" spans="3:32" s="13" customFormat="1" ht="30" customHeight="1" x14ac:dyDescent="0.2">
      <c r="C1179" s="375"/>
      <c r="H1179" s="375"/>
      <c r="N1179" s="384"/>
      <c r="P1179" s="375"/>
      <c r="AF1179" s="14"/>
    </row>
    <row r="1180" spans="3:32" s="13" customFormat="1" ht="30" customHeight="1" x14ac:dyDescent="0.2">
      <c r="C1180" s="375"/>
      <c r="H1180" s="375"/>
      <c r="N1180" s="384"/>
      <c r="P1180" s="375"/>
      <c r="AF1180" s="14"/>
    </row>
    <row r="1181" spans="3:32" s="13" customFormat="1" ht="30" customHeight="1" x14ac:dyDescent="0.2">
      <c r="C1181" s="375"/>
      <c r="H1181" s="375"/>
      <c r="N1181" s="384"/>
      <c r="P1181" s="375"/>
      <c r="AF1181" s="14"/>
    </row>
    <row r="1182" spans="3:32" s="13" customFormat="1" ht="30" customHeight="1" x14ac:dyDescent="0.2">
      <c r="C1182" s="375"/>
      <c r="H1182" s="375"/>
      <c r="N1182" s="384"/>
      <c r="P1182" s="375"/>
      <c r="AF1182" s="14"/>
    </row>
    <row r="1183" spans="3:32" s="13" customFormat="1" ht="30" customHeight="1" x14ac:dyDescent="0.2">
      <c r="C1183" s="375"/>
      <c r="H1183" s="375"/>
      <c r="N1183" s="384"/>
      <c r="P1183" s="375"/>
      <c r="AF1183" s="14"/>
    </row>
    <row r="1184" spans="3:32" s="13" customFormat="1" ht="30" customHeight="1" x14ac:dyDescent="0.2">
      <c r="C1184" s="375"/>
      <c r="H1184" s="375"/>
      <c r="N1184" s="384"/>
      <c r="P1184" s="375"/>
      <c r="AF1184" s="14"/>
    </row>
    <row r="1185" spans="3:32" s="13" customFormat="1" ht="30" customHeight="1" x14ac:dyDescent="0.2">
      <c r="C1185" s="375"/>
      <c r="H1185" s="375"/>
      <c r="N1185" s="384"/>
      <c r="P1185" s="375"/>
      <c r="AF1185" s="14"/>
    </row>
    <row r="1186" spans="3:32" s="13" customFormat="1" ht="30" customHeight="1" x14ac:dyDescent="0.2">
      <c r="C1186" s="375"/>
      <c r="H1186" s="375"/>
      <c r="N1186" s="384"/>
      <c r="P1186" s="375"/>
      <c r="AF1186" s="14"/>
    </row>
    <row r="1187" spans="3:32" s="13" customFormat="1" ht="30" customHeight="1" x14ac:dyDescent="0.2">
      <c r="C1187" s="375"/>
      <c r="H1187" s="375"/>
      <c r="N1187" s="384"/>
      <c r="P1187" s="375"/>
      <c r="AF1187" s="14"/>
    </row>
    <row r="1188" spans="3:32" s="13" customFormat="1" ht="30" customHeight="1" x14ac:dyDescent="0.2">
      <c r="C1188" s="375"/>
      <c r="H1188" s="375"/>
      <c r="N1188" s="384"/>
      <c r="P1188" s="375"/>
      <c r="AF1188" s="14"/>
    </row>
    <row r="1189" spans="3:32" s="13" customFormat="1" ht="30" customHeight="1" x14ac:dyDescent="0.2">
      <c r="C1189" s="375"/>
      <c r="H1189" s="375"/>
      <c r="N1189" s="384"/>
      <c r="P1189" s="375"/>
      <c r="AF1189" s="14"/>
    </row>
    <row r="1190" spans="3:32" s="13" customFormat="1" ht="30" customHeight="1" x14ac:dyDescent="0.2">
      <c r="C1190" s="375"/>
      <c r="H1190" s="375"/>
      <c r="N1190" s="384"/>
      <c r="P1190" s="375"/>
      <c r="AF1190" s="14"/>
    </row>
    <row r="1191" spans="3:32" s="13" customFormat="1" ht="30" customHeight="1" x14ac:dyDescent="0.2">
      <c r="C1191" s="375"/>
      <c r="H1191" s="375"/>
      <c r="N1191" s="384"/>
      <c r="P1191" s="375"/>
      <c r="AF1191" s="14"/>
    </row>
    <row r="1192" spans="3:32" s="13" customFormat="1" ht="30" customHeight="1" x14ac:dyDescent="0.2">
      <c r="C1192" s="375"/>
      <c r="H1192" s="375"/>
      <c r="N1192" s="384"/>
      <c r="P1192" s="375"/>
      <c r="AF1192" s="14"/>
    </row>
    <row r="1193" spans="3:32" s="13" customFormat="1" ht="30" customHeight="1" x14ac:dyDescent="0.2">
      <c r="C1193" s="375"/>
      <c r="H1193" s="375"/>
      <c r="N1193" s="384"/>
      <c r="P1193" s="375"/>
      <c r="AF1193" s="14"/>
    </row>
    <row r="1194" spans="3:32" s="13" customFormat="1" ht="30" customHeight="1" x14ac:dyDescent="0.2">
      <c r="C1194" s="375"/>
      <c r="H1194" s="375"/>
      <c r="N1194" s="384"/>
      <c r="P1194" s="375"/>
      <c r="AF1194" s="14"/>
    </row>
    <row r="1195" spans="3:32" s="13" customFormat="1" ht="30" customHeight="1" x14ac:dyDescent="0.2">
      <c r="C1195" s="375"/>
      <c r="H1195" s="375"/>
      <c r="N1195" s="384"/>
      <c r="P1195" s="375"/>
      <c r="AF1195" s="14"/>
    </row>
    <row r="1196" spans="3:32" s="13" customFormat="1" ht="30" customHeight="1" x14ac:dyDescent="0.2">
      <c r="C1196" s="375"/>
      <c r="H1196" s="375"/>
      <c r="N1196" s="384"/>
      <c r="P1196" s="375"/>
      <c r="AF1196" s="14"/>
    </row>
    <row r="1197" spans="3:32" s="13" customFormat="1" ht="30" customHeight="1" x14ac:dyDescent="0.2">
      <c r="C1197" s="375"/>
      <c r="H1197" s="375"/>
      <c r="N1197" s="384"/>
      <c r="P1197" s="375"/>
      <c r="AF1197" s="14"/>
    </row>
    <row r="1198" spans="3:32" s="13" customFormat="1" ht="30" customHeight="1" x14ac:dyDescent="0.2">
      <c r="C1198" s="375"/>
      <c r="H1198" s="375"/>
      <c r="N1198" s="384"/>
      <c r="P1198" s="375"/>
      <c r="AF1198" s="14"/>
    </row>
    <row r="1199" spans="3:32" s="13" customFormat="1" ht="30" customHeight="1" x14ac:dyDescent="0.2">
      <c r="C1199" s="375"/>
      <c r="H1199" s="375"/>
      <c r="N1199" s="384"/>
      <c r="P1199" s="375"/>
      <c r="AF1199" s="14"/>
    </row>
    <row r="1200" spans="3:32" s="13" customFormat="1" ht="30" customHeight="1" x14ac:dyDescent="0.2">
      <c r="C1200" s="375"/>
      <c r="H1200" s="375"/>
      <c r="N1200" s="384"/>
      <c r="P1200" s="375"/>
      <c r="AF1200" s="14"/>
    </row>
    <row r="1201" spans="3:32" s="13" customFormat="1" ht="30" customHeight="1" x14ac:dyDescent="0.2">
      <c r="C1201" s="375"/>
      <c r="H1201" s="375"/>
      <c r="N1201" s="384"/>
      <c r="P1201" s="375"/>
      <c r="AF1201" s="14"/>
    </row>
    <row r="1202" spans="3:32" s="13" customFormat="1" ht="30" customHeight="1" x14ac:dyDescent="0.2">
      <c r="C1202" s="375"/>
      <c r="H1202" s="375"/>
      <c r="N1202" s="384"/>
      <c r="P1202" s="375"/>
      <c r="AF1202" s="14"/>
    </row>
    <row r="1203" spans="3:32" s="13" customFormat="1" ht="30" customHeight="1" x14ac:dyDescent="0.2">
      <c r="C1203" s="375"/>
      <c r="H1203" s="375"/>
      <c r="N1203" s="384"/>
      <c r="P1203" s="375"/>
      <c r="AF1203" s="14"/>
    </row>
    <row r="1204" spans="3:32" s="13" customFormat="1" ht="30" customHeight="1" x14ac:dyDescent="0.2">
      <c r="C1204" s="375"/>
      <c r="H1204" s="375"/>
      <c r="N1204" s="384"/>
      <c r="P1204" s="375"/>
      <c r="AF1204" s="14"/>
    </row>
    <row r="1205" spans="3:32" s="13" customFormat="1" ht="30" customHeight="1" x14ac:dyDescent="0.2">
      <c r="C1205" s="375"/>
      <c r="H1205" s="375"/>
      <c r="N1205" s="384"/>
      <c r="P1205" s="375"/>
      <c r="AF1205" s="14"/>
    </row>
    <row r="1206" spans="3:32" s="13" customFormat="1" ht="30" customHeight="1" x14ac:dyDescent="0.2">
      <c r="C1206" s="375"/>
      <c r="H1206" s="375"/>
      <c r="N1206" s="384"/>
      <c r="P1206" s="375"/>
      <c r="AF1206" s="14"/>
    </row>
    <row r="1207" spans="3:32" s="13" customFormat="1" ht="30" customHeight="1" x14ac:dyDescent="0.2">
      <c r="C1207" s="375"/>
      <c r="H1207" s="375"/>
      <c r="N1207" s="384"/>
      <c r="P1207" s="375"/>
      <c r="AF1207" s="14"/>
    </row>
    <row r="1208" spans="3:32" s="13" customFormat="1" ht="30" customHeight="1" x14ac:dyDescent="0.2">
      <c r="C1208" s="375"/>
      <c r="H1208" s="375"/>
      <c r="N1208" s="384"/>
      <c r="P1208" s="375"/>
      <c r="AF1208" s="14"/>
    </row>
    <row r="1209" spans="3:32" s="13" customFormat="1" ht="30" customHeight="1" x14ac:dyDescent="0.2">
      <c r="C1209" s="375"/>
      <c r="H1209" s="375"/>
      <c r="N1209" s="384"/>
      <c r="P1209" s="375"/>
      <c r="AF1209" s="14"/>
    </row>
    <row r="1210" spans="3:32" s="13" customFormat="1" ht="30" customHeight="1" x14ac:dyDescent="0.2">
      <c r="C1210" s="375"/>
      <c r="H1210" s="375"/>
      <c r="N1210" s="384"/>
      <c r="P1210" s="375"/>
      <c r="AF1210" s="14"/>
    </row>
    <row r="1211" spans="3:32" s="13" customFormat="1" ht="30" customHeight="1" x14ac:dyDescent="0.2">
      <c r="C1211" s="375"/>
      <c r="H1211" s="375"/>
      <c r="N1211" s="384"/>
      <c r="P1211" s="375"/>
      <c r="AF1211" s="14"/>
    </row>
    <row r="1212" spans="3:32" s="13" customFormat="1" ht="30" customHeight="1" x14ac:dyDescent="0.2">
      <c r="C1212" s="375"/>
      <c r="H1212" s="375"/>
      <c r="N1212" s="384"/>
      <c r="P1212" s="375"/>
      <c r="AF1212" s="14"/>
    </row>
    <row r="1213" spans="3:32" s="13" customFormat="1" ht="30" customHeight="1" x14ac:dyDescent="0.2">
      <c r="C1213" s="375"/>
      <c r="H1213" s="375"/>
      <c r="N1213" s="384"/>
      <c r="P1213" s="375"/>
      <c r="AF1213" s="14"/>
    </row>
    <row r="1214" spans="3:32" s="13" customFormat="1" ht="30" customHeight="1" x14ac:dyDescent="0.2">
      <c r="C1214" s="375"/>
      <c r="H1214" s="375"/>
      <c r="N1214" s="384"/>
      <c r="P1214" s="375"/>
      <c r="AF1214" s="14"/>
    </row>
    <row r="1215" spans="3:32" s="13" customFormat="1" ht="30" customHeight="1" x14ac:dyDescent="0.2">
      <c r="C1215" s="375"/>
      <c r="H1215" s="375"/>
      <c r="N1215" s="384"/>
      <c r="P1215" s="375"/>
      <c r="AF1215" s="14"/>
    </row>
    <row r="1216" spans="3:32" s="13" customFormat="1" ht="30" customHeight="1" x14ac:dyDescent="0.2">
      <c r="C1216" s="375"/>
      <c r="H1216" s="375"/>
      <c r="N1216" s="384"/>
      <c r="P1216" s="375"/>
      <c r="AF1216" s="14"/>
    </row>
    <row r="1217" spans="3:32" s="13" customFormat="1" ht="30" customHeight="1" x14ac:dyDescent="0.2">
      <c r="C1217" s="375"/>
      <c r="H1217" s="375"/>
      <c r="N1217" s="384"/>
      <c r="P1217" s="375"/>
      <c r="AF1217" s="14"/>
    </row>
    <row r="1218" spans="3:32" s="13" customFormat="1" ht="30" customHeight="1" x14ac:dyDescent="0.2">
      <c r="C1218" s="375"/>
      <c r="H1218" s="375"/>
      <c r="N1218" s="384"/>
      <c r="P1218" s="375"/>
      <c r="AF1218" s="14"/>
    </row>
    <row r="1219" spans="3:32" s="13" customFormat="1" ht="30" customHeight="1" x14ac:dyDescent="0.2">
      <c r="C1219" s="375"/>
      <c r="H1219" s="375"/>
      <c r="N1219" s="384"/>
      <c r="P1219" s="375"/>
      <c r="AF1219" s="14"/>
    </row>
    <row r="1220" spans="3:32" s="13" customFormat="1" ht="30" customHeight="1" x14ac:dyDescent="0.2">
      <c r="C1220" s="375"/>
      <c r="H1220" s="375"/>
      <c r="N1220" s="384"/>
      <c r="P1220" s="375"/>
      <c r="AF1220" s="14"/>
    </row>
    <row r="1221" spans="3:32" s="13" customFormat="1" ht="30" customHeight="1" x14ac:dyDescent="0.2">
      <c r="C1221" s="375"/>
      <c r="H1221" s="375"/>
      <c r="N1221" s="384"/>
      <c r="P1221" s="375"/>
      <c r="AF1221" s="14"/>
    </row>
    <row r="1222" spans="3:32" s="13" customFormat="1" ht="30" customHeight="1" x14ac:dyDescent="0.2">
      <c r="C1222" s="375"/>
      <c r="H1222" s="375"/>
      <c r="N1222" s="384"/>
      <c r="P1222" s="375"/>
      <c r="AF1222" s="14"/>
    </row>
    <row r="1223" spans="3:32" s="13" customFormat="1" ht="30" customHeight="1" x14ac:dyDescent="0.2">
      <c r="C1223" s="375"/>
      <c r="H1223" s="375"/>
      <c r="N1223" s="384"/>
      <c r="P1223" s="375"/>
      <c r="AF1223" s="14"/>
    </row>
    <row r="1224" spans="3:32" s="13" customFormat="1" ht="30" customHeight="1" x14ac:dyDescent="0.2">
      <c r="C1224" s="375"/>
      <c r="H1224" s="375"/>
      <c r="N1224" s="384"/>
      <c r="P1224" s="375"/>
      <c r="AF1224" s="14"/>
    </row>
    <row r="1225" spans="3:32" s="13" customFormat="1" ht="30" customHeight="1" x14ac:dyDescent="0.2">
      <c r="C1225" s="375"/>
      <c r="H1225" s="375"/>
      <c r="N1225" s="384"/>
      <c r="P1225" s="375"/>
      <c r="AF1225" s="14"/>
    </row>
    <row r="1226" spans="3:32" s="13" customFormat="1" ht="30" customHeight="1" x14ac:dyDescent="0.2">
      <c r="C1226" s="375"/>
      <c r="H1226" s="375"/>
      <c r="N1226" s="384"/>
      <c r="P1226" s="375"/>
      <c r="AF1226" s="14"/>
    </row>
    <row r="1227" spans="3:32" s="13" customFormat="1" ht="30" customHeight="1" x14ac:dyDescent="0.2">
      <c r="C1227" s="375"/>
      <c r="H1227" s="375"/>
      <c r="N1227" s="384"/>
      <c r="P1227" s="375"/>
      <c r="AF1227" s="14"/>
    </row>
    <row r="1228" spans="3:32" s="13" customFormat="1" ht="30" customHeight="1" x14ac:dyDescent="0.2">
      <c r="C1228" s="375"/>
      <c r="H1228" s="375"/>
      <c r="N1228" s="384"/>
      <c r="P1228" s="375"/>
      <c r="AF1228" s="14"/>
    </row>
    <row r="1229" spans="3:32" s="13" customFormat="1" ht="30" customHeight="1" x14ac:dyDescent="0.2">
      <c r="C1229" s="375"/>
      <c r="H1229" s="375"/>
      <c r="N1229" s="384"/>
      <c r="P1229" s="375"/>
      <c r="AF1229" s="14"/>
    </row>
    <row r="1230" spans="3:32" s="13" customFormat="1" ht="30" customHeight="1" x14ac:dyDescent="0.2">
      <c r="C1230" s="375"/>
      <c r="H1230" s="375"/>
      <c r="N1230" s="384"/>
      <c r="P1230" s="375"/>
      <c r="AF1230" s="14"/>
    </row>
    <row r="1231" spans="3:32" s="13" customFormat="1" ht="30" customHeight="1" x14ac:dyDescent="0.2">
      <c r="C1231" s="375"/>
      <c r="H1231" s="375"/>
      <c r="N1231" s="384"/>
      <c r="P1231" s="375"/>
      <c r="AF1231" s="14"/>
    </row>
    <row r="1232" spans="3:32" s="13" customFormat="1" ht="30" customHeight="1" x14ac:dyDescent="0.2">
      <c r="C1232" s="375"/>
      <c r="H1232" s="375"/>
      <c r="N1232" s="384"/>
      <c r="P1232" s="375"/>
      <c r="AF1232" s="14"/>
    </row>
    <row r="1233" spans="3:32" s="13" customFormat="1" ht="30" customHeight="1" x14ac:dyDescent="0.2">
      <c r="C1233" s="375"/>
      <c r="H1233" s="375"/>
      <c r="N1233" s="384"/>
      <c r="P1233" s="375"/>
      <c r="AF1233" s="14"/>
    </row>
    <row r="1234" spans="3:32" s="13" customFormat="1" ht="30" customHeight="1" x14ac:dyDescent="0.2">
      <c r="C1234" s="375"/>
      <c r="H1234" s="375"/>
      <c r="N1234" s="384"/>
      <c r="P1234" s="375"/>
      <c r="AF1234" s="14"/>
    </row>
    <row r="1235" spans="3:32" s="13" customFormat="1" ht="30" customHeight="1" x14ac:dyDescent="0.2">
      <c r="C1235" s="375"/>
      <c r="H1235" s="375"/>
      <c r="N1235" s="384"/>
      <c r="P1235" s="375"/>
      <c r="AF1235" s="14"/>
    </row>
    <row r="1236" spans="3:32" s="13" customFormat="1" ht="30" customHeight="1" x14ac:dyDescent="0.2">
      <c r="C1236" s="375"/>
      <c r="H1236" s="375"/>
      <c r="N1236" s="384"/>
      <c r="P1236" s="375"/>
      <c r="AF1236" s="14"/>
    </row>
    <row r="1237" spans="3:32" s="13" customFormat="1" ht="30" customHeight="1" x14ac:dyDescent="0.2">
      <c r="C1237" s="375"/>
      <c r="H1237" s="375"/>
      <c r="N1237" s="384"/>
      <c r="P1237" s="375"/>
      <c r="AF1237" s="14"/>
    </row>
    <row r="1238" spans="3:32" s="13" customFormat="1" ht="30" customHeight="1" x14ac:dyDescent="0.2">
      <c r="C1238" s="375"/>
      <c r="H1238" s="375"/>
      <c r="N1238" s="384"/>
      <c r="P1238" s="375"/>
      <c r="AF1238" s="14"/>
    </row>
    <row r="1239" spans="3:32" s="13" customFormat="1" ht="30" customHeight="1" x14ac:dyDescent="0.2">
      <c r="C1239" s="375"/>
      <c r="H1239" s="375"/>
      <c r="N1239" s="384"/>
      <c r="P1239" s="375"/>
      <c r="AF1239" s="14"/>
    </row>
    <row r="1240" spans="3:32" s="13" customFormat="1" ht="30" customHeight="1" x14ac:dyDescent="0.2">
      <c r="C1240" s="375"/>
      <c r="H1240" s="375"/>
      <c r="N1240" s="384"/>
      <c r="P1240" s="375"/>
      <c r="AF1240" s="14"/>
    </row>
    <row r="1241" spans="3:32" s="13" customFormat="1" ht="30" customHeight="1" x14ac:dyDescent="0.2">
      <c r="C1241" s="375"/>
      <c r="H1241" s="375"/>
      <c r="N1241" s="384"/>
      <c r="P1241" s="375"/>
      <c r="AF1241" s="14"/>
    </row>
    <row r="1242" spans="3:32" s="13" customFormat="1" ht="30" customHeight="1" x14ac:dyDescent="0.2">
      <c r="C1242" s="375"/>
      <c r="H1242" s="375"/>
      <c r="N1242" s="384"/>
      <c r="P1242" s="375"/>
      <c r="AF1242" s="14"/>
    </row>
    <row r="1243" spans="3:32" s="13" customFormat="1" ht="30" customHeight="1" x14ac:dyDescent="0.2">
      <c r="C1243" s="375"/>
      <c r="H1243" s="375"/>
      <c r="N1243" s="384"/>
      <c r="P1243" s="375"/>
      <c r="AF1243" s="14"/>
    </row>
    <row r="1244" spans="3:32" s="13" customFormat="1" ht="30" customHeight="1" x14ac:dyDescent="0.2">
      <c r="C1244" s="375"/>
      <c r="H1244" s="375"/>
      <c r="N1244" s="384"/>
      <c r="P1244" s="375"/>
      <c r="AF1244" s="14"/>
    </row>
    <row r="1245" spans="3:32" s="13" customFormat="1" ht="30" customHeight="1" x14ac:dyDescent="0.2">
      <c r="C1245" s="375"/>
      <c r="H1245" s="375"/>
      <c r="N1245" s="384"/>
      <c r="P1245" s="375"/>
      <c r="AF1245" s="14"/>
    </row>
    <row r="1246" spans="3:32" s="13" customFormat="1" ht="30" customHeight="1" x14ac:dyDescent="0.2">
      <c r="C1246" s="375"/>
      <c r="H1246" s="375"/>
      <c r="N1246" s="384"/>
      <c r="P1246" s="375"/>
      <c r="AF1246" s="14"/>
    </row>
    <row r="1247" spans="3:32" s="13" customFormat="1" ht="30" customHeight="1" x14ac:dyDescent="0.2">
      <c r="C1247" s="375"/>
      <c r="H1247" s="375"/>
      <c r="N1247" s="384"/>
      <c r="P1247" s="375"/>
      <c r="AF1247" s="14"/>
    </row>
    <row r="1248" spans="3:32" s="13" customFormat="1" ht="30" customHeight="1" x14ac:dyDescent="0.2">
      <c r="C1248" s="375"/>
      <c r="H1248" s="375"/>
      <c r="N1248" s="384"/>
      <c r="P1248" s="375"/>
      <c r="AF1248" s="14"/>
    </row>
    <row r="1249" spans="3:32" s="13" customFormat="1" ht="30" customHeight="1" x14ac:dyDescent="0.2">
      <c r="C1249" s="375"/>
      <c r="H1249" s="375"/>
      <c r="N1249" s="384"/>
      <c r="P1249" s="375"/>
      <c r="AF1249" s="14"/>
    </row>
    <row r="1250" spans="3:32" s="13" customFormat="1" ht="30" customHeight="1" x14ac:dyDescent="0.2">
      <c r="C1250" s="375"/>
      <c r="H1250" s="375"/>
      <c r="N1250" s="384"/>
      <c r="P1250" s="375"/>
      <c r="AF1250" s="14"/>
    </row>
    <row r="1251" spans="3:32" s="13" customFormat="1" ht="30" customHeight="1" x14ac:dyDescent="0.2">
      <c r="C1251" s="375"/>
      <c r="H1251" s="375"/>
      <c r="N1251" s="384"/>
      <c r="P1251" s="375"/>
      <c r="AF1251" s="14"/>
    </row>
    <row r="1252" spans="3:32" s="13" customFormat="1" ht="30" customHeight="1" x14ac:dyDescent="0.2">
      <c r="C1252" s="375"/>
      <c r="H1252" s="375"/>
      <c r="N1252" s="384"/>
      <c r="P1252" s="375"/>
      <c r="AF1252" s="14"/>
    </row>
    <row r="1253" spans="3:32" s="13" customFormat="1" ht="30" customHeight="1" x14ac:dyDescent="0.2">
      <c r="C1253" s="375"/>
      <c r="H1253" s="375"/>
      <c r="N1253" s="384"/>
      <c r="P1253" s="375"/>
      <c r="AF1253" s="14"/>
    </row>
    <row r="1254" spans="3:32" s="13" customFormat="1" ht="30" customHeight="1" x14ac:dyDescent="0.2">
      <c r="C1254" s="375"/>
      <c r="H1254" s="375"/>
      <c r="N1254" s="384"/>
      <c r="P1254" s="375"/>
      <c r="AF1254" s="14"/>
    </row>
    <row r="1255" spans="3:32" s="13" customFormat="1" ht="30" customHeight="1" x14ac:dyDescent="0.2">
      <c r="C1255" s="375"/>
      <c r="H1255" s="375"/>
      <c r="N1255" s="384"/>
      <c r="P1255" s="375"/>
      <c r="AF1255" s="14"/>
    </row>
    <row r="1256" spans="3:32" s="13" customFormat="1" ht="30" customHeight="1" x14ac:dyDescent="0.2">
      <c r="C1256" s="375"/>
      <c r="H1256" s="375"/>
      <c r="N1256" s="384"/>
      <c r="P1256" s="375"/>
      <c r="AF1256" s="14"/>
    </row>
    <row r="1257" spans="3:32" s="13" customFormat="1" ht="30" customHeight="1" x14ac:dyDescent="0.2">
      <c r="C1257" s="375"/>
      <c r="H1257" s="375"/>
      <c r="N1257" s="384"/>
      <c r="P1257" s="375"/>
      <c r="AF1257" s="14"/>
    </row>
    <row r="1258" spans="3:32" s="13" customFormat="1" ht="30" customHeight="1" x14ac:dyDescent="0.2">
      <c r="C1258" s="375"/>
      <c r="H1258" s="375"/>
      <c r="N1258" s="384"/>
      <c r="P1258" s="375"/>
      <c r="AF1258" s="14"/>
    </row>
    <row r="1259" spans="3:32" s="13" customFormat="1" ht="30" customHeight="1" x14ac:dyDescent="0.2">
      <c r="C1259" s="375"/>
      <c r="H1259" s="375"/>
      <c r="N1259" s="384"/>
      <c r="P1259" s="375"/>
      <c r="AF1259" s="14"/>
    </row>
    <row r="1260" spans="3:32" s="13" customFormat="1" ht="30" customHeight="1" x14ac:dyDescent="0.2">
      <c r="C1260" s="375"/>
      <c r="H1260" s="375"/>
      <c r="N1260" s="384"/>
      <c r="P1260" s="375"/>
      <c r="AF1260" s="14"/>
    </row>
    <row r="1261" spans="3:32" s="13" customFormat="1" ht="30" customHeight="1" x14ac:dyDescent="0.2">
      <c r="C1261" s="375"/>
      <c r="H1261" s="375"/>
      <c r="N1261" s="384"/>
      <c r="P1261" s="375"/>
      <c r="AF1261" s="14"/>
    </row>
    <row r="1262" spans="3:32" s="13" customFormat="1" ht="30" customHeight="1" x14ac:dyDescent="0.2">
      <c r="C1262" s="375"/>
      <c r="H1262" s="375"/>
      <c r="N1262" s="384"/>
      <c r="P1262" s="375"/>
      <c r="AF1262" s="14"/>
    </row>
    <row r="1263" spans="3:32" s="13" customFormat="1" ht="30" customHeight="1" x14ac:dyDescent="0.2">
      <c r="C1263" s="375"/>
      <c r="H1263" s="375"/>
      <c r="N1263" s="384"/>
      <c r="P1263" s="375"/>
      <c r="AF1263" s="14"/>
    </row>
    <row r="1264" spans="3:32" s="13" customFormat="1" ht="30" customHeight="1" x14ac:dyDescent="0.2">
      <c r="C1264" s="375"/>
      <c r="H1264" s="375"/>
      <c r="N1264" s="384"/>
      <c r="P1264" s="375"/>
      <c r="AF1264" s="14"/>
    </row>
    <row r="1265" spans="3:32" s="13" customFormat="1" ht="30" customHeight="1" x14ac:dyDescent="0.2">
      <c r="C1265" s="375"/>
      <c r="H1265" s="375"/>
      <c r="N1265" s="384"/>
      <c r="P1265" s="375"/>
      <c r="AF1265" s="14"/>
    </row>
    <row r="1266" spans="3:32" s="13" customFormat="1" ht="30" customHeight="1" x14ac:dyDescent="0.2">
      <c r="C1266" s="375"/>
      <c r="H1266" s="375"/>
      <c r="N1266" s="384"/>
      <c r="P1266" s="375"/>
      <c r="AF1266" s="14"/>
    </row>
    <row r="1267" spans="3:32" s="13" customFormat="1" ht="30" customHeight="1" x14ac:dyDescent="0.2">
      <c r="C1267" s="375"/>
      <c r="H1267" s="375"/>
      <c r="N1267" s="384"/>
      <c r="P1267" s="375"/>
      <c r="AF1267" s="14"/>
    </row>
    <row r="1268" spans="3:32" s="13" customFormat="1" ht="30" customHeight="1" x14ac:dyDescent="0.2">
      <c r="C1268" s="375"/>
      <c r="H1268" s="375"/>
      <c r="N1268" s="384"/>
      <c r="P1268" s="375"/>
      <c r="AF1268" s="14"/>
    </row>
    <row r="1269" spans="3:32" s="13" customFormat="1" ht="30" customHeight="1" x14ac:dyDescent="0.2">
      <c r="C1269" s="375"/>
      <c r="H1269" s="375"/>
      <c r="N1269" s="384"/>
      <c r="P1269" s="375"/>
      <c r="AF1269" s="14"/>
    </row>
    <row r="1270" spans="3:32" s="13" customFormat="1" ht="30" customHeight="1" x14ac:dyDescent="0.2">
      <c r="C1270" s="375"/>
      <c r="H1270" s="375"/>
      <c r="N1270" s="384"/>
      <c r="P1270" s="375"/>
      <c r="AF1270" s="14"/>
    </row>
    <row r="1271" spans="3:32" s="13" customFormat="1" ht="30" customHeight="1" x14ac:dyDescent="0.2">
      <c r="C1271" s="375"/>
      <c r="H1271" s="375"/>
      <c r="N1271" s="384"/>
      <c r="P1271" s="375"/>
      <c r="AF1271" s="14"/>
    </row>
    <row r="1272" spans="3:32" s="13" customFormat="1" ht="30" customHeight="1" x14ac:dyDescent="0.2">
      <c r="C1272" s="375"/>
      <c r="H1272" s="375"/>
      <c r="N1272" s="384"/>
      <c r="P1272" s="375"/>
      <c r="AF1272" s="14"/>
    </row>
    <row r="1273" spans="3:32" s="13" customFormat="1" ht="30" customHeight="1" x14ac:dyDescent="0.2">
      <c r="C1273" s="375"/>
      <c r="H1273" s="375"/>
      <c r="N1273" s="384"/>
      <c r="P1273" s="375"/>
      <c r="AF1273" s="14"/>
    </row>
    <row r="1274" spans="3:32" s="13" customFormat="1" ht="30" customHeight="1" x14ac:dyDescent="0.2">
      <c r="C1274" s="375"/>
      <c r="H1274" s="375"/>
      <c r="N1274" s="384"/>
      <c r="P1274" s="375"/>
      <c r="AF1274" s="14"/>
    </row>
    <row r="1275" spans="3:32" s="13" customFormat="1" ht="30" customHeight="1" x14ac:dyDescent="0.2">
      <c r="C1275" s="375"/>
      <c r="H1275" s="375"/>
      <c r="N1275" s="384"/>
      <c r="P1275" s="375"/>
      <c r="AF1275" s="14"/>
    </row>
    <row r="1276" spans="3:32" s="13" customFormat="1" ht="30" customHeight="1" x14ac:dyDescent="0.2">
      <c r="C1276" s="375"/>
      <c r="H1276" s="375"/>
      <c r="N1276" s="384"/>
      <c r="P1276" s="375"/>
      <c r="AF1276" s="14"/>
    </row>
    <row r="1277" spans="3:32" s="13" customFormat="1" ht="30" customHeight="1" x14ac:dyDescent="0.2">
      <c r="C1277" s="375"/>
      <c r="H1277" s="375"/>
      <c r="N1277" s="384"/>
      <c r="P1277" s="375"/>
      <c r="AF1277" s="14"/>
    </row>
    <row r="1278" spans="3:32" s="13" customFormat="1" ht="30" customHeight="1" x14ac:dyDescent="0.2">
      <c r="C1278" s="375"/>
      <c r="H1278" s="375"/>
      <c r="N1278" s="384"/>
      <c r="P1278" s="375"/>
      <c r="AF1278" s="14"/>
    </row>
    <row r="1279" spans="3:32" s="13" customFormat="1" ht="30" customHeight="1" x14ac:dyDescent="0.2">
      <c r="C1279" s="375"/>
      <c r="H1279" s="375"/>
      <c r="N1279" s="384"/>
      <c r="P1279" s="375"/>
      <c r="AF1279" s="14"/>
    </row>
    <row r="1280" spans="3:32" s="13" customFormat="1" ht="30" customHeight="1" x14ac:dyDescent="0.2">
      <c r="C1280" s="375"/>
      <c r="H1280" s="375"/>
      <c r="N1280" s="384"/>
      <c r="P1280" s="375"/>
      <c r="AF1280" s="14"/>
    </row>
    <row r="1281" spans="3:32" s="13" customFormat="1" ht="30" customHeight="1" x14ac:dyDescent="0.2">
      <c r="C1281" s="375"/>
      <c r="H1281" s="375"/>
      <c r="N1281" s="384"/>
      <c r="P1281" s="375"/>
      <c r="AF1281" s="14"/>
    </row>
    <row r="1282" spans="3:32" s="13" customFormat="1" ht="30" customHeight="1" x14ac:dyDescent="0.2">
      <c r="C1282" s="375"/>
      <c r="H1282" s="375"/>
      <c r="N1282" s="384"/>
      <c r="P1282" s="375"/>
      <c r="AF1282" s="14"/>
    </row>
    <row r="1283" spans="3:32" s="13" customFormat="1" ht="30" customHeight="1" x14ac:dyDescent="0.2">
      <c r="C1283" s="375"/>
      <c r="H1283" s="375"/>
      <c r="N1283" s="384"/>
      <c r="P1283" s="375"/>
      <c r="AF1283" s="14"/>
    </row>
    <row r="1284" spans="3:32" s="13" customFormat="1" ht="30" customHeight="1" x14ac:dyDescent="0.2">
      <c r="C1284" s="375"/>
      <c r="H1284" s="375"/>
      <c r="N1284" s="384"/>
      <c r="P1284" s="375"/>
      <c r="AF1284" s="14"/>
    </row>
    <row r="1285" spans="3:32" s="13" customFormat="1" ht="30" customHeight="1" x14ac:dyDescent="0.2">
      <c r="C1285" s="375"/>
      <c r="H1285" s="375"/>
      <c r="N1285" s="384"/>
      <c r="P1285" s="375"/>
      <c r="AF1285" s="14"/>
    </row>
    <row r="1286" spans="3:32" s="13" customFormat="1" ht="30" customHeight="1" x14ac:dyDescent="0.2">
      <c r="C1286" s="375"/>
      <c r="H1286" s="375"/>
      <c r="N1286" s="384"/>
      <c r="P1286" s="375"/>
      <c r="AF1286" s="14"/>
    </row>
    <row r="1287" spans="3:32" s="13" customFormat="1" ht="30" customHeight="1" x14ac:dyDescent="0.2">
      <c r="C1287" s="375"/>
      <c r="H1287" s="375"/>
      <c r="N1287" s="384"/>
      <c r="P1287" s="375"/>
      <c r="AF1287" s="14"/>
    </row>
    <row r="1288" spans="3:32" s="13" customFormat="1" ht="30" customHeight="1" x14ac:dyDescent="0.2">
      <c r="C1288" s="375"/>
      <c r="H1288" s="375"/>
      <c r="N1288" s="384"/>
      <c r="P1288" s="375"/>
      <c r="AF1288" s="14"/>
    </row>
    <row r="1289" spans="3:32" s="13" customFormat="1" ht="30" customHeight="1" x14ac:dyDescent="0.2">
      <c r="C1289" s="375"/>
      <c r="H1289" s="375"/>
      <c r="N1289" s="384"/>
      <c r="P1289" s="375"/>
      <c r="AF1289" s="14"/>
    </row>
    <row r="1290" spans="3:32" s="13" customFormat="1" ht="30" customHeight="1" x14ac:dyDescent="0.2">
      <c r="C1290" s="375"/>
      <c r="H1290" s="375"/>
      <c r="N1290" s="384"/>
      <c r="P1290" s="375"/>
      <c r="AF1290" s="14"/>
    </row>
    <row r="1291" spans="3:32" s="13" customFormat="1" ht="30" customHeight="1" x14ac:dyDescent="0.2">
      <c r="C1291" s="375"/>
      <c r="H1291" s="375"/>
      <c r="N1291" s="384"/>
      <c r="P1291" s="375"/>
      <c r="AF1291" s="14"/>
    </row>
    <row r="1292" spans="3:32" s="13" customFormat="1" ht="30" customHeight="1" x14ac:dyDescent="0.2">
      <c r="C1292" s="375"/>
      <c r="H1292" s="375"/>
      <c r="N1292" s="384"/>
      <c r="P1292" s="375"/>
      <c r="AF1292" s="14"/>
    </row>
    <row r="1293" spans="3:32" s="13" customFormat="1" ht="30" customHeight="1" x14ac:dyDescent="0.2">
      <c r="C1293" s="375"/>
      <c r="H1293" s="375"/>
      <c r="N1293" s="384"/>
      <c r="P1293" s="375"/>
      <c r="AF1293" s="14"/>
    </row>
    <row r="1294" spans="3:32" s="13" customFormat="1" ht="30" customHeight="1" x14ac:dyDescent="0.2">
      <c r="C1294" s="375"/>
      <c r="H1294" s="375"/>
      <c r="N1294" s="384"/>
      <c r="P1294" s="375"/>
      <c r="AF1294" s="14"/>
    </row>
    <row r="1295" spans="3:32" s="13" customFormat="1" ht="30" customHeight="1" x14ac:dyDescent="0.2">
      <c r="C1295" s="375"/>
      <c r="H1295" s="375"/>
      <c r="N1295" s="384"/>
      <c r="P1295" s="375"/>
      <c r="AF1295" s="14"/>
    </row>
    <row r="1296" spans="3:32" s="13" customFormat="1" ht="30" customHeight="1" x14ac:dyDescent="0.2">
      <c r="C1296" s="375"/>
      <c r="H1296" s="375"/>
      <c r="N1296" s="384"/>
      <c r="P1296" s="375"/>
      <c r="AF1296" s="14"/>
    </row>
    <row r="1297" spans="3:32" s="13" customFormat="1" ht="30" customHeight="1" x14ac:dyDescent="0.2">
      <c r="C1297" s="375"/>
      <c r="H1297" s="375"/>
      <c r="N1297" s="384"/>
      <c r="P1297" s="375"/>
      <c r="AF1297" s="14"/>
    </row>
    <row r="1298" spans="3:32" s="13" customFormat="1" ht="30" customHeight="1" x14ac:dyDescent="0.2">
      <c r="C1298" s="375"/>
      <c r="H1298" s="375"/>
      <c r="N1298" s="384"/>
      <c r="P1298" s="375"/>
      <c r="AF1298" s="14"/>
    </row>
    <row r="1299" spans="3:32" s="13" customFormat="1" ht="30" customHeight="1" x14ac:dyDescent="0.2">
      <c r="C1299" s="375"/>
      <c r="H1299" s="375"/>
      <c r="N1299" s="384"/>
      <c r="P1299" s="375"/>
      <c r="AF1299" s="14"/>
    </row>
    <row r="1300" spans="3:32" s="13" customFormat="1" ht="30" customHeight="1" x14ac:dyDescent="0.2">
      <c r="C1300" s="375"/>
      <c r="H1300" s="375"/>
      <c r="N1300" s="384"/>
      <c r="P1300" s="375"/>
      <c r="AF1300" s="14"/>
    </row>
    <row r="1301" spans="3:32" s="13" customFormat="1" ht="30" customHeight="1" x14ac:dyDescent="0.2">
      <c r="C1301" s="375"/>
      <c r="H1301" s="375"/>
      <c r="N1301" s="384"/>
      <c r="P1301" s="375"/>
      <c r="AF1301" s="14"/>
    </row>
    <row r="1302" spans="3:32" s="13" customFormat="1" ht="30" customHeight="1" x14ac:dyDescent="0.2">
      <c r="C1302" s="375"/>
      <c r="H1302" s="375"/>
      <c r="N1302" s="384"/>
      <c r="P1302" s="375"/>
      <c r="AF1302" s="14"/>
    </row>
    <row r="1303" spans="3:32" s="13" customFormat="1" ht="30" customHeight="1" x14ac:dyDescent="0.2">
      <c r="C1303" s="375"/>
      <c r="H1303" s="375"/>
      <c r="N1303" s="384"/>
      <c r="P1303" s="375"/>
      <c r="AF1303" s="14"/>
    </row>
    <row r="1304" spans="3:32" s="13" customFormat="1" ht="30" customHeight="1" x14ac:dyDescent="0.2">
      <c r="C1304" s="375"/>
      <c r="H1304" s="375"/>
      <c r="N1304" s="384"/>
      <c r="P1304" s="375"/>
      <c r="AF1304" s="14"/>
    </row>
    <row r="1305" spans="3:32" s="13" customFormat="1" ht="30" customHeight="1" x14ac:dyDescent="0.2">
      <c r="C1305" s="375"/>
      <c r="H1305" s="375"/>
      <c r="N1305" s="384"/>
      <c r="P1305" s="375"/>
      <c r="AF1305" s="14"/>
    </row>
    <row r="1306" spans="3:32" s="13" customFormat="1" ht="30" customHeight="1" x14ac:dyDescent="0.2">
      <c r="C1306" s="375"/>
      <c r="H1306" s="375"/>
      <c r="N1306" s="384"/>
      <c r="P1306" s="375"/>
      <c r="AF1306" s="14"/>
    </row>
    <row r="1307" spans="3:32" s="13" customFormat="1" ht="30" customHeight="1" x14ac:dyDescent="0.2">
      <c r="C1307" s="375"/>
      <c r="H1307" s="375"/>
      <c r="N1307" s="384"/>
      <c r="P1307" s="375"/>
      <c r="AF1307" s="14"/>
    </row>
    <row r="1308" spans="3:32" s="13" customFormat="1" ht="30" customHeight="1" x14ac:dyDescent="0.2">
      <c r="C1308" s="375"/>
      <c r="H1308" s="375"/>
      <c r="N1308" s="384"/>
      <c r="P1308" s="375"/>
      <c r="AF1308" s="14"/>
    </row>
    <row r="1309" spans="3:32" s="13" customFormat="1" ht="30" customHeight="1" x14ac:dyDescent="0.2">
      <c r="C1309" s="375"/>
      <c r="H1309" s="375"/>
      <c r="N1309" s="384"/>
      <c r="P1309" s="375"/>
      <c r="AF1309" s="14"/>
    </row>
    <row r="1310" spans="3:32" s="13" customFormat="1" ht="30" customHeight="1" x14ac:dyDescent="0.2">
      <c r="C1310" s="375"/>
      <c r="H1310" s="375"/>
      <c r="N1310" s="384"/>
      <c r="P1310" s="375"/>
      <c r="AF1310" s="14"/>
    </row>
    <row r="1311" spans="3:32" s="13" customFormat="1" ht="30" customHeight="1" x14ac:dyDescent="0.2">
      <c r="C1311" s="375"/>
      <c r="H1311" s="375"/>
      <c r="N1311" s="384"/>
      <c r="P1311" s="375"/>
      <c r="AF1311" s="14"/>
    </row>
    <row r="1312" spans="3:32" s="13" customFormat="1" ht="30" customHeight="1" x14ac:dyDescent="0.2">
      <c r="C1312" s="375"/>
      <c r="H1312" s="375"/>
      <c r="N1312" s="384"/>
      <c r="P1312" s="375"/>
      <c r="AF1312" s="14"/>
    </row>
    <row r="1313" spans="3:32" s="13" customFormat="1" ht="30" customHeight="1" x14ac:dyDescent="0.2">
      <c r="C1313" s="375"/>
      <c r="H1313" s="375"/>
      <c r="N1313" s="384"/>
      <c r="P1313" s="375"/>
      <c r="AF1313" s="14"/>
    </row>
    <row r="1314" spans="3:32" s="13" customFormat="1" ht="30" customHeight="1" x14ac:dyDescent="0.2">
      <c r="C1314" s="375"/>
      <c r="H1314" s="375"/>
      <c r="N1314" s="384"/>
      <c r="P1314" s="375"/>
      <c r="AF1314" s="14"/>
    </row>
    <row r="1315" spans="3:32" s="13" customFormat="1" ht="30" customHeight="1" x14ac:dyDescent="0.2">
      <c r="C1315" s="375"/>
      <c r="H1315" s="375"/>
      <c r="N1315" s="384"/>
      <c r="P1315" s="375"/>
      <c r="AF1315" s="14"/>
    </row>
    <row r="1316" spans="3:32" s="13" customFormat="1" ht="30" customHeight="1" x14ac:dyDescent="0.2">
      <c r="C1316" s="375"/>
      <c r="H1316" s="375"/>
      <c r="N1316" s="384"/>
      <c r="P1316" s="375"/>
      <c r="AF1316" s="14"/>
    </row>
    <row r="1317" spans="3:32" s="13" customFormat="1" ht="30" customHeight="1" x14ac:dyDescent="0.2">
      <c r="C1317" s="375"/>
      <c r="H1317" s="375"/>
      <c r="N1317" s="384"/>
      <c r="P1317" s="375"/>
      <c r="AF1317" s="14"/>
    </row>
    <row r="1318" spans="3:32" s="13" customFormat="1" ht="30" customHeight="1" x14ac:dyDescent="0.2">
      <c r="C1318" s="375"/>
      <c r="H1318" s="375"/>
      <c r="N1318" s="384"/>
      <c r="P1318" s="375"/>
      <c r="AF1318" s="14"/>
    </row>
    <row r="1319" spans="3:32" s="13" customFormat="1" ht="30" customHeight="1" x14ac:dyDescent="0.2">
      <c r="C1319" s="375"/>
      <c r="H1319" s="375"/>
      <c r="N1319" s="384"/>
      <c r="P1319" s="375"/>
      <c r="AF1319" s="14"/>
    </row>
    <row r="1320" spans="3:32" s="13" customFormat="1" ht="30" customHeight="1" x14ac:dyDescent="0.2">
      <c r="C1320" s="375"/>
      <c r="H1320" s="375"/>
      <c r="N1320" s="384"/>
      <c r="P1320" s="375"/>
      <c r="AF1320" s="14"/>
    </row>
    <row r="1321" spans="3:32" s="13" customFormat="1" ht="30" customHeight="1" x14ac:dyDescent="0.2">
      <c r="C1321" s="375"/>
      <c r="H1321" s="375"/>
      <c r="N1321" s="384"/>
      <c r="P1321" s="375"/>
      <c r="AF1321" s="14"/>
    </row>
    <row r="1322" spans="3:32" s="13" customFormat="1" ht="30" customHeight="1" x14ac:dyDescent="0.2">
      <c r="C1322" s="375"/>
      <c r="H1322" s="375"/>
      <c r="N1322" s="384"/>
      <c r="P1322" s="375"/>
      <c r="AF1322" s="14"/>
    </row>
    <row r="1323" spans="3:32" s="13" customFormat="1" ht="30" customHeight="1" x14ac:dyDescent="0.2">
      <c r="C1323" s="375"/>
      <c r="H1323" s="375"/>
      <c r="N1323" s="384"/>
      <c r="P1323" s="375"/>
      <c r="AF1323" s="14"/>
    </row>
    <row r="1324" spans="3:32" s="13" customFormat="1" ht="30" customHeight="1" x14ac:dyDescent="0.2">
      <c r="C1324" s="375"/>
      <c r="H1324" s="375"/>
      <c r="N1324" s="384"/>
      <c r="P1324" s="375"/>
      <c r="AF1324" s="14"/>
    </row>
    <row r="1325" spans="3:32" s="13" customFormat="1" ht="30" customHeight="1" x14ac:dyDescent="0.2">
      <c r="C1325" s="375"/>
      <c r="H1325" s="375"/>
      <c r="N1325" s="384"/>
      <c r="P1325" s="375"/>
      <c r="AF1325" s="14"/>
    </row>
    <row r="1326" spans="3:32" s="13" customFormat="1" ht="30" customHeight="1" x14ac:dyDescent="0.2">
      <c r="C1326" s="375"/>
      <c r="H1326" s="375"/>
      <c r="N1326" s="384"/>
      <c r="P1326" s="375"/>
      <c r="AF1326" s="14"/>
    </row>
    <row r="1327" spans="3:32" s="13" customFormat="1" ht="30" customHeight="1" x14ac:dyDescent="0.2">
      <c r="C1327" s="375"/>
      <c r="H1327" s="375"/>
      <c r="N1327" s="384"/>
      <c r="P1327" s="375"/>
      <c r="AF1327" s="14"/>
    </row>
    <row r="1328" spans="3:32" s="13" customFormat="1" ht="30" customHeight="1" x14ac:dyDescent="0.2">
      <c r="C1328" s="375"/>
      <c r="H1328" s="375"/>
      <c r="N1328" s="384"/>
      <c r="P1328" s="375"/>
      <c r="AF1328" s="14"/>
    </row>
    <row r="1329" spans="3:32" s="13" customFormat="1" ht="30" customHeight="1" x14ac:dyDescent="0.2">
      <c r="C1329" s="375"/>
      <c r="H1329" s="375"/>
      <c r="N1329" s="384"/>
      <c r="P1329" s="375"/>
      <c r="AF1329" s="14"/>
    </row>
    <row r="1330" spans="3:32" s="13" customFormat="1" ht="30" customHeight="1" x14ac:dyDescent="0.2">
      <c r="C1330" s="375"/>
      <c r="H1330" s="375"/>
      <c r="N1330" s="384"/>
      <c r="P1330" s="375"/>
      <c r="AF1330" s="14"/>
    </row>
    <row r="1331" spans="3:32" s="13" customFormat="1" ht="30" customHeight="1" x14ac:dyDescent="0.2">
      <c r="C1331" s="375"/>
      <c r="H1331" s="375"/>
      <c r="N1331" s="384"/>
      <c r="P1331" s="375"/>
      <c r="AF1331" s="14"/>
    </row>
    <row r="1332" spans="3:32" s="13" customFormat="1" ht="30" customHeight="1" x14ac:dyDescent="0.2">
      <c r="C1332" s="375"/>
      <c r="H1332" s="375"/>
      <c r="N1332" s="384"/>
      <c r="P1332" s="375"/>
      <c r="AF1332" s="14"/>
    </row>
    <row r="1333" spans="3:32" s="13" customFormat="1" ht="30" customHeight="1" x14ac:dyDescent="0.2">
      <c r="C1333" s="375"/>
      <c r="H1333" s="375"/>
      <c r="N1333" s="384"/>
      <c r="P1333" s="375"/>
      <c r="AF1333" s="14"/>
    </row>
    <row r="1334" spans="3:32" s="13" customFormat="1" ht="30" customHeight="1" x14ac:dyDescent="0.2">
      <c r="C1334" s="375"/>
      <c r="H1334" s="375"/>
      <c r="N1334" s="384"/>
      <c r="P1334" s="375"/>
      <c r="AF1334" s="14"/>
    </row>
    <row r="1335" spans="3:32" s="13" customFormat="1" ht="30" customHeight="1" x14ac:dyDescent="0.2">
      <c r="C1335" s="375"/>
      <c r="H1335" s="375"/>
      <c r="N1335" s="384"/>
      <c r="P1335" s="375"/>
      <c r="AF1335" s="14"/>
    </row>
    <row r="1336" spans="3:32" s="13" customFormat="1" ht="30" customHeight="1" x14ac:dyDescent="0.2">
      <c r="C1336" s="375"/>
      <c r="H1336" s="375"/>
      <c r="N1336" s="384"/>
      <c r="P1336" s="375"/>
      <c r="AF1336" s="14"/>
    </row>
    <row r="1337" spans="3:32" s="13" customFormat="1" ht="30" customHeight="1" x14ac:dyDescent="0.2">
      <c r="C1337" s="375"/>
      <c r="H1337" s="375"/>
      <c r="N1337" s="384"/>
      <c r="P1337" s="375"/>
      <c r="AF1337" s="14"/>
    </row>
    <row r="1338" spans="3:32" s="13" customFormat="1" ht="30" customHeight="1" x14ac:dyDescent="0.2">
      <c r="C1338" s="375"/>
      <c r="H1338" s="375"/>
      <c r="N1338" s="384"/>
      <c r="P1338" s="375"/>
      <c r="AF1338" s="14"/>
    </row>
    <row r="1339" spans="3:32" s="13" customFormat="1" ht="30" customHeight="1" x14ac:dyDescent="0.2">
      <c r="C1339" s="375"/>
      <c r="H1339" s="375"/>
      <c r="N1339" s="384"/>
      <c r="P1339" s="375"/>
      <c r="AF1339" s="14"/>
    </row>
    <row r="1340" spans="3:32" s="13" customFormat="1" ht="30" customHeight="1" x14ac:dyDescent="0.2">
      <c r="C1340" s="375"/>
      <c r="H1340" s="375"/>
      <c r="N1340" s="384"/>
      <c r="P1340" s="375"/>
      <c r="AF1340" s="14"/>
    </row>
    <row r="1341" spans="3:32" s="13" customFormat="1" ht="30" customHeight="1" x14ac:dyDescent="0.2">
      <c r="C1341" s="375"/>
      <c r="H1341" s="375"/>
      <c r="N1341" s="384"/>
      <c r="P1341" s="375"/>
      <c r="AF1341" s="14"/>
    </row>
    <row r="1342" spans="3:32" s="13" customFormat="1" ht="30" customHeight="1" x14ac:dyDescent="0.2">
      <c r="C1342" s="375"/>
      <c r="H1342" s="375"/>
      <c r="N1342" s="384"/>
      <c r="P1342" s="375"/>
      <c r="AF1342" s="14"/>
    </row>
    <row r="1343" spans="3:32" s="13" customFormat="1" ht="30" customHeight="1" x14ac:dyDescent="0.2">
      <c r="C1343" s="375"/>
      <c r="H1343" s="375"/>
      <c r="N1343" s="384"/>
      <c r="P1343" s="375"/>
      <c r="AF1343" s="14"/>
    </row>
    <row r="1344" spans="3:32" s="13" customFormat="1" ht="30" customHeight="1" x14ac:dyDescent="0.2">
      <c r="C1344" s="375"/>
      <c r="H1344" s="375"/>
      <c r="N1344" s="384"/>
      <c r="P1344" s="375"/>
      <c r="AF1344" s="14"/>
    </row>
    <row r="1345" spans="3:32" s="13" customFormat="1" ht="30" customHeight="1" x14ac:dyDescent="0.2">
      <c r="C1345" s="375"/>
      <c r="H1345" s="375"/>
      <c r="N1345" s="384"/>
      <c r="P1345" s="375"/>
      <c r="AF1345" s="14"/>
    </row>
    <row r="1346" spans="3:32" s="13" customFormat="1" ht="30" customHeight="1" x14ac:dyDescent="0.2">
      <c r="C1346" s="375"/>
      <c r="H1346" s="375"/>
      <c r="N1346" s="384"/>
      <c r="P1346" s="375"/>
      <c r="AF1346" s="14"/>
    </row>
    <row r="1347" spans="3:32" s="13" customFormat="1" ht="30" customHeight="1" x14ac:dyDescent="0.2">
      <c r="C1347" s="375"/>
      <c r="H1347" s="375"/>
      <c r="N1347" s="384"/>
      <c r="P1347" s="375"/>
      <c r="AF1347" s="14"/>
    </row>
    <row r="1348" spans="3:32" s="13" customFormat="1" ht="30" customHeight="1" x14ac:dyDescent="0.2">
      <c r="C1348" s="375"/>
      <c r="H1348" s="375"/>
      <c r="N1348" s="384"/>
      <c r="P1348" s="375"/>
      <c r="AF1348" s="14"/>
    </row>
    <row r="1349" spans="3:32" s="13" customFormat="1" ht="30" customHeight="1" x14ac:dyDescent="0.2">
      <c r="C1349" s="375"/>
      <c r="H1349" s="375"/>
      <c r="N1349" s="384"/>
      <c r="P1349" s="375"/>
      <c r="AF1349" s="14"/>
    </row>
    <row r="1350" spans="3:32" s="13" customFormat="1" ht="30" customHeight="1" x14ac:dyDescent="0.2">
      <c r="C1350" s="375"/>
      <c r="H1350" s="375"/>
      <c r="N1350" s="384"/>
      <c r="P1350" s="375"/>
      <c r="AF1350" s="14"/>
    </row>
    <row r="1351" spans="3:32" s="13" customFormat="1" ht="30" customHeight="1" x14ac:dyDescent="0.2">
      <c r="C1351" s="375"/>
      <c r="H1351" s="375"/>
      <c r="N1351" s="384"/>
      <c r="P1351" s="375"/>
      <c r="AF1351" s="14"/>
    </row>
    <row r="1352" spans="3:32" s="13" customFormat="1" ht="30" customHeight="1" x14ac:dyDescent="0.2">
      <c r="C1352" s="375"/>
      <c r="H1352" s="375"/>
      <c r="N1352" s="384"/>
      <c r="P1352" s="375"/>
      <c r="AF1352" s="14"/>
    </row>
    <row r="1353" spans="3:32" s="13" customFormat="1" ht="30" customHeight="1" x14ac:dyDescent="0.2">
      <c r="C1353" s="375"/>
      <c r="H1353" s="375"/>
      <c r="N1353" s="384"/>
      <c r="P1353" s="375"/>
      <c r="AF1353" s="14"/>
    </row>
    <row r="1354" spans="3:32" s="13" customFormat="1" ht="30" customHeight="1" x14ac:dyDescent="0.2">
      <c r="C1354" s="375"/>
      <c r="H1354" s="375"/>
      <c r="N1354" s="384"/>
      <c r="P1354" s="375"/>
      <c r="AF1354" s="14"/>
    </row>
  </sheetData>
  <sheetProtection password="CBEB" sheet="1" objects="1" scenarios="1"/>
  <autoFilter ref="L1:L1048576"/>
  <mergeCells count="460">
    <mergeCell ref="A1:AI1"/>
    <mergeCell ref="A2:AI2"/>
    <mergeCell ref="A3:AI3"/>
    <mergeCell ref="B720:B722"/>
    <mergeCell ref="B728:E728"/>
    <mergeCell ref="C729:F729"/>
    <mergeCell ref="B708:B716"/>
    <mergeCell ref="A754:K754"/>
    <mergeCell ref="A755:H755"/>
    <mergeCell ref="L734:L737"/>
    <mergeCell ref="N734:N737"/>
    <mergeCell ref="O734:O737"/>
    <mergeCell ref="C747:C749"/>
    <mergeCell ref="D747:D749"/>
    <mergeCell ref="E747:E749"/>
    <mergeCell ref="F747:F749"/>
    <mergeCell ref="L747:L749"/>
    <mergeCell ref="N747:N749"/>
    <mergeCell ref="O747:O749"/>
    <mergeCell ref="C709:C711"/>
    <mergeCell ref="D709:D711"/>
    <mergeCell ref="E709:E711"/>
    <mergeCell ref="F709:F711"/>
    <mergeCell ref="G709:G711"/>
    <mergeCell ref="L709:L711"/>
    <mergeCell ref="N709:N711"/>
    <mergeCell ref="O709:O711"/>
    <mergeCell ref="N688:N689"/>
    <mergeCell ref="O688:O689"/>
    <mergeCell ref="C701:C703"/>
    <mergeCell ref="D701:D703"/>
    <mergeCell ref="E701:E703"/>
    <mergeCell ref="F701:F703"/>
    <mergeCell ref="G701:G703"/>
    <mergeCell ref="L701:L703"/>
    <mergeCell ref="N701:N703"/>
    <mergeCell ref="O701:O703"/>
    <mergeCell ref="A683:G683"/>
    <mergeCell ref="C688:C689"/>
    <mergeCell ref="D688:D689"/>
    <mergeCell ref="E688:E689"/>
    <mergeCell ref="F688:F689"/>
    <mergeCell ref="L688:L689"/>
    <mergeCell ref="G675:G677"/>
    <mergeCell ref="L675:L677"/>
    <mergeCell ref="M675:M677"/>
    <mergeCell ref="N675:N677"/>
    <mergeCell ref="O675:O677"/>
    <mergeCell ref="A682:C682"/>
    <mergeCell ref="O663:O664"/>
    <mergeCell ref="C668:C669"/>
    <mergeCell ref="D668:D669"/>
    <mergeCell ref="E668:E669"/>
    <mergeCell ref="F668:F669"/>
    <mergeCell ref="G668:G669"/>
    <mergeCell ref="L668:L669"/>
    <mergeCell ref="M668:M669"/>
    <mergeCell ref="N668:N669"/>
    <mergeCell ref="O668:O669"/>
    <mergeCell ref="N657:N658"/>
    <mergeCell ref="O657:O658"/>
    <mergeCell ref="C663:C664"/>
    <mergeCell ref="D663:D664"/>
    <mergeCell ref="E663:E664"/>
    <mergeCell ref="F663:F664"/>
    <mergeCell ref="G663:G664"/>
    <mergeCell ref="L663:L664"/>
    <mergeCell ref="M663:M664"/>
    <mergeCell ref="N663:N664"/>
    <mergeCell ref="C657:C658"/>
    <mergeCell ref="D657:D658"/>
    <mergeCell ref="E657:E658"/>
    <mergeCell ref="F657:F658"/>
    <mergeCell ref="L657:L658"/>
    <mergeCell ref="M657:M658"/>
    <mergeCell ref="C647:C649"/>
    <mergeCell ref="D647:D649"/>
    <mergeCell ref="E647:E649"/>
    <mergeCell ref="F647:F649"/>
    <mergeCell ref="G647:G649"/>
    <mergeCell ref="L647:L649"/>
    <mergeCell ref="M647:M649"/>
    <mergeCell ref="N647:N649"/>
    <mergeCell ref="O647:O649"/>
    <mergeCell ref="M620:M621"/>
    <mergeCell ref="N620:N621"/>
    <mergeCell ref="O620:O621"/>
    <mergeCell ref="C626:C627"/>
    <mergeCell ref="D626:D627"/>
    <mergeCell ref="E626:E627"/>
    <mergeCell ref="F626:F627"/>
    <mergeCell ref="L626:L627"/>
    <mergeCell ref="M626:M627"/>
    <mergeCell ref="N626:N627"/>
    <mergeCell ref="C620:C621"/>
    <mergeCell ref="D620:D621"/>
    <mergeCell ref="E620:E621"/>
    <mergeCell ref="F620:F621"/>
    <mergeCell ref="G620:G621"/>
    <mergeCell ref="L620:L621"/>
    <mergeCell ref="O626:O627"/>
    <mergeCell ref="N607:N609"/>
    <mergeCell ref="O607:O609"/>
    <mergeCell ref="L613:L616"/>
    <mergeCell ref="M613:M616"/>
    <mergeCell ref="N613:N616"/>
    <mergeCell ref="O613:O616"/>
    <mergeCell ref="D607:D608"/>
    <mergeCell ref="E607:E608"/>
    <mergeCell ref="F607:F608"/>
    <mergeCell ref="G607:G608"/>
    <mergeCell ref="L607:L609"/>
    <mergeCell ref="M607:M609"/>
    <mergeCell ref="M597:M598"/>
    <mergeCell ref="N597:N598"/>
    <mergeCell ref="O597:O598"/>
    <mergeCell ref="G602:G603"/>
    <mergeCell ref="L602:L603"/>
    <mergeCell ref="M602:M603"/>
    <mergeCell ref="N602:N603"/>
    <mergeCell ref="O602:O603"/>
    <mergeCell ref="C597:C598"/>
    <mergeCell ref="D597:D598"/>
    <mergeCell ref="E597:E598"/>
    <mergeCell ref="F597:F598"/>
    <mergeCell ref="G597:G598"/>
    <mergeCell ref="L597:L598"/>
    <mergeCell ref="N589:N590"/>
    <mergeCell ref="O589:O590"/>
    <mergeCell ref="L591:L592"/>
    <mergeCell ref="M591:M592"/>
    <mergeCell ref="N591:N592"/>
    <mergeCell ref="O591:O592"/>
    <mergeCell ref="C584:C585"/>
    <mergeCell ref="D584:D585"/>
    <mergeCell ref="E584:E585"/>
    <mergeCell ref="F584:F585"/>
    <mergeCell ref="L589:L590"/>
    <mergeCell ref="M589:M590"/>
    <mergeCell ref="N577:N579"/>
    <mergeCell ref="O577:O579"/>
    <mergeCell ref="G583:G585"/>
    <mergeCell ref="L583:L585"/>
    <mergeCell ref="M583:M585"/>
    <mergeCell ref="N583:N585"/>
    <mergeCell ref="O583:O585"/>
    <mergeCell ref="C577:C579"/>
    <mergeCell ref="D577:D579"/>
    <mergeCell ref="E577:E579"/>
    <mergeCell ref="F577:F579"/>
    <mergeCell ref="L577:L579"/>
    <mergeCell ref="M577:M579"/>
    <mergeCell ref="M565:M566"/>
    <mergeCell ref="N565:N566"/>
    <mergeCell ref="O565:O566"/>
    <mergeCell ref="L570:L573"/>
    <mergeCell ref="M570:M573"/>
    <mergeCell ref="N570:N573"/>
    <mergeCell ref="O570:O573"/>
    <mergeCell ref="C565:C566"/>
    <mergeCell ref="D565:D566"/>
    <mergeCell ref="E565:E566"/>
    <mergeCell ref="F565:F566"/>
    <mergeCell ref="G565:G566"/>
    <mergeCell ref="L565:L566"/>
    <mergeCell ref="C481:C482"/>
    <mergeCell ref="D481:D482"/>
    <mergeCell ref="E481:E482"/>
    <mergeCell ref="F481:F482"/>
    <mergeCell ref="L481:L482"/>
    <mergeCell ref="M481:M482"/>
    <mergeCell ref="N534:N537"/>
    <mergeCell ref="O534:O537"/>
    <mergeCell ref="L557:L559"/>
    <mergeCell ref="M557:M559"/>
    <mergeCell ref="N557:N559"/>
    <mergeCell ref="O557:O559"/>
    <mergeCell ref="L498:L500"/>
    <mergeCell ref="M498:M500"/>
    <mergeCell ref="N498:N500"/>
    <mergeCell ref="O498:O500"/>
    <mergeCell ref="C464:C465"/>
    <mergeCell ref="D464:D465"/>
    <mergeCell ref="E464:E465"/>
    <mergeCell ref="F464:F465"/>
    <mergeCell ref="L464:L465"/>
    <mergeCell ref="M464:M465"/>
    <mergeCell ref="N464:N465"/>
    <mergeCell ref="O464:O465"/>
    <mergeCell ref="C534:C537"/>
    <mergeCell ref="D534:D537"/>
    <mergeCell ref="E534:E537"/>
    <mergeCell ref="F534:F537"/>
    <mergeCell ref="L534:L537"/>
    <mergeCell ref="M534:M537"/>
    <mergeCell ref="N481:N482"/>
    <mergeCell ref="O481:O482"/>
    <mergeCell ref="C492:C494"/>
    <mergeCell ref="D492:D494"/>
    <mergeCell ref="E492:E494"/>
    <mergeCell ref="F492:F494"/>
    <mergeCell ref="L492:L494"/>
    <mergeCell ref="M492:M494"/>
    <mergeCell ref="N492:N494"/>
    <mergeCell ref="O492:O494"/>
    <mergeCell ref="L441:L444"/>
    <mergeCell ref="M441:M444"/>
    <mergeCell ref="N441:N444"/>
    <mergeCell ref="O441:O444"/>
    <mergeCell ref="C451:C452"/>
    <mergeCell ref="D451:D452"/>
    <mergeCell ref="E451:E452"/>
    <mergeCell ref="F451:F452"/>
    <mergeCell ref="L451:L452"/>
    <mergeCell ref="M451:M452"/>
    <mergeCell ref="N451:N452"/>
    <mergeCell ref="O451:O452"/>
    <mergeCell ref="L420:L423"/>
    <mergeCell ref="M420:M423"/>
    <mergeCell ref="N420:N423"/>
    <mergeCell ref="O420:O423"/>
    <mergeCell ref="L433:L437"/>
    <mergeCell ref="M433:M437"/>
    <mergeCell ref="N433:N437"/>
    <mergeCell ref="O433:O437"/>
    <mergeCell ref="L396:L403"/>
    <mergeCell ref="M396:M403"/>
    <mergeCell ref="N396:N403"/>
    <mergeCell ref="O396:O403"/>
    <mergeCell ref="L407:L416"/>
    <mergeCell ref="M407:M416"/>
    <mergeCell ref="N407:N416"/>
    <mergeCell ref="O407:O416"/>
    <mergeCell ref="L375:L377"/>
    <mergeCell ref="M375:M377"/>
    <mergeCell ref="N375:N377"/>
    <mergeCell ref="O375:O377"/>
    <mergeCell ref="L381:L386"/>
    <mergeCell ref="M381:M386"/>
    <mergeCell ref="N381:N386"/>
    <mergeCell ref="O381:O386"/>
    <mergeCell ref="L334:L336"/>
    <mergeCell ref="M334:M336"/>
    <mergeCell ref="N334:N336"/>
    <mergeCell ref="O334:O336"/>
    <mergeCell ref="L344:L348"/>
    <mergeCell ref="M344:M348"/>
    <mergeCell ref="N344:N348"/>
    <mergeCell ref="O344:O348"/>
    <mergeCell ref="L318:L321"/>
    <mergeCell ref="M318:M323"/>
    <mergeCell ref="N318:N321"/>
    <mergeCell ref="O318:O321"/>
    <mergeCell ref="L327:L330"/>
    <mergeCell ref="M327:M330"/>
    <mergeCell ref="N327:N330"/>
    <mergeCell ref="O327:O330"/>
    <mergeCell ref="L299:L303"/>
    <mergeCell ref="M299:M303"/>
    <mergeCell ref="N299:N303"/>
    <mergeCell ref="O299:O303"/>
    <mergeCell ref="L311:L314"/>
    <mergeCell ref="M311:M314"/>
    <mergeCell ref="N311:N314"/>
    <mergeCell ref="O311:O314"/>
    <mergeCell ref="L284:L289"/>
    <mergeCell ref="M284:M289"/>
    <mergeCell ref="N284:N289"/>
    <mergeCell ref="O284:O289"/>
    <mergeCell ref="L293:L294"/>
    <mergeCell ref="M293:M294"/>
    <mergeCell ref="N293:N294"/>
    <mergeCell ref="O293:O294"/>
    <mergeCell ref="N257:N259"/>
    <mergeCell ref="O257:O259"/>
    <mergeCell ref="C265:C266"/>
    <mergeCell ref="D265:D266"/>
    <mergeCell ref="E265:E266"/>
    <mergeCell ref="F265:F266"/>
    <mergeCell ref="L265:L266"/>
    <mergeCell ref="M265:M266"/>
    <mergeCell ref="N265:N266"/>
    <mergeCell ref="O265:O266"/>
    <mergeCell ref="C252:C253"/>
    <mergeCell ref="D252:D253"/>
    <mergeCell ref="E252:E253"/>
    <mergeCell ref="F252:F253"/>
    <mergeCell ref="L257:L259"/>
    <mergeCell ref="M257:M259"/>
    <mergeCell ref="N244:N246"/>
    <mergeCell ref="O244:O246"/>
    <mergeCell ref="G250:G253"/>
    <mergeCell ref="L250:L253"/>
    <mergeCell ref="M250:M253"/>
    <mergeCell ref="N250:N253"/>
    <mergeCell ref="O250:O253"/>
    <mergeCell ref="C244:C245"/>
    <mergeCell ref="D244:D245"/>
    <mergeCell ref="E244:E245"/>
    <mergeCell ref="F244:F245"/>
    <mergeCell ref="L244:L246"/>
    <mergeCell ref="M244:M246"/>
    <mergeCell ref="L242:L243"/>
    <mergeCell ref="M242:M243"/>
    <mergeCell ref="N242:N243"/>
    <mergeCell ref="O242:O243"/>
    <mergeCell ref="C231:C232"/>
    <mergeCell ref="D231:D232"/>
    <mergeCell ref="E231:E232"/>
    <mergeCell ref="F231:F232"/>
    <mergeCell ref="L231:L232"/>
    <mergeCell ref="M231:M232"/>
    <mergeCell ref="C211:C213"/>
    <mergeCell ref="D211:D213"/>
    <mergeCell ref="E211:E213"/>
    <mergeCell ref="F211:F213"/>
    <mergeCell ref="L211:L213"/>
    <mergeCell ref="M211:M213"/>
    <mergeCell ref="N211:N213"/>
    <mergeCell ref="O211:O213"/>
    <mergeCell ref="N231:N232"/>
    <mergeCell ref="O231:O232"/>
    <mergeCell ref="M177:M178"/>
    <mergeCell ref="N177:N178"/>
    <mergeCell ref="O177:O178"/>
    <mergeCell ref="C192:C196"/>
    <mergeCell ref="D192:D196"/>
    <mergeCell ref="E192:E196"/>
    <mergeCell ref="F192:F196"/>
    <mergeCell ref="L192:L196"/>
    <mergeCell ref="M192:M196"/>
    <mergeCell ref="N192:N196"/>
    <mergeCell ref="C177:C178"/>
    <mergeCell ref="D177:D178"/>
    <mergeCell ref="E177:E178"/>
    <mergeCell ref="F177:F178"/>
    <mergeCell ref="G177:G178"/>
    <mergeCell ref="L177:L178"/>
    <mergeCell ref="O192:O196"/>
    <mergeCell ref="N162:N163"/>
    <mergeCell ref="O162:O163"/>
    <mergeCell ref="C169:C173"/>
    <mergeCell ref="D169:D173"/>
    <mergeCell ref="E169:E173"/>
    <mergeCell ref="F169:F173"/>
    <mergeCell ref="L169:L173"/>
    <mergeCell ref="M169:M173"/>
    <mergeCell ref="N169:N173"/>
    <mergeCell ref="O169:O173"/>
    <mergeCell ref="C162:C163"/>
    <mergeCell ref="D162:D163"/>
    <mergeCell ref="E162:E163"/>
    <mergeCell ref="F162:F163"/>
    <mergeCell ref="L162:L163"/>
    <mergeCell ref="M162:M163"/>
    <mergeCell ref="N148:N152"/>
    <mergeCell ref="O148:O152"/>
    <mergeCell ref="C156:C158"/>
    <mergeCell ref="D156:D158"/>
    <mergeCell ref="E156:E158"/>
    <mergeCell ref="F156:F158"/>
    <mergeCell ref="L156:L158"/>
    <mergeCell ref="M156:M158"/>
    <mergeCell ref="N156:N158"/>
    <mergeCell ref="O156:O158"/>
    <mergeCell ref="C148:C152"/>
    <mergeCell ref="D148:D152"/>
    <mergeCell ref="E148:E152"/>
    <mergeCell ref="F148:F152"/>
    <mergeCell ref="L148:L152"/>
    <mergeCell ref="M148:M152"/>
    <mergeCell ref="N139:N142"/>
    <mergeCell ref="O139:O142"/>
    <mergeCell ref="C141:C142"/>
    <mergeCell ref="D141:D142"/>
    <mergeCell ref="E141:E142"/>
    <mergeCell ref="F141:F142"/>
    <mergeCell ref="C139:C140"/>
    <mergeCell ref="D139:D140"/>
    <mergeCell ref="E139:E140"/>
    <mergeCell ref="F139:F140"/>
    <mergeCell ref="L139:L142"/>
    <mergeCell ref="M139:M142"/>
    <mergeCell ref="C134:C135"/>
    <mergeCell ref="D134:D135"/>
    <mergeCell ref="E134:E135"/>
    <mergeCell ref="F134:F135"/>
    <mergeCell ref="C131:C133"/>
    <mergeCell ref="D131:D133"/>
    <mergeCell ref="E131:E133"/>
    <mergeCell ref="F131:F133"/>
    <mergeCell ref="L131:L135"/>
    <mergeCell ref="C92:C99"/>
    <mergeCell ref="D92:D99"/>
    <mergeCell ref="E92:E99"/>
    <mergeCell ref="F92:F99"/>
    <mergeCell ref="L92:L99"/>
    <mergeCell ref="N92:N99"/>
    <mergeCell ref="O92:O99"/>
    <mergeCell ref="C86:C88"/>
    <mergeCell ref="D86:D88"/>
    <mergeCell ref="E86:E88"/>
    <mergeCell ref="F86:F88"/>
    <mergeCell ref="L86:L88"/>
    <mergeCell ref="M86:M88"/>
    <mergeCell ref="N86:N88"/>
    <mergeCell ref="O86:O88"/>
    <mergeCell ref="C54:C62"/>
    <mergeCell ref="D54:D62"/>
    <mergeCell ref="E54:E62"/>
    <mergeCell ref="F54:F62"/>
    <mergeCell ref="L54:L62"/>
    <mergeCell ref="M54:M62"/>
    <mergeCell ref="N54:N62"/>
    <mergeCell ref="O54:O62"/>
    <mergeCell ref="C45:C49"/>
    <mergeCell ref="D45:D49"/>
    <mergeCell ref="E45:E49"/>
    <mergeCell ref="F45:F49"/>
    <mergeCell ref="L45:L49"/>
    <mergeCell ref="M45:M49"/>
    <mergeCell ref="N45:N49"/>
    <mergeCell ref="O45:O49"/>
    <mergeCell ref="C75:C76"/>
    <mergeCell ref="D75:D76"/>
    <mergeCell ref="E75:E76"/>
    <mergeCell ref="F75:F76"/>
    <mergeCell ref="L75:L76"/>
    <mergeCell ref="M75:M76"/>
    <mergeCell ref="N75:N76"/>
    <mergeCell ref="O75:O76"/>
    <mergeCell ref="C72:C74"/>
    <mergeCell ref="D72:D74"/>
    <mergeCell ref="E72:E74"/>
    <mergeCell ref="F72:F74"/>
    <mergeCell ref="L72:L74"/>
    <mergeCell ref="M72:M74"/>
    <mergeCell ref="N72:N74"/>
    <mergeCell ref="O72:O74"/>
    <mergeCell ref="A5:A6"/>
    <mergeCell ref="B5:B6"/>
    <mergeCell ref="C5:D6"/>
    <mergeCell ref="E5:E6"/>
    <mergeCell ref="F5:F6"/>
    <mergeCell ref="G5:G6"/>
    <mergeCell ref="H5:I6"/>
    <mergeCell ref="L15:L19"/>
    <mergeCell ref="M15:M19"/>
    <mergeCell ref="P5:P6"/>
    <mergeCell ref="J5:J6"/>
    <mergeCell ref="L5:L6"/>
    <mergeCell ref="M5:M6"/>
    <mergeCell ref="N5:N6"/>
    <mergeCell ref="O5:O6"/>
    <mergeCell ref="K5:K6"/>
    <mergeCell ref="N131:N135"/>
    <mergeCell ref="O131:O135"/>
    <mergeCell ref="M131:M135"/>
    <mergeCell ref="N15:N19"/>
    <mergeCell ref="O15:O19"/>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D145"/>
  <sheetViews>
    <sheetView showGridLines="0" workbookViewId="0">
      <selection activeCell="B12" sqref="B12:C12"/>
    </sheetView>
  </sheetViews>
  <sheetFormatPr baseColWidth="10" defaultColWidth="11.42578125" defaultRowHeight="15" x14ac:dyDescent="0.25"/>
  <cols>
    <col min="1" max="1" width="8.5703125" style="597" customWidth="1"/>
    <col min="2" max="2" width="18.42578125" style="597" customWidth="1"/>
    <col min="3" max="3" width="56.85546875" style="280" customWidth="1"/>
    <col min="4" max="4" width="19.5703125" style="622" customWidth="1"/>
    <col min="5" max="16384" width="11.42578125" style="598"/>
  </cols>
  <sheetData>
    <row r="1" spans="1:4" ht="18" x14ac:dyDescent="0.25">
      <c r="B1" s="860" t="s">
        <v>1018</v>
      </c>
      <c r="C1" s="860"/>
      <c r="D1" s="860"/>
    </row>
    <row r="2" spans="1:4" ht="18" x14ac:dyDescent="0.25">
      <c r="B2" s="860" t="s">
        <v>1019</v>
      </c>
      <c r="C2" s="860"/>
      <c r="D2" s="860"/>
    </row>
    <row r="3" spans="1:4" s="599" customFormat="1" ht="23.25" customHeight="1" x14ac:dyDescent="0.25">
      <c r="B3" s="860" t="s">
        <v>1020</v>
      </c>
      <c r="C3" s="860"/>
      <c r="D3" s="860"/>
    </row>
    <row r="4" spans="1:4" s="599" customFormat="1" ht="23.25" customHeight="1" x14ac:dyDescent="0.25">
      <c r="B4" s="313"/>
      <c r="C4" s="280"/>
      <c r="D4" s="600"/>
    </row>
    <row r="5" spans="1:4" ht="30" x14ac:dyDescent="0.25">
      <c r="A5" s="601" t="s">
        <v>1021</v>
      </c>
      <c r="B5" s="601" t="s">
        <v>1022</v>
      </c>
      <c r="C5" s="601" t="s">
        <v>1023</v>
      </c>
      <c r="D5" s="602" t="s">
        <v>1024</v>
      </c>
    </row>
    <row r="6" spans="1:4" ht="30" customHeight="1" x14ac:dyDescent="0.25">
      <c r="A6" s="603"/>
      <c r="B6" s="857" t="s">
        <v>1025</v>
      </c>
      <c r="C6" s="858"/>
      <c r="D6" s="711">
        <f>SUM(D7:D11)</f>
        <v>1071000000</v>
      </c>
    </row>
    <row r="7" spans="1:4" s="369" customFormat="1" ht="28.5" x14ac:dyDescent="0.25">
      <c r="A7" s="611">
        <v>1</v>
      </c>
      <c r="B7" s="605" t="s">
        <v>39</v>
      </c>
      <c r="C7" s="606" t="s">
        <v>40</v>
      </c>
      <c r="D7" s="607">
        <f>+'POAI SEPTIEMBRE'!AK11</f>
        <v>110000000</v>
      </c>
    </row>
    <row r="8" spans="1:4" s="369" customFormat="1" ht="42.75" x14ac:dyDescent="0.25">
      <c r="A8" s="611">
        <f>A7+1</f>
        <v>2</v>
      </c>
      <c r="B8" s="605" t="s">
        <v>44</v>
      </c>
      <c r="C8" s="606" t="s">
        <v>45</v>
      </c>
      <c r="D8" s="607">
        <f>+'POAI SEPTIEMBRE'!AK12</f>
        <v>85000000</v>
      </c>
    </row>
    <row r="9" spans="1:4" s="369" customFormat="1" ht="58.5" customHeight="1" x14ac:dyDescent="0.25">
      <c r="A9" s="611">
        <f t="shared" ref="A9:A11" si="0">A8+1</f>
        <v>3</v>
      </c>
      <c r="B9" s="605" t="s">
        <v>49</v>
      </c>
      <c r="C9" s="606" t="s">
        <v>50</v>
      </c>
      <c r="D9" s="607">
        <f>+'POAI SEPTIEMBRE'!AK13</f>
        <v>293000000</v>
      </c>
    </row>
    <row r="10" spans="1:4" s="369" customFormat="1" ht="42.75" x14ac:dyDescent="0.25">
      <c r="A10" s="611">
        <f t="shared" si="0"/>
        <v>4</v>
      </c>
      <c r="B10" s="605" t="s">
        <v>52</v>
      </c>
      <c r="C10" s="606" t="s">
        <v>53</v>
      </c>
      <c r="D10" s="607">
        <f>+'POAI SEPTIEMBRE'!AK14</f>
        <v>255000000</v>
      </c>
    </row>
    <row r="11" spans="1:4" s="369" customFormat="1" ht="49.5" customHeight="1" x14ac:dyDescent="0.25">
      <c r="A11" s="611">
        <f t="shared" si="0"/>
        <v>5</v>
      </c>
      <c r="B11" s="618" t="s">
        <v>55</v>
      </c>
      <c r="C11" s="623" t="s">
        <v>56</v>
      </c>
      <c r="D11" s="626">
        <f>+SUM('POAI SEPTIEMBRE'!AK15:AK19)</f>
        <v>328000000</v>
      </c>
    </row>
    <row r="12" spans="1:4" s="369" customFormat="1" ht="27.75" customHeight="1" x14ac:dyDescent="0.25">
      <c r="A12" s="611"/>
      <c r="B12" s="859" t="s">
        <v>1026</v>
      </c>
      <c r="C12" s="859"/>
      <c r="D12" s="712">
        <f>SUM(D13:D21)</f>
        <v>1617000000</v>
      </c>
    </row>
    <row r="13" spans="1:4" s="369" customFormat="1" ht="57" x14ac:dyDescent="0.25">
      <c r="A13" s="611">
        <f>A11+1</f>
        <v>6</v>
      </c>
      <c r="B13" s="605" t="s">
        <v>69</v>
      </c>
      <c r="C13" s="606" t="s">
        <v>70</v>
      </c>
      <c r="D13" s="607">
        <f>+'POAI SEPTIEMBRE'!AK29</f>
        <v>18000000</v>
      </c>
    </row>
    <row r="14" spans="1:4" s="369" customFormat="1" ht="28.5" x14ac:dyDescent="0.25">
      <c r="A14" s="611">
        <f>A13+1</f>
        <v>7</v>
      </c>
      <c r="B14" s="604" t="s">
        <v>79</v>
      </c>
      <c r="C14" s="608" t="s">
        <v>80</v>
      </c>
      <c r="D14" s="609">
        <f>+'POAI SEPTIEMBRE'!AK39</f>
        <v>120000000</v>
      </c>
    </row>
    <row r="15" spans="1:4" s="369" customFormat="1" ht="42.75" x14ac:dyDescent="0.25">
      <c r="A15" s="611">
        <f t="shared" ref="A15:A21" si="1">A14+1</f>
        <v>8</v>
      </c>
      <c r="B15" s="604" t="s">
        <v>83</v>
      </c>
      <c r="C15" s="624" t="s">
        <v>84</v>
      </c>
      <c r="D15" s="609">
        <f>+SUM('POAI SEPTIEMBRE'!AK45:AK49)</f>
        <v>312000000</v>
      </c>
    </row>
    <row r="16" spans="1:4" s="369" customFormat="1" ht="28.5" x14ac:dyDescent="0.25">
      <c r="A16" s="611">
        <f t="shared" si="1"/>
        <v>9</v>
      </c>
      <c r="B16" s="604" t="s">
        <v>90</v>
      </c>
      <c r="C16" s="608" t="s">
        <v>91</v>
      </c>
      <c r="D16" s="609">
        <f>+'POAI SEPTIEMBRE'!AK50</f>
        <v>108000000</v>
      </c>
    </row>
    <row r="17" spans="1:4" s="369" customFormat="1" ht="42.75" x14ac:dyDescent="0.25">
      <c r="A17" s="611">
        <f t="shared" si="1"/>
        <v>10</v>
      </c>
      <c r="B17" s="604" t="s">
        <v>93</v>
      </c>
      <c r="C17" s="608" t="s">
        <v>94</v>
      </c>
      <c r="D17" s="609">
        <f>+'POAI SEPTIEMBRE'!AK51</f>
        <v>150000000</v>
      </c>
    </row>
    <row r="18" spans="1:4" s="369" customFormat="1" ht="42.75" x14ac:dyDescent="0.25">
      <c r="A18" s="611">
        <f t="shared" si="1"/>
        <v>11</v>
      </c>
      <c r="B18" s="604" t="s">
        <v>97</v>
      </c>
      <c r="C18" s="608" t="s">
        <v>98</v>
      </c>
      <c r="D18" s="609">
        <f>+'POAI SEPTIEMBRE'!AK52</f>
        <v>591500000</v>
      </c>
    </row>
    <row r="19" spans="1:4" s="369" customFormat="1" ht="28.5" x14ac:dyDescent="0.25">
      <c r="A19" s="611">
        <f t="shared" si="1"/>
        <v>12</v>
      </c>
      <c r="B19" s="604" t="s">
        <v>100</v>
      </c>
      <c r="C19" s="608" t="s">
        <v>101</v>
      </c>
      <c r="D19" s="609">
        <f>+'POAI SEPTIEMBRE'!AK53</f>
        <v>38500000</v>
      </c>
    </row>
    <row r="20" spans="1:4" s="369" customFormat="1" ht="42.75" x14ac:dyDescent="0.25">
      <c r="A20" s="611">
        <f t="shared" si="1"/>
        <v>13</v>
      </c>
      <c r="B20" s="604" t="s">
        <v>102</v>
      </c>
      <c r="C20" s="608" t="s">
        <v>103</v>
      </c>
      <c r="D20" s="609">
        <f>+SUM('POAI SEPTIEMBRE'!AK54:AK62)</f>
        <v>250000000</v>
      </c>
    </row>
    <row r="21" spans="1:4" s="369" customFormat="1" ht="42.75" x14ac:dyDescent="0.25">
      <c r="A21" s="611">
        <f t="shared" si="1"/>
        <v>14</v>
      </c>
      <c r="B21" s="604" t="s">
        <v>73</v>
      </c>
      <c r="C21" s="608" t="s">
        <v>74</v>
      </c>
      <c r="D21" s="609">
        <v>29000000</v>
      </c>
    </row>
    <row r="22" spans="1:4" s="369" customFormat="1" ht="31.5" customHeight="1" x14ac:dyDescent="0.25">
      <c r="A22" s="611"/>
      <c r="B22" s="857" t="s">
        <v>1027</v>
      </c>
      <c r="C22" s="858"/>
      <c r="D22" s="713">
        <f>SUM(D23:D24)</f>
        <v>2574941457</v>
      </c>
    </row>
    <row r="23" spans="1:4" s="369" customFormat="1" ht="42.75" x14ac:dyDescent="0.25">
      <c r="A23" s="611">
        <f>A21+1</f>
        <v>15</v>
      </c>
      <c r="B23" s="604" t="s">
        <v>114</v>
      </c>
      <c r="C23" s="608" t="s">
        <v>115</v>
      </c>
      <c r="D23" s="609">
        <f>+SUM('POAI SEPTIEMBRE'!AK72:AK74)</f>
        <v>2144441457</v>
      </c>
    </row>
    <row r="24" spans="1:4" s="369" customFormat="1" ht="42.75" x14ac:dyDescent="0.25">
      <c r="A24" s="611">
        <f>A23+1</f>
        <v>16</v>
      </c>
      <c r="B24" s="604" t="s">
        <v>119</v>
      </c>
      <c r="C24" s="608" t="s">
        <v>120</v>
      </c>
      <c r="D24" s="609">
        <f>+SUM('POAI SEPTIEMBRE'!AK75:AK76)</f>
        <v>430500000</v>
      </c>
    </row>
    <row r="25" spans="1:4" s="369" customFormat="1" ht="33.75" customHeight="1" x14ac:dyDescent="0.25">
      <c r="A25" s="611"/>
      <c r="B25" s="857" t="s">
        <v>1028</v>
      </c>
      <c r="C25" s="858"/>
      <c r="D25" s="713">
        <f>SUM(D26:D35)</f>
        <v>28139742723</v>
      </c>
    </row>
    <row r="26" spans="1:4" s="369" customFormat="1" ht="42.75" x14ac:dyDescent="0.25">
      <c r="A26" s="611">
        <f>A24+1</f>
        <v>17</v>
      </c>
      <c r="B26" s="604" t="s">
        <v>129</v>
      </c>
      <c r="C26" s="608" t="s">
        <v>130</v>
      </c>
      <c r="D26" s="609">
        <f>+SUM('POAI SEPTIEMBRE'!AK86:AK88)</f>
        <v>6803780055</v>
      </c>
    </row>
    <row r="27" spans="1:4" s="369" customFormat="1" ht="28.5" x14ac:dyDescent="0.25">
      <c r="A27" s="611">
        <f>A26+1</f>
        <v>18</v>
      </c>
      <c r="B27" s="604" t="s">
        <v>137</v>
      </c>
      <c r="C27" s="625" t="s">
        <v>138</v>
      </c>
      <c r="D27" s="609">
        <f>+SUM('POAI SEPTIEMBRE'!AK92:AK99)</f>
        <v>15775990780</v>
      </c>
    </row>
    <row r="28" spans="1:4" s="369" customFormat="1" ht="28.5" x14ac:dyDescent="0.25">
      <c r="A28" s="611">
        <f t="shared" ref="A28:A35" si="2">A27+1</f>
        <v>19</v>
      </c>
      <c r="B28" s="610" t="s">
        <v>160</v>
      </c>
      <c r="C28" s="608" t="s">
        <v>161</v>
      </c>
      <c r="D28" s="609">
        <f>+'POAI SEPTIEMBRE'!AK108</f>
        <v>1267157549</v>
      </c>
    </row>
    <row r="29" spans="1:4" s="369" customFormat="1" ht="42.75" x14ac:dyDescent="0.25">
      <c r="A29" s="611">
        <f t="shared" si="2"/>
        <v>20</v>
      </c>
      <c r="B29" s="610" t="s">
        <v>162</v>
      </c>
      <c r="C29" s="608" t="s">
        <v>163</v>
      </c>
      <c r="D29" s="609">
        <f>+'POAI SEPTIEMBRE'!AK109</f>
        <v>827033704</v>
      </c>
    </row>
    <row r="30" spans="1:4" s="369" customFormat="1" ht="42.75" x14ac:dyDescent="0.25">
      <c r="A30" s="611">
        <f t="shared" si="2"/>
        <v>21</v>
      </c>
      <c r="B30" s="610" t="s">
        <v>166</v>
      </c>
      <c r="C30" s="608" t="s">
        <v>167</v>
      </c>
      <c r="D30" s="609">
        <f>+'POAI SEPTIEMBRE'!AK110</f>
        <v>80000000</v>
      </c>
    </row>
    <row r="31" spans="1:4" s="369" customFormat="1" ht="42.75" x14ac:dyDescent="0.25">
      <c r="A31" s="611">
        <f t="shared" si="2"/>
        <v>22</v>
      </c>
      <c r="B31" s="610" t="s">
        <v>169</v>
      </c>
      <c r="C31" s="608" t="s">
        <v>170</v>
      </c>
      <c r="D31" s="609">
        <f>+'POAI SEPTIEMBRE'!AK111</f>
        <v>312000000</v>
      </c>
    </row>
    <row r="32" spans="1:4" s="369" customFormat="1" ht="42.75" x14ac:dyDescent="0.25">
      <c r="A32" s="611">
        <f t="shared" si="2"/>
        <v>23</v>
      </c>
      <c r="B32" s="610" t="s">
        <v>172</v>
      </c>
      <c r="C32" s="608" t="s">
        <v>173</v>
      </c>
      <c r="D32" s="609">
        <f>+'POAI SEPTIEMBRE'!AK112</f>
        <v>1050000000</v>
      </c>
    </row>
    <row r="33" spans="1:4" s="369" customFormat="1" ht="42.75" x14ac:dyDescent="0.25">
      <c r="A33" s="611">
        <f t="shared" si="2"/>
        <v>24</v>
      </c>
      <c r="B33" s="610" t="s">
        <v>175</v>
      </c>
      <c r="C33" s="608" t="s">
        <v>176</v>
      </c>
      <c r="D33" s="609">
        <f>+'POAI SEPTIEMBRE'!AK113</f>
        <v>300000000</v>
      </c>
    </row>
    <row r="34" spans="1:4" ht="60" x14ac:dyDescent="0.25">
      <c r="A34" s="611">
        <f t="shared" si="2"/>
        <v>25</v>
      </c>
      <c r="B34" s="612" t="s">
        <v>181</v>
      </c>
      <c r="C34" s="53" t="s">
        <v>182</v>
      </c>
      <c r="D34" s="613">
        <f>+'POAI SEPTIEMBRE'!AK121</f>
        <v>500000000</v>
      </c>
    </row>
    <row r="35" spans="1:4" s="615" customFormat="1" ht="28.5" x14ac:dyDescent="0.25">
      <c r="A35" s="611">
        <f t="shared" si="2"/>
        <v>26</v>
      </c>
      <c r="B35" s="612" t="s">
        <v>1029</v>
      </c>
      <c r="C35" s="614" t="s">
        <v>1030</v>
      </c>
      <c r="D35" s="607">
        <f>+'POAI SEPTIEMBRE'!AK100</f>
        <v>1223780635</v>
      </c>
    </row>
    <row r="36" spans="1:4" s="369" customFormat="1" ht="27" customHeight="1" x14ac:dyDescent="0.25">
      <c r="A36" s="611"/>
      <c r="B36" s="857" t="s">
        <v>1031</v>
      </c>
      <c r="C36" s="858"/>
      <c r="D36" s="713">
        <f>SUM(D37:D46)</f>
        <v>9334516954.3800011</v>
      </c>
    </row>
    <row r="37" spans="1:4" s="369" customFormat="1" ht="28.5" customHeight="1" x14ac:dyDescent="0.25">
      <c r="A37" s="611">
        <f>A35+1</f>
        <v>27</v>
      </c>
      <c r="B37" s="610" t="s">
        <v>191</v>
      </c>
      <c r="C37" s="608" t="s">
        <v>192</v>
      </c>
      <c r="D37" s="609">
        <f>+SUM('POAI SEPTIEMBRE'!AK131:AK135)</f>
        <v>5906394524.3800001</v>
      </c>
    </row>
    <row r="38" spans="1:4" s="369" customFormat="1" ht="28.5" customHeight="1" x14ac:dyDescent="0.25">
      <c r="A38" s="611">
        <f>A37+1</f>
        <v>28</v>
      </c>
      <c r="B38" s="604" t="s">
        <v>202</v>
      </c>
      <c r="C38" s="625" t="s">
        <v>203</v>
      </c>
      <c r="D38" s="609">
        <f>+SUM('POAI SEPTIEMBRE'!AK139:AK142)</f>
        <v>1398561488</v>
      </c>
    </row>
    <row r="39" spans="1:4" s="369" customFormat="1" ht="28.5" customHeight="1" x14ac:dyDescent="0.25">
      <c r="A39" s="611">
        <f t="shared" ref="A39:A46" si="3">A38+1</f>
        <v>29</v>
      </c>
      <c r="B39" s="604" t="s">
        <v>214</v>
      </c>
      <c r="C39" s="608" t="s">
        <v>215</v>
      </c>
      <c r="D39" s="609">
        <f>+SUM('POAI SEPTIEMBRE'!AK148:AK152)</f>
        <v>499000000</v>
      </c>
    </row>
    <row r="40" spans="1:4" s="369" customFormat="1" ht="42.75" customHeight="1" x14ac:dyDescent="0.25">
      <c r="A40" s="611">
        <f t="shared" si="3"/>
        <v>30</v>
      </c>
      <c r="B40" s="604" t="s">
        <v>222</v>
      </c>
      <c r="C40" s="608" t="s">
        <v>223</v>
      </c>
      <c r="D40" s="609">
        <f>+SUM('POAI SEPTIEMBRE'!AK156:AK158)</f>
        <v>52000000</v>
      </c>
    </row>
    <row r="41" spans="1:4" s="369" customFormat="1" ht="28.5" x14ac:dyDescent="0.25">
      <c r="A41" s="611">
        <f t="shared" si="3"/>
        <v>31</v>
      </c>
      <c r="B41" s="610" t="s">
        <v>228</v>
      </c>
      <c r="C41" s="608" t="s">
        <v>229</v>
      </c>
      <c r="D41" s="609">
        <f>+SUM('POAI SEPTIEMBRE'!AK162:AK163)</f>
        <v>63000000</v>
      </c>
    </row>
    <row r="42" spans="1:4" s="369" customFormat="1" ht="28.5" customHeight="1" x14ac:dyDescent="0.25">
      <c r="A42" s="611">
        <f t="shared" si="3"/>
        <v>32</v>
      </c>
      <c r="B42" s="610" t="s">
        <v>235</v>
      </c>
      <c r="C42" s="608" t="s">
        <v>236</v>
      </c>
      <c r="D42" s="609">
        <f>+SUM('POAI SEPTIEMBRE'!AK169:AK173)</f>
        <v>620081242</v>
      </c>
    </row>
    <row r="43" spans="1:4" s="369" customFormat="1" ht="33" customHeight="1" x14ac:dyDescent="0.25">
      <c r="A43" s="611">
        <f t="shared" si="3"/>
        <v>33</v>
      </c>
      <c r="B43" s="610" t="s">
        <v>243</v>
      </c>
      <c r="C43" s="608" t="s">
        <v>244</v>
      </c>
      <c r="D43" s="609">
        <f>+SUM('POAI SEPTIEMBRE'!AK177:AK178)</f>
        <v>112479700</v>
      </c>
    </row>
    <row r="44" spans="1:4" s="369" customFormat="1" ht="36" customHeight="1" x14ac:dyDescent="0.25">
      <c r="A44" s="611">
        <f t="shared" si="3"/>
        <v>34</v>
      </c>
      <c r="B44" s="610" t="s">
        <v>252</v>
      </c>
      <c r="C44" s="608" t="s">
        <v>253</v>
      </c>
      <c r="D44" s="609">
        <f>+SUM('POAI SEPTIEMBRE'!AK192:AK196)</f>
        <v>463000000</v>
      </c>
    </row>
    <row r="45" spans="1:4" s="369" customFormat="1" ht="48" customHeight="1" x14ac:dyDescent="0.25">
      <c r="A45" s="611">
        <f t="shared" si="3"/>
        <v>35</v>
      </c>
      <c r="B45" s="610" t="s">
        <v>261</v>
      </c>
      <c r="C45" s="608" t="s">
        <v>262</v>
      </c>
      <c r="D45" s="616">
        <f>+'POAI SEPTIEMBRE'!AK200</f>
        <v>170000000</v>
      </c>
    </row>
    <row r="46" spans="1:4" s="369" customFormat="1" ht="28.5" x14ac:dyDescent="0.25">
      <c r="A46" s="611">
        <f t="shared" si="3"/>
        <v>36</v>
      </c>
      <c r="B46" s="604" t="s">
        <v>248</v>
      </c>
      <c r="C46" s="608" t="s">
        <v>249</v>
      </c>
      <c r="D46" s="617">
        <f>+'POAI SEPTIEMBRE'!AK186</f>
        <v>50000000</v>
      </c>
    </row>
    <row r="47" spans="1:4" s="369" customFormat="1" ht="29.25" customHeight="1" x14ac:dyDescent="0.25">
      <c r="A47" s="611"/>
      <c r="B47" s="714" t="s">
        <v>1032</v>
      </c>
      <c r="C47" s="715"/>
      <c r="D47" s="716">
        <f>SUM(D48:D53)</f>
        <v>5562765176</v>
      </c>
    </row>
    <row r="48" spans="1:4" s="369" customFormat="1" ht="44.25" customHeight="1" x14ac:dyDescent="0.25">
      <c r="A48" s="611">
        <f>A46+1</f>
        <v>37</v>
      </c>
      <c r="B48" s="604" t="s">
        <v>273</v>
      </c>
      <c r="C48" s="608" t="s">
        <v>274</v>
      </c>
      <c r="D48" s="609">
        <f>+'POAI SEPTIEMBRE'!AK210</f>
        <v>1060557735</v>
      </c>
    </row>
    <row r="49" spans="1:4" s="369" customFormat="1" ht="39" customHeight="1" x14ac:dyDescent="0.25">
      <c r="A49" s="611">
        <f>A48+1</f>
        <v>38</v>
      </c>
      <c r="B49" s="618" t="s">
        <v>278</v>
      </c>
      <c r="C49" s="619" t="s">
        <v>279</v>
      </c>
      <c r="D49" s="626">
        <f>+SUM('POAI SEPTIEMBRE'!AK211:AK213)</f>
        <v>3183175347</v>
      </c>
    </row>
    <row r="50" spans="1:4" s="369" customFormat="1" ht="38.25" customHeight="1" x14ac:dyDescent="0.25">
      <c r="A50" s="611">
        <f t="shared" ref="A50:A53" si="4">A49+1</f>
        <v>39</v>
      </c>
      <c r="B50" s="604" t="s">
        <v>288</v>
      </c>
      <c r="C50" s="608" t="s">
        <v>289</v>
      </c>
      <c r="D50" s="609">
        <f>+'POAI SEPTIEMBRE'!AK217</f>
        <v>80000000</v>
      </c>
    </row>
    <row r="51" spans="1:4" s="369" customFormat="1" ht="48.75" customHeight="1" x14ac:dyDescent="0.25">
      <c r="A51" s="611">
        <f t="shared" si="4"/>
        <v>40</v>
      </c>
      <c r="B51" s="604" t="s">
        <v>296</v>
      </c>
      <c r="C51" s="608" t="s">
        <v>297</v>
      </c>
      <c r="D51" s="609">
        <f>+'POAI SEPTIEMBRE'!AK221</f>
        <v>170030733</v>
      </c>
    </row>
    <row r="52" spans="1:4" s="369" customFormat="1" ht="40.5" customHeight="1" x14ac:dyDescent="0.25">
      <c r="A52" s="611">
        <f t="shared" si="4"/>
        <v>41</v>
      </c>
      <c r="B52" s="604" t="s">
        <v>305</v>
      </c>
      <c r="C52" s="608" t="s">
        <v>306</v>
      </c>
      <c r="D52" s="609">
        <f>+'POAI SEPTIEMBRE'!AK227</f>
        <v>519001361</v>
      </c>
    </row>
    <row r="53" spans="1:4" s="369" customFormat="1" ht="32.25" customHeight="1" x14ac:dyDescent="0.25">
      <c r="A53" s="611">
        <f t="shared" si="4"/>
        <v>42</v>
      </c>
      <c r="B53" s="604" t="s">
        <v>313</v>
      </c>
      <c r="C53" s="608" t="s">
        <v>1033</v>
      </c>
      <c r="D53" s="609">
        <f>+SUM('POAI SEPTIEMBRE'!AK231:AK232)</f>
        <v>550000000</v>
      </c>
    </row>
    <row r="54" spans="1:4" s="369" customFormat="1" ht="33.75" customHeight="1" x14ac:dyDescent="0.25">
      <c r="A54" s="611"/>
      <c r="B54" s="714" t="s">
        <v>1034</v>
      </c>
      <c r="C54" s="715"/>
      <c r="D54" s="713">
        <f>SUM(D55:D61)</f>
        <v>2381713698</v>
      </c>
    </row>
    <row r="55" spans="1:4" s="369" customFormat="1" ht="28.5" x14ac:dyDescent="0.25">
      <c r="A55" s="611">
        <f>A53+1</f>
        <v>43</v>
      </c>
      <c r="B55" s="604" t="s">
        <v>322</v>
      </c>
      <c r="C55" s="608" t="s">
        <v>323</v>
      </c>
      <c r="D55" s="609">
        <f>+SUM('POAI SEPTIEMBRE'!AK242:AK243)</f>
        <v>110000000</v>
      </c>
    </row>
    <row r="56" spans="1:4" s="369" customFormat="1" ht="42.75" x14ac:dyDescent="0.25">
      <c r="A56" s="611">
        <f>A55+1</f>
        <v>44</v>
      </c>
      <c r="B56" s="604" t="s">
        <v>329</v>
      </c>
      <c r="C56" s="608" t="s">
        <v>330</v>
      </c>
      <c r="D56" s="609">
        <f>+SUM('POAI SEPTIEMBRE'!AK244:AK246)</f>
        <v>183000000</v>
      </c>
    </row>
    <row r="57" spans="1:4" s="369" customFormat="1" ht="33.75" customHeight="1" x14ac:dyDescent="0.25">
      <c r="A57" s="611">
        <f t="shared" ref="A57:A61" si="5">A56+1</f>
        <v>45</v>
      </c>
      <c r="B57" s="604" t="s">
        <v>335</v>
      </c>
      <c r="C57" s="608" t="s">
        <v>336</v>
      </c>
      <c r="D57" s="609">
        <f>+SUM('POAI SEPTIEMBRE'!AK250:AK253)</f>
        <v>357520000</v>
      </c>
    </row>
    <row r="58" spans="1:4" s="369" customFormat="1" ht="31.5" customHeight="1" x14ac:dyDescent="0.25">
      <c r="A58" s="611">
        <f t="shared" si="5"/>
        <v>46</v>
      </c>
      <c r="B58" s="604" t="s">
        <v>348</v>
      </c>
      <c r="C58" s="608" t="s">
        <v>349</v>
      </c>
      <c r="D58" s="609">
        <f>+SUM('POAI SEPTIEMBRE'!AK257:AK259)</f>
        <v>335840000</v>
      </c>
    </row>
    <row r="59" spans="1:4" s="369" customFormat="1" ht="44.25" customHeight="1" x14ac:dyDescent="0.25">
      <c r="A59" s="611">
        <f t="shared" si="5"/>
        <v>47</v>
      </c>
      <c r="B59" s="618" t="s">
        <v>360</v>
      </c>
      <c r="C59" s="619" t="s">
        <v>361</v>
      </c>
      <c r="D59" s="626">
        <f>+SUM('POAI SEPTIEMBRE'!AK265:AK266)</f>
        <v>150000000</v>
      </c>
    </row>
    <row r="60" spans="1:4" s="369" customFormat="1" ht="28.5" x14ac:dyDescent="0.25">
      <c r="A60" s="611">
        <f t="shared" si="5"/>
        <v>48</v>
      </c>
      <c r="B60" s="604" t="s">
        <v>365</v>
      </c>
      <c r="C60" s="608" t="s">
        <v>366</v>
      </c>
      <c r="D60" s="609">
        <f>+'POAI SEPTIEMBRE'!AK270</f>
        <v>256640000</v>
      </c>
    </row>
    <row r="61" spans="1:4" s="369" customFormat="1" ht="28.5" x14ac:dyDescent="0.25">
      <c r="A61" s="611">
        <f t="shared" si="5"/>
        <v>49</v>
      </c>
      <c r="B61" s="604" t="s">
        <v>369</v>
      </c>
      <c r="C61" s="608" t="s">
        <v>370</v>
      </c>
      <c r="D61" s="609">
        <f>+'POAI SEPTIEMBRE'!AK274</f>
        <v>988713698</v>
      </c>
    </row>
    <row r="62" spans="1:4" s="369" customFormat="1" ht="32.25" customHeight="1" x14ac:dyDescent="0.25">
      <c r="A62" s="611"/>
      <c r="B62" s="714" t="s">
        <v>1035</v>
      </c>
      <c r="C62" s="715"/>
      <c r="D62" s="713">
        <f>SUM(D63:D73)</f>
        <v>2927762444</v>
      </c>
    </row>
    <row r="63" spans="1:4" s="369" customFormat="1" ht="28.5" customHeight="1" x14ac:dyDescent="0.25">
      <c r="A63" s="611">
        <f>A61+1</f>
        <v>50</v>
      </c>
      <c r="B63" s="604" t="s">
        <v>376</v>
      </c>
      <c r="C63" s="608" t="s">
        <v>377</v>
      </c>
      <c r="D63" s="609">
        <f>+SUM('POAI SEPTIEMBRE'!AK284:AK289)</f>
        <v>85000000</v>
      </c>
    </row>
    <row r="64" spans="1:4" s="369" customFormat="1" ht="34.5" customHeight="1" x14ac:dyDescent="0.25">
      <c r="A64" s="611">
        <f>A63+1</f>
        <v>51</v>
      </c>
      <c r="B64" s="604" t="s">
        <v>389</v>
      </c>
      <c r="C64" s="608" t="s">
        <v>390</v>
      </c>
      <c r="D64" s="609">
        <f>+SUM('POAI SEPTIEMBRE'!AK293:AK294)</f>
        <v>200000000</v>
      </c>
    </row>
    <row r="65" spans="1:4" s="369" customFormat="1" ht="28.5" x14ac:dyDescent="0.25">
      <c r="A65" s="611">
        <f t="shared" ref="A65:A73" si="6">A64+1</f>
        <v>52</v>
      </c>
      <c r="B65" s="604" t="s">
        <v>398</v>
      </c>
      <c r="C65" s="608" t="s">
        <v>399</v>
      </c>
      <c r="D65" s="609">
        <f>+'POAI SEPTIEMBRE'!AK298</f>
        <v>1122162444</v>
      </c>
    </row>
    <row r="66" spans="1:4" s="369" customFormat="1" ht="28.5" x14ac:dyDescent="0.25">
      <c r="A66" s="611">
        <f t="shared" si="6"/>
        <v>53</v>
      </c>
      <c r="B66" s="618" t="s">
        <v>401</v>
      </c>
      <c r="C66" s="608" t="s">
        <v>402</v>
      </c>
      <c r="D66" s="609">
        <f>+SUM('POAI SEPTIEMBRE'!AK299:AK303)</f>
        <v>208600000</v>
      </c>
    </row>
    <row r="67" spans="1:4" s="369" customFormat="1" ht="28.5" x14ac:dyDescent="0.25">
      <c r="A67" s="611">
        <f t="shared" si="6"/>
        <v>54</v>
      </c>
      <c r="B67" s="618" t="s">
        <v>414</v>
      </c>
      <c r="C67" s="633" t="s">
        <v>415</v>
      </c>
      <c r="D67" s="626">
        <f>+SUM('POAI SEPTIEMBRE'!AK311:AK314)</f>
        <v>330000000</v>
      </c>
    </row>
    <row r="68" spans="1:4" s="369" customFormat="1" ht="28.5" customHeight="1" x14ac:dyDescent="0.25">
      <c r="A68" s="611">
        <f t="shared" si="6"/>
        <v>55</v>
      </c>
      <c r="B68" s="604" t="s">
        <v>434</v>
      </c>
      <c r="C68" s="608" t="s">
        <v>435</v>
      </c>
      <c r="D68" s="609">
        <f>+SUM('POAI SEPTIEMBRE'!AK327:AK330)</f>
        <v>380000000</v>
      </c>
    </row>
    <row r="69" spans="1:4" s="369" customFormat="1" ht="42.75" x14ac:dyDescent="0.25">
      <c r="A69" s="611">
        <f t="shared" si="6"/>
        <v>56</v>
      </c>
      <c r="B69" s="604" t="s">
        <v>443</v>
      </c>
      <c r="C69" s="608" t="s">
        <v>444</v>
      </c>
      <c r="D69" s="609">
        <f>+SUM('POAI SEPTIEMBRE'!AK334:AK336)</f>
        <v>125000000</v>
      </c>
    </row>
    <row r="70" spans="1:4" s="369" customFormat="1" ht="42.75" customHeight="1" x14ac:dyDescent="0.25">
      <c r="A70" s="611">
        <f t="shared" si="6"/>
        <v>57</v>
      </c>
      <c r="B70" s="604" t="s">
        <v>454</v>
      </c>
      <c r="C70" s="608" t="s">
        <v>455</v>
      </c>
      <c r="D70" s="609">
        <f>+SUM('POAI SEPTIEMBRE'!AK344:AK348)</f>
        <v>200000000</v>
      </c>
    </row>
    <row r="71" spans="1:4" s="369" customFormat="1" ht="42.75" x14ac:dyDescent="0.25">
      <c r="A71" s="611">
        <f t="shared" si="6"/>
        <v>58</v>
      </c>
      <c r="B71" s="604" t="s">
        <v>429</v>
      </c>
      <c r="C71" s="608" t="s">
        <v>430</v>
      </c>
      <c r="D71" s="609">
        <f>+'POAI SEPTIEMBRE'!AK323</f>
        <v>64000000</v>
      </c>
    </row>
    <row r="72" spans="1:4" s="369" customFormat="1" ht="34.5" customHeight="1" x14ac:dyDescent="0.25">
      <c r="A72" s="611">
        <f t="shared" si="6"/>
        <v>59</v>
      </c>
      <c r="B72" s="604" t="s">
        <v>421</v>
      </c>
      <c r="C72" s="608" t="s">
        <v>1036</v>
      </c>
      <c r="D72" s="609">
        <f>+SUM('POAI SEPTIEMBRE'!AK318:AK321)</f>
        <v>199000000</v>
      </c>
    </row>
    <row r="73" spans="1:4" s="369" customFormat="1" ht="28.5" x14ac:dyDescent="0.25">
      <c r="A73" s="611">
        <f t="shared" si="6"/>
        <v>60</v>
      </c>
      <c r="B73" s="620" t="s">
        <v>426</v>
      </c>
      <c r="C73" s="608" t="s">
        <v>427</v>
      </c>
      <c r="D73" s="609">
        <f>+'POAI SEPTIEMBRE'!AK322</f>
        <v>14000000</v>
      </c>
    </row>
    <row r="74" spans="1:4" s="369" customFormat="1" ht="21.75" customHeight="1" x14ac:dyDescent="0.25">
      <c r="A74" s="611"/>
      <c r="B74" s="717" t="s">
        <v>1016</v>
      </c>
      <c r="C74" s="718"/>
      <c r="D74" s="713">
        <f>SUM(D75:D77)</f>
        <v>1504000000</v>
      </c>
    </row>
    <row r="75" spans="1:4" s="369" customFormat="1" ht="42.75" x14ac:dyDescent="0.25">
      <c r="A75" s="611">
        <f>A73+1</f>
        <v>61</v>
      </c>
      <c r="B75" s="604" t="s">
        <v>472</v>
      </c>
      <c r="C75" s="608" t="s">
        <v>473</v>
      </c>
      <c r="D75" s="609">
        <f>+'POAI SEPTIEMBRE'!AK365</f>
        <v>817000000</v>
      </c>
    </row>
    <row r="76" spans="1:4" s="369" customFormat="1" ht="42.75" x14ac:dyDescent="0.25">
      <c r="A76" s="611">
        <f>A75+1</f>
        <v>62</v>
      </c>
      <c r="B76" s="604" t="s">
        <v>465</v>
      </c>
      <c r="C76" s="608" t="s">
        <v>466</v>
      </c>
      <c r="D76" s="609">
        <f>+'POAI SEPTIEMBRE'!AK358</f>
        <v>627000000</v>
      </c>
    </row>
    <row r="77" spans="1:4" s="369" customFormat="1" ht="28.5" x14ac:dyDescent="0.25">
      <c r="A77" s="611">
        <f>A76+1</f>
        <v>63</v>
      </c>
      <c r="B77" s="604" t="s">
        <v>469</v>
      </c>
      <c r="C77" s="608" t="s">
        <v>470</v>
      </c>
      <c r="D77" s="609">
        <f>+'POAI SEPTIEMBRE'!AK359</f>
        <v>60000000</v>
      </c>
    </row>
    <row r="78" spans="1:4" s="369" customFormat="1" ht="21" customHeight="1" x14ac:dyDescent="0.25">
      <c r="A78" s="611"/>
      <c r="B78" s="714" t="s">
        <v>1037</v>
      </c>
      <c r="C78" s="715"/>
      <c r="D78" s="713">
        <f>SUM(D79:D93)</f>
        <v>191833025356</v>
      </c>
    </row>
    <row r="79" spans="1:4" s="369" customFormat="1" ht="44.25" customHeight="1" x14ac:dyDescent="0.25">
      <c r="A79" s="611">
        <f>A77+1</f>
        <v>64</v>
      </c>
      <c r="B79" s="604" t="s">
        <v>480</v>
      </c>
      <c r="C79" s="608" t="s">
        <v>481</v>
      </c>
      <c r="D79" s="609">
        <f>+SUM('POAI SEPTIEMBRE'!AK375:AK377)</f>
        <v>16396567383</v>
      </c>
    </row>
    <row r="80" spans="1:4" s="369" customFormat="1" ht="42.75" x14ac:dyDescent="0.25">
      <c r="A80" s="611">
        <f>A79+1</f>
        <v>65</v>
      </c>
      <c r="B80" s="604" t="s">
        <v>490</v>
      </c>
      <c r="C80" s="608" t="s">
        <v>491</v>
      </c>
      <c r="D80" s="609">
        <f>+SUM('POAI SEPTIEMBRE'!AK381:AK386)</f>
        <v>1432631487</v>
      </c>
    </row>
    <row r="81" spans="1:4" s="369" customFormat="1" ht="28.5" x14ac:dyDescent="0.25">
      <c r="A81" s="611">
        <f t="shared" ref="A81:A93" si="7">A80+1</f>
        <v>66</v>
      </c>
      <c r="B81" s="604" t="s">
        <v>506</v>
      </c>
      <c r="C81" s="608" t="s">
        <v>507</v>
      </c>
      <c r="D81" s="609">
        <f>+'POAI SEPTIEMBRE'!AK390</f>
        <v>151388467265</v>
      </c>
    </row>
    <row r="82" spans="1:4" s="369" customFormat="1" ht="58.5" customHeight="1" x14ac:dyDescent="0.25">
      <c r="A82" s="611">
        <f t="shared" si="7"/>
        <v>67</v>
      </c>
      <c r="B82" s="604" t="s">
        <v>511</v>
      </c>
      <c r="C82" s="608" t="s">
        <v>1038</v>
      </c>
      <c r="D82" s="609">
        <f>+SUM('POAI SEPTIEMBRE'!AK396:AK403)</f>
        <v>248165345</v>
      </c>
    </row>
    <row r="83" spans="1:4" s="369" customFormat="1" ht="57" x14ac:dyDescent="0.25">
      <c r="A83" s="611">
        <f t="shared" si="7"/>
        <v>68</v>
      </c>
      <c r="B83" s="604" t="s">
        <v>523</v>
      </c>
      <c r="C83" s="608" t="s">
        <v>524</v>
      </c>
      <c r="D83" s="609">
        <f>+SUM('POAI SEPTIEMBRE'!AK407:AK416)</f>
        <v>333496502</v>
      </c>
    </row>
    <row r="84" spans="1:4" s="369" customFormat="1" ht="42.75" customHeight="1" x14ac:dyDescent="0.25">
      <c r="A84" s="611">
        <f t="shared" si="7"/>
        <v>69</v>
      </c>
      <c r="B84" s="604" t="s">
        <v>537</v>
      </c>
      <c r="C84" s="608" t="s">
        <v>538</v>
      </c>
      <c r="D84" s="609">
        <f>+SUM('POAI SEPTIEMBRE'!AK420:AK423)</f>
        <v>393870022</v>
      </c>
    </row>
    <row r="85" spans="1:4" s="369" customFormat="1" ht="42.75" x14ac:dyDescent="0.25">
      <c r="A85" s="611">
        <f t="shared" si="7"/>
        <v>70</v>
      </c>
      <c r="B85" s="604" t="s">
        <v>546</v>
      </c>
      <c r="C85" s="608" t="s">
        <v>547</v>
      </c>
      <c r="D85" s="609">
        <f>+'POAI SEPTIEMBRE'!AK427</f>
        <v>10000000</v>
      </c>
    </row>
    <row r="86" spans="1:4" s="369" customFormat="1" ht="57" x14ac:dyDescent="0.25">
      <c r="A86" s="611">
        <f t="shared" si="7"/>
        <v>71</v>
      </c>
      <c r="B86" s="604" t="s">
        <v>551</v>
      </c>
      <c r="C86" s="608" t="s">
        <v>552</v>
      </c>
      <c r="D86" s="609">
        <f>+SUM('POAI SEPTIEMBRE'!AK433:AK437)</f>
        <v>44075000</v>
      </c>
    </row>
    <row r="87" spans="1:4" s="369" customFormat="1" ht="42.75" x14ac:dyDescent="0.25">
      <c r="A87" s="611">
        <f t="shared" si="7"/>
        <v>72</v>
      </c>
      <c r="B87" s="604" t="s">
        <v>560</v>
      </c>
      <c r="C87" s="608" t="s">
        <v>561</v>
      </c>
      <c r="D87" s="609">
        <f>+SUM('POAI SEPTIEMBRE'!AK441:AK444)</f>
        <v>396000000</v>
      </c>
    </row>
    <row r="88" spans="1:4" s="369" customFormat="1" ht="28.5" x14ac:dyDescent="0.25">
      <c r="A88" s="611">
        <f t="shared" si="7"/>
        <v>73</v>
      </c>
      <c r="B88" s="604" t="s">
        <v>579</v>
      </c>
      <c r="C88" s="608" t="s">
        <v>580</v>
      </c>
      <c r="D88" s="609">
        <f>+SUM('POAI SEPTIEMBRE'!AK451:AK452)</f>
        <v>57000000</v>
      </c>
    </row>
    <row r="89" spans="1:4" s="369" customFormat="1" ht="28.5" x14ac:dyDescent="0.25">
      <c r="A89" s="611">
        <f t="shared" si="7"/>
        <v>74</v>
      </c>
      <c r="B89" s="604" t="s">
        <v>588</v>
      </c>
      <c r="C89" s="608" t="s">
        <v>589</v>
      </c>
      <c r="D89" s="609">
        <f>+'POAI SEPTIEMBRE'!AK456</f>
        <v>758000000</v>
      </c>
    </row>
    <row r="90" spans="1:4" s="369" customFormat="1" ht="38.25" customHeight="1" x14ac:dyDescent="0.25">
      <c r="A90" s="611">
        <f t="shared" si="7"/>
        <v>75</v>
      </c>
      <c r="B90" s="604" t="s">
        <v>593</v>
      </c>
      <c r="C90" s="608" t="s">
        <v>594</v>
      </c>
      <c r="D90" s="609">
        <f>+'POAI SEPTIEMBRE'!AK460</f>
        <v>19227000000</v>
      </c>
    </row>
    <row r="91" spans="1:4" s="369" customFormat="1" ht="42.75" customHeight="1" x14ac:dyDescent="0.25">
      <c r="A91" s="611">
        <f t="shared" si="7"/>
        <v>76</v>
      </c>
      <c r="B91" s="604" t="s">
        <v>597</v>
      </c>
      <c r="C91" s="608" t="s">
        <v>598</v>
      </c>
      <c r="D91" s="609">
        <f>+SUM('POAI SEPTIEMBRE'!AK464:AK465)</f>
        <v>29000000</v>
      </c>
    </row>
    <row r="92" spans="1:4" s="369" customFormat="1" ht="28.5" x14ac:dyDescent="0.25">
      <c r="A92" s="611">
        <f t="shared" si="7"/>
        <v>77</v>
      </c>
      <c r="B92" s="604" t="s">
        <v>607</v>
      </c>
      <c r="C92" s="608" t="s">
        <v>608</v>
      </c>
      <c r="D92" s="609">
        <f>+'POAI SEPTIEMBRE'!AK471</f>
        <v>29000000</v>
      </c>
    </row>
    <row r="93" spans="1:4" s="615" customFormat="1" ht="42.75" x14ac:dyDescent="0.25">
      <c r="A93" s="611">
        <f t="shared" si="7"/>
        <v>78</v>
      </c>
      <c r="B93" s="612" t="s">
        <v>571</v>
      </c>
      <c r="C93" s="614" t="s">
        <v>572</v>
      </c>
      <c r="D93" s="607">
        <f>+'POAI SEPTIEMBRE'!AK445</f>
        <v>1089752352</v>
      </c>
    </row>
    <row r="94" spans="1:4" s="369" customFormat="1" ht="24" customHeight="1" x14ac:dyDescent="0.25">
      <c r="A94" s="611"/>
      <c r="B94" s="714" t="s">
        <v>1039</v>
      </c>
      <c r="C94" s="715"/>
      <c r="D94" s="713">
        <f>SUM(D95:D107)</f>
        <v>6696430678</v>
      </c>
    </row>
    <row r="95" spans="1:4" s="369" customFormat="1" ht="42.75" x14ac:dyDescent="0.25">
      <c r="A95" s="611">
        <f>A93+1</f>
        <v>79</v>
      </c>
      <c r="B95" s="604" t="s">
        <v>616</v>
      </c>
      <c r="C95" s="608" t="s">
        <v>617</v>
      </c>
      <c r="D95" s="609">
        <f>+SUM('POAI SEPTIEMBRE'!AK481:AK482)</f>
        <v>60000000</v>
      </c>
    </row>
    <row r="96" spans="1:4" s="369" customFormat="1" ht="28.5" x14ac:dyDescent="0.25">
      <c r="A96" s="611">
        <f>A95+1</f>
        <v>80</v>
      </c>
      <c r="B96" s="604" t="s">
        <v>625</v>
      </c>
      <c r="C96" s="608" t="s">
        <v>626</v>
      </c>
      <c r="D96" s="609">
        <f>+'POAI SEPTIEMBRE'!AK488</f>
        <v>180000000</v>
      </c>
    </row>
    <row r="97" spans="1:4" s="369" customFormat="1" ht="28.5" customHeight="1" x14ac:dyDescent="0.25">
      <c r="A97" s="611">
        <f t="shared" ref="A97:A107" si="8">A96+1</f>
        <v>81</v>
      </c>
      <c r="B97" s="604" t="s">
        <v>633</v>
      </c>
      <c r="C97" s="608" t="s">
        <v>634</v>
      </c>
      <c r="D97" s="609">
        <f>+SUM('POAI SEPTIEMBRE'!AK492:AK494)</f>
        <v>520000000</v>
      </c>
    </row>
    <row r="98" spans="1:4" s="369" customFormat="1" ht="28.5" customHeight="1" x14ac:dyDescent="0.25">
      <c r="A98" s="611">
        <f t="shared" si="8"/>
        <v>82</v>
      </c>
      <c r="B98" s="604" t="s">
        <v>642</v>
      </c>
      <c r="C98" s="608" t="s">
        <v>643</v>
      </c>
      <c r="D98" s="609">
        <f>+SUM('POAI SEPTIEMBRE'!AK498:AK500)</f>
        <v>101000000</v>
      </c>
    </row>
    <row r="99" spans="1:4" s="369" customFormat="1" ht="42.75" x14ac:dyDescent="0.25">
      <c r="A99" s="611">
        <f t="shared" si="8"/>
        <v>83</v>
      </c>
      <c r="B99" s="604" t="s">
        <v>653</v>
      </c>
      <c r="C99" s="608" t="s">
        <v>654</v>
      </c>
      <c r="D99" s="609">
        <f>+'POAI SEPTIEMBRE'!AK504</f>
        <v>190000000</v>
      </c>
    </row>
    <row r="100" spans="1:4" s="369" customFormat="1" ht="42.75" x14ac:dyDescent="0.25">
      <c r="A100" s="611">
        <f t="shared" si="8"/>
        <v>84</v>
      </c>
      <c r="B100" s="604" t="s">
        <v>658</v>
      </c>
      <c r="C100" s="608" t="s">
        <v>1040</v>
      </c>
      <c r="D100" s="609">
        <f>+'POAI SEPTIEMBRE'!AK510</f>
        <v>1185000000</v>
      </c>
    </row>
    <row r="101" spans="1:4" s="369" customFormat="1" ht="42.75" x14ac:dyDescent="0.25">
      <c r="A101" s="611">
        <f t="shared" si="8"/>
        <v>85</v>
      </c>
      <c r="B101" s="604" t="s">
        <v>661</v>
      </c>
      <c r="C101" s="608" t="s">
        <v>662</v>
      </c>
      <c r="D101" s="609">
        <f>+'POAI SEPTIEMBRE'!AK511</f>
        <v>80000000</v>
      </c>
    </row>
    <row r="102" spans="1:4" s="369" customFormat="1" ht="42.75" x14ac:dyDescent="0.25">
      <c r="A102" s="611">
        <f t="shared" si="8"/>
        <v>86</v>
      </c>
      <c r="B102" s="604" t="s">
        <v>665</v>
      </c>
      <c r="C102" s="608" t="s">
        <v>666</v>
      </c>
      <c r="D102" s="609">
        <f>+'POAI SEPTIEMBRE'!AK515</f>
        <v>30000000</v>
      </c>
    </row>
    <row r="103" spans="1:4" s="369" customFormat="1" ht="37.5" customHeight="1" x14ac:dyDescent="0.25">
      <c r="A103" s="611">
        <f t="shared" si="8"/>
        <v>87</v>
      </c>
      <c r="B103" s="604" t="s">
        <v>668</v>
      </c>
      <c r="C103" s="608" t="s">
        <v>669</v>
      </c>
      <c r="D103" s="609">
        <f>+'POAI SEPTIEMBRE'!AK516</f>
        <v>70000000</v>
      </c>
    </row>
    <row r="104" spans="1:4" s="369" customFormat="1" ht="41.25" customHeight="1" x14ac:dyDescent="0.25">
      <c r="A104" s="611">
        <f t="shared" si="8"/>
        <v>88</v>
      </c>
      <c r="B104" s="604" t="s">
        <v>673</v>
      </c>
      <c r="C104" s="608" t="s">
        <v>674</v>
      </c>
      <c r="D104" s="609">
        <f>+'POAI SEPTIEMBRE'!AK520</f>
        <v>90000000</v>
      </c>
    </row>
    <row r="105" spans="1:4" s="369" customFormat="1" ht="28.5" x14ac:dyDescent="0.25">
      <c r="A105" s="611">
        <f t="shared" si="8"/>
        <v>89</v>
      </c>
      <c r="B105" s="604" t="s">
        <v>681</v>
      </c>
      <c r="C105" s="608" t="s">
        <v>682</v>
      </c>
      <c r="D105" s="609">
        <f>+'POAI SEPTIEMBRE'!AK524</f>
        <v>56400000</v>
      </c>
    </row>
    <row r="106" spans="1:4" s="369" customFormat="1" ht="28.5" x14ac:dyDescent="0.25">
      <c r="A106" s="611">
        <f t="shared" si="8"/>
        <v>90</v>
      </c>
      <c r="B106" s="604" t="s">
        <v>687</v>
      </c>
      <c r="C106" s="608" t="s">
        <v>688</v>
      </c>
      <c r="D106" s="609">
        <f>+'POAI SEPTIEMBRE'!AK528</f>
        <v>102820000</v>
      </c>
    </row>
    <row r="107" spans="1:4" s="369" customFormat="1" ht="32.25" customHeight="1" x14ac:dyDescent="0.25">
      <c r="A107" s="611">
        <f t="shared" si="8"/>
        <v>91</v>
      </c>
      <c r="B107" s="604" t="s">
        <v>695</v>
      </c>
      <c r="C107" s="608" t="s">
        <v>696</v>
      </c>
      <c r="D107" s="609">
        <f>+SUM('POAI SEPTIEMBRE'!AK534:AK537)</f>
        <v>4031210678</v>
      </c>
    </row>
    <row r="108" spans="1:4" s="369" customFormat="1" ht="22.5" customHeight="1" x14ac:dyDescent="0.25">
      <c r="A108" s="611"/>
      <c r="B108" s="714" t="s">
        <v>1041</v>
      </c>
      <c r="C108" s="715"/>
      <c r="D108" s="713">
        <f>+D109</f>
        <v>72000000</v>
      </c>
    </row>
    <row r="109" spans="1:4" s="369" customFormat="1" ht="42.75" x14ac:dyDescent="0.25">
      <c r="A109" s="611">
        <f>A107+1</f>
        <v>92</v>
      </c>
      <c r="B109" s="604" t="s">
        <v>703</v>
      </c>
      <c r="C109" s="608" t="s">
        <v>704</v>
      </c>
      <c r="D109" s="609">
        <f>+'POAI SEPTIEMBRE'!AK547</f>
        <v>72000000</v>
      </c>
    </row>
    <row r="110" spans="1:4" s="369" customFormat="1" ht="22.5" customHeight="1" x14ac:dyDescent="0.25">
      <c r="A110" s="611"/>
      <c r="B110" s="714" t="s">
        <v>1042</v>
      </c>
      <c r="C110" s="715"/>
      <c r="D110" s="713">
        <f>SUM(D111:D133)</f>
        <v>53236633921</v>
      </c>
    </row>
    <row r="111" spans="1:4" s="369" customFormat="1" ht="28.5" x14ac:dyDescent="0.25">
      <c r="A111" s="611">
        <f>A109+1</f>
        <v>93</v>
      </c>
      <c r="B111" s="604" t="s">
        <v>709</v>
      </c>
      <c r="C111" s="608" t="s">
        <v>1043</v>
      </c>
      <c r="D111" s="609">
        <f>+SUM('POAI SEPTIEMBRE'!AK557:AK559)</f>
        <v>182282000</v>
      </c>
    </row>
    <row r="112" spans="1:4" s="369" customFormat="1" ht="21.75" customHeight="1" x14ac:dyDescent="0.25">
      <c r="A112" s="611">
        <f>A111+1</f>
        <v>94</v>
      </c>
      <c r="B112" s="604" t="s">
        <v>717</v>
      </c>
      <c r="C112" s="608" t="s">
        <v>718</v>
      </c>
      <c r="D112" s="609">
        <f>+SUM('POAI SEPTIEMBRE'!AK565:AK566)</f>
        <v>145000000</v>
      </c>
    </row>
    <row r="113" spans="1:4" s="369" customFormat="1" ht="42.75" customHeight="1" x14ac:dyDescent="0.25">
      <c r="A113" s="611">
        <f t="shared" ref="A113:A133" si="9">A112+1</f>
        <v>95</v>
      </c>
      <c r="B113" s="604" t="s">
        <v>724</v>
      </c>
      <c r="C113" s="608" t="s">
        <v>725</v>
      </c>
      <c r="D113" s="609">
        <f>+SUM('POAI SEPTIEMBRE'!AK570:AK573)</f>
        <v>165000000</v>
      </c>
    </row>
    <row r="114" spans="1:4" s="369" customFormat="1" ht="28.5" x14ac:dyDescent="0.25">
      <c r="A114" s="611">
        <f t="shared" si="9"/>
        <v>96</v>
      </c>
      <c r="B114" s="604" t="s">
        <v>733</v>
      </c>
      <c r="C114" s="608" t="s">
        <v>734</v>
      </c>
      <c r="D114" s="609">
        <f>+SUM('POAI SEPTIEMBRE'!AK577:AK579)</f>
        <v>148649900</v>
      </c>
    </row>
    <row r="115" spans="1:4" s="369" customFormat="1" ht="42.75" x14ac:dyDescent="0.25">
      <c r="A115" s="611">
        <f t="shared" si="9"/>
        <v>97</v>
      </c>
      <c r="B115" s="604" t="s">
        <v>740</v>
      </c>
      <c r="C115" s="608" t="s">
        <v>741</v>
      </c>
      <c r="D115" s="609">
        <f>+SUM('POAI SEPTIEMBRE'!AK583:AK585)</f>
        <v>165000000</v>
      </c>
    </row>
    <row r="116" spans="1:4" s="369" customFormat="1" ht="42.75" x14ac:dyDescent="0.25">
      <c r="A116" s="611">
        <f t="shared" si="9"/>
        <v>98</v>
      </c>
      <c r="B116" s="604" t="s">
        <v>751</v>
      </c>
      <c r="C116" s="608" t="s">
        <v>752</v>
      </c>
      <c r="D116" s="609">
        <f>+SUM('POAI SEPTIEMBRE'!AK589:AK590)</f>
        <v>142000000</v>
      </c>
    </row>
    <row r="117" spans="1:4" s="369" customFormat="1" ht="42.75" x14ac:dyDescent="0.25">
      <c r="A117" s="611">
        <f t="shared" si="9"/>
        <v>99</v>
      </c>
      <c r="B117" s="604" t="s">
        <v>759</v>
      </c>
      <c r="C117" s="608" t="s">
        <v>760</v>
      </c>
      <c r="D117" s="609">
        <f>+SUM('POAI SEPTIEMBRE'!AK591:AK592)</f>
        <v>723209934</v>
      </c>
    </row>
    <row r="118" spans="1:4" s="369" customFormat="1" ht="43.5" customHeight="1" x14ac:dyDescent="0.25">
      <c r="A118" s="611">
        <f t="shared" si="9"/>
        <v>100</v>
      </c>
      <c r="B118" s="604" t="s">
        <v>766</v>
      </c>
      <c r="C118" s="608" t="s">
        <v>767</v>
      </c>
      <c r="D118" s="609">
        <f>+SUM('POAI SEPTIEMBRE'!AK593)</f>
        <v>230374138</v>
      </c>
    </row>
    <row r="119" spans="1:4" s="369" customFormat="1" ht="42.75" x14ac:dyDescent="0.25">
      <c r="A119" s="611">
        <f t="shared" si="9"/>
        <v>101</v>
      </c>
      <c r="B119" s="604" t="s">
        <v>771</v>
      </c>
      <c r="C119" s="608" t="s">
        <v>772</v>
      </c>
      <c r="D119" s="609">
        <f>+SUM('POAI SEPTIEMBRE'!AK597:AK598)</f>
        <v>20000000</v>
      </c>
    </row>
    <row r="120" spans="1:4" s="369" customFormat="1" ht="28.5" x14ac:dyDescent="0.25">
      <c r="A120" s="611">
        <f t="shared" si="9"/>
        <v>102</v>
      </c>
      <c r="B120" s="604" t="s">
        <v>779</v>
      </c>
      <c r="C120" s="608" t="s">
        <v>780</v>
      </c>
      <c r="D120" s="609">
        <f>+SUM('POAI SEPTIEMBRE'!AK602:AK603)</f>
        <v>63000000</v>
      </c>
    </row>
    <row r="121" spans="1:4" s="369" customFormat="1" ht="28.5" x14ac:dyDescent="0.25">
      <c r="A121" s="611">
        <f t="shared" si="9"/>
        <v>103</v>
      </c>
      <c r="B121" s="604" t="s">
        <v>786</v>
      </c>
      <c r="C121" s="608" t="s">
        <v>787</v>
      </c>
      <c r="D121" s="609">
        <f>+SUM('POAI SEPTIEMBRE'!AK607:AK609)</f>
        <v>1518324003</v>
      </c>
    </row>
    <row r="122" spans="1:4" s="369" customFormat="1" ht="28.5" x14ac:dyDescent="0.25">
      <c r="A122" s="611">
        <f t="shared" si="9"/>
        <v>104</v>
      </c>
      <c r="B122" s="604" t="s">
        <v>793</v>
      </c>
      <c r="C122" s="608" t="s">
        <v>794</v>
      </c>
      <c r="D122" s="609">
        <f>+SUM('POAI SEPTIEMBRE'!AK613:AK616)</f>
        <v>273927352</v>
      </c>
    </row>
    <row r="123" spans="1:4" s="369" customFormat="1" ht="42.75" customHeight="1" x14ac:dyDescent="0.25">
      <c r="A123" s="611">
        <f t="shared" si="9"/>
        <v>105</v>
      </c>
      <c r="B123" s="604" t="s">
        <v>810</v>
      </c>
      <c r="C123" s="608" t="s">
        <v>811</v>
      </c>
      <c r="D123" s="609">
        <f>+SUM('POAI SEPTIEMBRE'!AK620:AK621)</f>
        <v>1284098541</v>
      </c>
    </row>
    <row r="124" spans="1:4" s="369" customFormat="1" ht="38.25" customHeight="1" x14ac:dyDescent="0.25">
      <c r="A124" s="611">
        <f t="shared" si="9"/>
        <v>106</v>
      </c>
      <c r="B124" s="604" t="s">
        <v>817</v>
      </c>
      <c r="C124" s="608" t="s">
        <v>818</v>
      </c>
      <c r="D124" s="609">
        <f>+'POAI SEPTIEMBRE'!AK625</f>
        <v>1010853359</v>
      </c>
    </row>
    <row r="125" spans="1:4" s="369" customFormat="1" ht="28.5" x14ac:dyDescent="0.25">
      <c r="A125" s="611">
        <f t="shared" si="9"/>
        <v>107</v>
      </c>
      <c r="B125" s="604" t="s">
        <v>823</v>
      </c>
      <c r="C125" s="608" t="s">
        <v>824</v>
      </c>
      <c r="D125" s="609">
        <f>+SUM('POAI SEPTIEMBRE'!AK626:AK627)</f>
        <v>459626843</v>
      </c>
    </row>
    <row r="126" spans="1:4" s="369" customFormat="1" ht="42.75" x14ac:dyDescent="0.25">
      <c r="A126" s="611">
        <f t="shared" si="9"/>
        <v>108</v>
      </c>
      <c r="B126" s="604" t="s">
        <v>830</v>
      </c>
      <c r="C126" s="608" t="s">
        <v>831</v>
      </c>
      <c r="D126" s="609">
        <f>+'POAI SEPTIEMBRE'!AK633+'POAI SEPTIEMBRE'!AK637+'POAI SEPTIEMBRE'!AK641</f>
        <v>22191813118</v>
      </c>
    </row>
    <row r="127" spans="1:4" s="369" customFormat="1" ht="42.75" x14ac:dyDescent="0.25">
      <c r="A127" s="611">
        <f t="shared" si="9"/>
        <v>109</v>
      </c>
      <c r="B127" s="604" t="s">
        <v>839</v>
      </c>
      <c r="C127" s="608" t="s">
        <v>840</v>
      </c>
      <c r="D127" s="609">
        <f>+SUM('POAI SEPTIEMBRE'!AK647:AK649)</f>
        <v>23424840038</v>
      </c>
    </row>
    <row r="128" spans="1:4" s="369" customFormat="1" ht="35.25" customHeight="1" x14ac:dyDescent="0.25">
      <c r="A128" s="611">
        <f t="shared" si="9"/>
        <v>110</v>
      </c>
      <c r="B128" s="604" t="s">
        <v>846</v>
      </c>
      <c r="C128" s="608" t="s">
        <v>847</v>
      </c>
      <c r="D128" s="609">
        <f>+'POAI SEPTIEMBRE'!AK653</f>
        <v>44149920</v>
      </c>
    </row>
    <row r="129" spans="1:4" s="369" customFormat="1" ht="21" customHeight="1" x14ac:dyDescent="0.25">
      <c r="A129" s="611">
        <f t="shared" si="9"/>
        <v>111</v>
      </c>
      <c r="B129" s="604" t="s">
        <v>851</v>
      </c>
      <c r="C129" s="608" t="s">
        <v>852</v>
      </c>
      <c r="D129" s="609">
        <f>+'POAI SEPTIEMBRE'!AK657+'POAI SEPTIEMBRE'!AK658</f>
        <v>138195556</v>
      </c>
    </row>
    <row r="130" spans="1:4" s="369" customFormat="1" ht="28.5" x14ac:dyDescent="0.25">
      <c r="A130" s="611">
        <f t="shared" si="9"/>
        <v>112</v>
      </c>
      <c r="B130" s="604" t="s">
        <v>855</v>
      </c>
      <c r="C130" s="608" t="s">
        <v>856</v>
      </c>
      <c r="D130" s="609">
        <f>+'POAI SEPTIEMBRE'!AK659</f>
        <v>465004444</v>
      </c>
    </row>
    <row r="131" spans="1:4" s="369" customFormat="1" ht="42.75" x14ac:dyDescent="0.25">
      <c r="A131" s="611">
        <f t="shared" si="9"/>
        <v>113</v>
      </c>
      <c r="B131" s="604" t="s">
        <v>859</v>
      </c>
      <c r="C131" s="608" t="s">
        <v>860</v>
      </c>
      <c r="D131" s="609">
        <f>+'POAI SEPTIEMBRE'!AK663+'POAI SEPTIEMBRE'!AK664</f>
        <v>35436120</v>
      </c>
    </row>
    <row r="132" spans="1:4" s="369" customFormat="1" ht="28.5" x14ac:dyDescent="0.25">
      <c r="A132" s="611">
        <f t="shared" si="9"/>
        <v>114</v>
      </c>
      <c r="B132" s="604" t="s">
        <v>864</v>
      </c>
      <c r="C132" s="608" t="s">
        <v>865</v>
      </c>
      <c r="D132" s="609">
        <f>+'POAI SEPTIEMBRE'!AK668+'POAI SEPTIEMBRE'!AK669</f>
        <v>248452415</v>
      </c>
    </row>
    <row r="133" spans="1:4" s="369" customFormat="1" ht="28.5" x14ac:dyDescent="0.25">
      <c r="A133" s="611">
        <f t="shared" si="9"/>
        <v>115</v>
      </c>
      <c r="B133" s="604" t="s">
        <v>871</v>
      </c>
      <c r="C133" s="608" t="s">
        <v>872</v>
      </c>
      <c r="D133" s="609">
        <f>+'POAI SEPTIEMBRE'!AK675+'POAI SEPTIEMBRE'!AK676+'POAI SEPTIEMBRE'!AK677</f>
        <v>157396240</v>
      </c>
    </row>
    <row r="134" spans="1:4" s="369" customFormat="1" ht="22.5" customHeight="1" x14ac:dyDescent="0.25">
      <c r="A134" s="611"/>
      <c r="B134" s="717" t="s">
        <v>1017</v>
      </c>
      <c r="C134" s="718"/>
      <c r="D134" s="713">
        <f>SUM(D135:D140)</f>
        <v>3435176818</v>
      </c>
    </row>
    <row r="135" spans="1:4" s="369" customFormat="1" ht="14.25" x14ac:dyDescent="0.25">
      <c r="A135" s="611">
        <f>A133+1</f>
        <v>116</v>
      </c>
      <c r="B135" s="604" t="s">
        <v>883</v>
      </c>
      <c r="C135" s="621" t="s">
        <v>884</v>
      </c>
      <c r="D135" s="609">
        <f>+'POAI SEPTIEMBRE'!AK688+'POAI SEPTIEMBRE'!AK689+'POAI SEPTIEMBRE'!AK693</f>
        <v>1512374677</v>
      </c>
    </row>
    <row r="136" spans="1:4" s="369" customFormat="1" ht="28.5" x14ac:dyDescent="0.25">
      <c r="A136" s="611">
        <f>A135+1</f>
        <v>117</v>
      </c>
      <c r="B136" s="604" t="s">
        <v>890</v>
      </c>
      <c r="C136" s="621" t="s">
        <v>891</v>
      </c>
      <c r="D136" s="617">
        <f>+'POAI SEPTIEMBRE'!AK697</f>
        <v>420107384</v>
      </c>
    </row>
    <row r="137" spans="1:4" s="369" customFormat="1" ht="28.5" x14ac:dyDescent="0.25">
      <c r="A137" s="611">
        <f t="shared" ref="A137:A140" si="10">A136+1</f>
        <v>118</v>
      </c>
      <c r="B137" s="604" t="s">
        <v>894</v>
      </c>
      <c r="C137" s="621" t="s">
        <v>895</v>
      </c>
      <c r="D137" s="609">
        <f>+SUM('POAI SEPTIEMBRE'!AK701:AK703)</f>
        <v>855994512</v>
      </c>
    </row>
    <row r="138" spans="1:4" s="369" customFormat="1" ht="28.5" customHeight="1" x14ac:dyDescent="0.25">
      <c r="A138" s="611">
        <f t="shared" si="10"/>
        <v>119</v>
      </c>
      <c r="B138" s="604" t="s">
        <v>901</v>
      </c>
      <c r="C138" s="621" t="s">
        <v>1044</v>
      </c>
      <c r="D138" s="609">
        <f>+SUM('POAI SEPTIEMBRE'!AK709:AK711)</f>
        <v>238952283</v>
      </c>
    </row>
    <row r="139" spans="1:4" s="369" customFormat="1" ht="28.5" x14ac:dyDescent="0.25">
      <c r="A139" s="611">
        <f t="shared" si="10"/>
        <v>120</v>
      </c>
      <c r="B139" s="604" t="s">
        <v>907</v>
      </c>
      <c r="C139" s="621" t="s">
        <v>1045</v>
      </c>
      <c r="D139" s="617">
        <f>+'POAI SEPTIEMBRE'!AK715</f>
        <v>163247962</v>
      </c>
    </row>
    <row r="140" spans="1:4" s="369" customFormat="1" ht="28.5" x14ac:dyDescent="0.25">
      <c r="A140" s="611">
        <f t="shared" si="10"/>
        <v>121</v>
      </c>
      <c r="B140" s="604" t="s">
        <v>912</v>
      </c>
      <c r="C140" s="621" t="s">
        <v>913</v>
      </c>
      <c r="D140" s="617">
        <f>+'POAI SEPTIEMBRE'!AK721</f>
        <v>244500000</v>
      </c>
    </row>
    <row r="141" spans="1:4" s="369" customFormat="1" ht="25.5" customHeight="1" x14ac:dyDescent="0.25">
      <c r="A141" s="611"/>
      <c r="B141" s="714" t="s">
        <v>1046</v>
      </c>
      <c r="C141" s="719"/>
      <c r="D141" s="716">
        <f>+D142</f>
        <v>2484892368</v>
      </c>
    </row>
    <row r="142" spans="1:4" s="369" customFormat="1" ht="42.75" customHeight="1" x14ac:dyDescent="0.25">
      <c r="A142" s="611">
        <f>A140+1</f>
        <v>122</v>
      </c>
      <c r="B142" s="604" t="s">
        <v>917</v>
      </c>
      <c r="C142" s="621" t="s">
        <v>918</v>
      </c>
      <c r="D142" s="609">
        <f>+'POAI SEPTIEMBRE'!AK741</f>
        <v>2484892368</v>
      </c>
    </row>
    <row r="143" spans="1:4" s="369" customFormat="1" ht="24.75" customHeight="1" x14ac:dyDescent="0.25">
      <c r="A143" s="611"/>
      <c r="B143" s="717" t="s">
        <v>1047</v>
      </c>
      <c r="C143" s="720"/>
      <c r="D143" s="713">
        <f>+D144</f>
        <v>115000000</v>
      </c>
    </row>
    <row r="144" spans="1:4" s="369" customFormat="1" ht="28.5" x14ac:dyDescent="0.25">
      <c r="A144" s="611">
        <f>A142+1</f>
        <v>123</v>
      </c>
      <c r="B144" s="604" t="s">
        <v>925</v>
      </c>
      <c r="C144" s="621" t="s">
        <v>926</v>
      </c>
      <c r="D144" s="609">
        <f>+'POAI SEPTIEMBRE'!AK753</f>
        <v>115000000</v>
      </c>
    </row>
    <row r="145" spans="1:4" s="632" customFormat="1" ht="12.75" x14ac:dyDescent="0.25">
      <c r="A145" s="631"/>
      <c r="B145" s="768" t="s">
        <v>1048</v>
      </c>
      <c r="C145" s="769"/>
      <c r="D145" s="770">
        <f>+D6+D12+D22+D25+D36+D47+D54+D62+D74+D78+D94+D108+D110+D134+D141+D143</f>
        <v>312986601593.38</v>
      </c>
    </row>
  </sheetData>
  <sheetProtection password="CBEB" sheet="1" objects="1" scenarios="1"/>
  <mergeCells count="8">
    <mergeCell ref="B36:C36"/>
    <mergeCell ref="B25:C25"/>
    <mergeCell ref="B22:C22"/>
    <mergeCell ref="B12:C12"/>
    <mergeCell ref="B1:D1"/>
    <mergeCell ref="B2:D2"/>
    <mergeCell ref="B3:D3"/>
    <mergeCell ref="B6:C6"/>
  </mergeCells>
  <dataValidations count="1">
    <dataValidation type="whole" allowBlank="1" showInputMessage="1" showErrorMessage="1" errorTitle="VALOR NUMERICO" error="Registre un valor númerico" sqref="D109:D133 D135 D75:D92 D137:D138 D144 D142 D4:D11 D13:D24 D55:D73 D94:D107 D26:D34 D36:D53 D146:D1048576">
      <formula1>0</formula1>
      <formula2>1000000000000</formula2>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SEPTIEMBRE</vt:lpstr>
      <vt:lpstr>LISTA 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AUXPLANEACION13</dc:creator>
  <cp:keywords/>
  <dc:description/>
  <cp:lastModifiedBy>AUXPLANEACION03</cp:lastModifiedBy>
  <cp:revision/>
  <dcterms:created xsi:type="dcterms:W3CDTF">2018-02-06T12:38:27Z</dcterms:created>
  <dcterms:modified xsi:type="dcterms:W3CDTF">2018-11-14T21:29:55Z</dcterms:modified>
  <cp:category/>
  <cp:contentStatus/>
</cp:coreProperties>
</file>