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AUXPLANEACION19\Desktop\"/>
    </mc:Choice>
  </mc:AlternateContent>
  <bookViews>
    <workbookView xWindow="0" yWindow="0" windowWidth="24000" windowHeight="9735"/>
  </bookViews>
  <sheets>
    <sheet name="SGTO POAI 2023 MARZO" sheetId="14" r:id="rId1"/>
    <sheet name="RESUMEN PROGRAMAS" sheetId="15" r:id="rId2"/>
    <sheet name="FUENTES POR UNIDAD" sheetId="23" r:id="rId3"/>
    <sheet name="LÍNEA ESTRATEGICA" sheetId="18" r:id="rId4"/>
    <sheet name="RELACIÓN PROYECTOS" sheetId="20" r:id="rId5"/>
    <sheet name="CONSOLIDADO UNIDADES" sheetId="24" r:id="rId6"/>
    <sheet name="No. DE PROYECTOS" sheetId="25" r:id="rId7"/>
  </sheets>
  <externalReferences>
    <externalReference r:id="rId8"/>
  </externalReferences>
  <definedNames>
    <definedName name="_1._Apoyo_con_equipos_para_la_seguridad_vial_Licenciamiento_de_software_para_comunicaciones" localSheetId="5">#REF!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UNIDAD'!$C$1:$C$81</definedName>
    <definedName name="_xlnm._FilterDatabase" localSheetId="4" hidden="1">'RELACIÓN PROYECTOS'!$B$2:$D$198</definedName>
    <definedName name="_xlnm._FilterDatabase" localSheetId="1" hidden="1">'RESUMEN PROGRAMAS'!$E$1:$E$193</definedName>
    <definedName name="_xlnm._FilterDatabase" localSheetId="0" hidden="1">'SGTO POAI 2023 MARZO'!$A$6:$CI$306</definedName>
    <definedName name="aa" localSheetId="5">#REF!</definedName>
    <definedName name="aa" localSheetId="2">#REF!</definedName>
    <definedName name="aa">#REF!</definedName>
    <definedName name="_xlnm.Print_Area" localSheetId="0">'SGTO POAI 2023 MARZO'!$A$1:$BF$79</definedName>
    <definedName name="CODIGO_DIVIPOLA" localSheetId="5">#REF!</definedName>
    <definedName name="CODIGO_DIVIPOLA" localSheetId="2">#REF!</definedName>
    <definedName name="CODIGO_DIVIPOLA">#REF!</definedName>
    <definedName name="DboREGISTRO_LEY_617" localSheetId="5">#REF!</definedName>
    <definedName name="DboREGISTRO_LEY_617" localSheetId="2">#REF!</definedName>
    <definedName name="DboREGISTRO_LEY_617">#REF!</definedName>
    <definedName name="ññ" localSheetId="5">#REF!</definedName>
    <definedName name="ññ" localSheetId="2">#REF!</definedName>
    <definedName name="ññ">#REF!</definedName>
  </definedNames>
  <calcPr calcId="152511"/>
</workbook>
</file>

<file path=xl/calcChain.xml><?xml version="1.0" encoding="utf-8"?>
<calcChain xmlns="http://schemas.openxmlformats.org/spreadsheetml/2006/main">
  <c r="E9" i="18" l="1"/>
  <c r="E8" i="18"/>
  <c r="E7" i="18"/>
  <c r="E6" i="18"/>
  <c r="E5" i="18"/>
  <c r="C52" i="24"/>
  <c r="W30" i="14" l="1"/>
  <c r="W29" i="14" l="1"/>
  <c r="AB289" i="14" l="1"/>
  <c r="AW289" i="14"/>
  <c r="C17" i="25" l="1"/>
  <c r="C16" i="25"/>
  <c r="AW304" i="14" l="1"/>
  <c r="AW303" i="14"/>
  <c r="BH304" i="14"/>
  <c r="BG304" i="14"/>
  <c r="BH303" i="14"/>
  <c r="BG303" i="14"/>
  <c r="BF304" i="14" l="1"/>
  <c r="BF303" i="14"/>
  <c r="BG289" i="14"/>
  <c r="E185" i="20" s="1"/>
  <c r="BH289" i="14"/>
  <c r="A195" i="20" l="1"/>
  <c r="A193" i="20"/>
  <c r="D74" i="23"/>
  <c r="F74" i="23"/>
  <c r="F73" i="23"/>
  <c r="D73" i="23"/>
  <c r="D67" i="23"/>
  <c r="D68" i="23"/>
  <c r="D69" i="23"/>
  <c r="D70" i="23"/>
  <c r="BH300" i="14"/>
  <c r="G193" i="20" s="1"/>
  <c r="BG300" i="14"/>
  <c r="E193" i="20" s="1"/>
  <c r="BF300" i="14"/>
  <c r="E181" i="15" s="1"/>
  <c r="W300" i="14"/>
  <c r="F181" i="15" l="1"/>
  <c r="H181" i="15"/>
  <c r="D193" i="20"/>
  <c r="F70" i="23" l="1"/>
  <c r="F69" i="23"/>
  <c r="AW288" i="14"/>
  <c r="BC286" i="14"/>
  <c r="AW286" i="14"/>
  <c r="AE286" i="14"/>
  <c r="AW284" i="14"/>
  <c r="AE284" i="14"/>
  <c r="AB284" i="14"/>
  <c r="C69" i="23" l="1"/>
  <c r="AT276" i="14"/>
  <c r="AT275" i="14"/>
  <c r="AD306" i="14" l="1"/>
  <c r="AC306" i="14"/>
  <c r="AK246" i="14" l="1"/>
  <c r="BG161" i="14" l="1"/>
  <c r="BH161" i="14"/>
  <c r="BG261" i="14" l="1"/>
  <c r="D15" i="24" l="1"/>
  <c r="D14" i="24"/>
  <c r="D13" i="24"/>
  <c r="D12" i="24"/>
  <c r="AT178" i="14" l="1"/>
  <c r="AW299" i="14" l="1"/>
  <c r="AW292" i="14"/>
  <c r="C74" i="23" s="1"/>
  <c r="AW293" i="14"/>
  <c r="AB295" i="14"/>
  <c r="AB294" i="14"/>
  <c r="AB290" i="14"/>
  <c r="C73" i="23" s="1"/>
  <c r="AT66" i="14" l="1"/>
  <c r="AT65" i="14"/>
  <c r="AT48" i="14" l="1"/>
  <c r="AT201" i="14" l="1"/>
  <c r="AT141" i="14"/>
  <c r="AT119" i="14"/>
  <c r="AT118" i="14"/>
  <c r="AT87" i="14"/>
  <c r="AT88" i="14" l="1"/>
  <c r="AE288" i="14" l="1"/>
  <c r="AB288" i="14"/>
  <c r="AT192" i="14"/>
  <c r="AW82" i="14" l="1"/>
  <c r="AH247" i="14" l="1"/>
  <c r="AH239" i="14"/>
  <c r="AH237" i="14"/>
  <c r="AN149" i="14"/>
  <c r="AN138" i="14"/>
  <c r="AN135" i="14"/>
  <c r="AT132" i="14"/>
  <c r="AQ43" i="14" l="1"/>
  <c r="AW36" i="14"/>
  <c r="AW35" i="14"/>
  <c r="AW34" i="14" l="1"/>
  <c r="AB27" i="14" l="1"/>
  <c r="C3" i="25" l="1"/>
  <c r="D16" i="24" l="1"/>
  <c r="D20" i="24"/>
  <c r="B35" i="24" l="1"/>
  <c r="B26" i="24"/>
  <c r="D22" i="24"/>
  <c r="B49" i="24" l="1"/>
  <c r="D7" i="23" l="1"/>
  <c r="F7" i="23"/>
  <c r="D8" i="23"/>
  <c r="F8" i="23"/>
  <c r="D11" i="23"/>
  <c r="F11" i="23"/>
  <c r="F10" i="23" s="1"/>
  <c r="D14" i="23"/>
  <c r="F14" i="23"/>
  <c r="D15" i="23"/>
  <c r="F15" i="23"/>
  <c r="D18" i="23"/>
  <c r="F18" i="23"/>
  <c r="D19" i="23"/>
  <c r="F19" i="23"/>
  <c r="D20" i="23"/>
  <c r="F20" i="23"/>
  <c r="D21" i="23"/>
  <c r="F21" i="23"/>
  <c r="D22" i="23"/>
  <c r="F22" i="23"/>
  <c r="D23" i="23"/>
  <c r="F23" i="23"/>
  <c r="D26" i="23"/>
  <c r="F26" i="23"/>
  <c r="D27" i="23"/>
  <c r="F27" i="23"/>
  <c r="D30" i="23"/>
  <c r="F30" i="23"/>
  <c r="D31" i="23"/>
  <c r="F31" i="23"/>
  <c r="D32" i="23"/>
  <c r="F32" i="23"/>
  <c r="D35" i="23"/>
  <c r="F35" i="23"/>
  <c r="D36" i="23"/>
  <c r="F36" i="23"/>
  <c r="D39" i="23"/>
  <c r="D38" i="23" s="1"/>
  <c r="F39" i="23"/>
  <c r="F38" i="23" s="1"/>
  <c r="D42" i="23"/>
  <c r="F42" i="23"/>
  <c r="F41" i="23" s="1"/>
  <c r="D45" i="23"/>
  <c r="F45" i="23"/>
  <c r="D46" i="23"/>
  <c r="F46" i="23"/>
  <c r="D47" i="23"/>
  <c r="F47" i="23"/>
  <c r="D48" i="23"/>
  <c r="F48" i="23"/>
  <c r="D51" i="23"/>
  <c r="F51" i="23"/>
  <c r="D52" i="23"/>
  <c r="F52" i="23"/>
  <c r="D55" i="23"/>
  <c r="F55" i="23"/>
  <c r="D56" i="23"/>
  <c r="F56" i="23"/>
  <c r="D57" i="23"/>
  <c r="F57" i="23"/>
  <c r="D58" i="23"/>
  <c r="F58" i="23"/>
  <c r="D59" i="23"/>
  <c r="F59" i="23"/>
  <c r="F67" i="23"/>
  <c r="F68" i="23"/>
  <c r="F6" i="23" l="1"/>
  <c r="D29" i="23"/>
  <c r="D10" i="23"/>
  <c r="D50" i="23"/>
  <c r="D41" i="23"/>
  <c r="F72" i="23"/>
  <c r="F50" i="23"/>
  <c r="F29" i="23"/>
  <c r="D72" i="23"/>
  <c r="D54" i="23"/>
  <c r="D44" i="23"/>
  <c r="D34" i="23"/>
  <c r="D25" i="23"/>
  <c r="D13" i="23"/>
  <c r="D66" i="23"/>
  <c r="D17" i="23"/>
  <c r="F54" i="23"/>
  <c r="F17" i="23"/>
  <c r="F66" i="23"/>
  <c r="F44" i="23"/>
  <c r="F34" i="23"/>
  <c r="F25" i="23"/>
  <c r="F13" i="23"/>
  <c r="D6" i="23"/>
  <c r="F91" i="15" l="1"/>
  <c r="H91" i="15"/>
  <c r="F103" i="15"/>
  <c r="H103" i="15"/>
  <c r="F105" i="15"/>
  <c r="H105" i="15"/>
  <c r="F106" i="15"/>
  <c r="H106" i="15"/>
  <c r="F112" i="15"/>
  <c r="H112" i="15"/>
  <c r="BD306" i="14"/>
  <c r="BE306" i="14"/>
  <c r="BA306" i="14"/>
  <c r="BB306" i="14"/>
  <c r="AX306" i="14"/>
  <c r="AY306" i="14"/>
  <c r="AU306" i="14"/>
  <c r="AV306" i="14"/>
  <c r="AR306" i="14"/>
  <c r="AS306" i="14"/>
  <c r="AF306" i="14"/>
  <c r="AG306" i="14"/>
  <c r="AI306" i="14"/>
  <c r="AJ306" i="14"/>
  <c r="AL306" i="14"/>
  <c r="AM306" i="14"/>
  <c r="AO306" i="14"/>
  <c r="AP306" i="14"/>
  <c r="BG8" i="14"/>
  <c r="E5" i="20" s="1"/>
  <c r="BH8" i="14"/>
  <c r="G5" i="20" s="1"/>
  <c r="BG9" i="14"/>
  <c r="E6" i="20" s="1"/>
  <c r="BH9" i="14"/>
  <c r="G6" i="20" s="1"/>
  <c r="BG10" i="14"/>
  <c r="E7" i="20" s="1"/>
  <c r="BH10" i="14"/>
  <c r="G7" i="20" s="1"/>
  <c r="BG11" i="14"/>
  <c r="E8" i="20" s="1"/>
  <c r="BH11" i="14"/>
  <c r="G8" i="20" s="1"/>
  <c r="BG12" i="14"/>
  <c r="E11" i="20" s="1"/>
  <c r="BH12" i="14"/>
  <c r="G11" i="20" s="1"/>
  <c r="BG13" i="14"/>
  <c r="E12" i="20" s="1"/>
  <c r="BH13" i="14"/>
  <c r="G12" i="20" s="1"/>
  <c r="BG14" i="14"/>
  <c r="E13" i="20" s="1"/>
  <c r="BH14" i="14"/>
  <c r="G13" i="20" s="1"/>
  <c r="BG15" i="14"/>
  <c r="E14" i="20" s="1"/>
  <c r="BH15" i="14"/>
  <c r="G14" i="20" s="1"/>
  <c r="BG16" i="14"/>
  <c r="BH16" i="14"/>
  <c r="BG17" i="14"/>
  <c r="BH17" i="14"/>
  <c r="BG18" i="14"/>
  <c r="BH18" i="14"/>
  <c r="BG19" i="14"/>
  <c r="BH19" i="14"/>
  <c r="BG20" i="14"/>
  <c r="BH20" i="14"/>
  <c r="BG21" i="14"/>
  <c r="BH21" i="14"/>
  <c r="BG22" i="14"/>
  <c r="BH22" i="14"/>
  <c r="BG23" i="14"/>
  <c r="E17" i="20" s="1"/>
  <c r="BH23" i="14"/>
  <c r="G17" i="20" s="1"/>
  <c r="BG24" i="14"/>
  <c r="BH24" i="14"/>
  <c r="BG25" i="14"/>
  <c r="BH25" i="14"/>
  <c r="BG26" i="14"/>
  <c r="BH26" i="14"/>
  <c r="BG27" i="14"/>
  <c r="BH27" i="14"/>
  <c r="BG28" i="14"/>
  <c r="BH28" i="14"/>
  <c r="BG29" i="14"/>
  <c r="E27" i="20" s="1"/>
  <c r="BH29" i="14"/>
  <c r="G27" i="20" s="1"/>
  <c r="BG30" i="14"/>
  <c r="E28" i="20" s="1"/>
  <c r="BH30" i="14"/>
  <c r="G28" i="20" s="1"/>
  <c r="BG31" i="14"/>
  <c r="E29" i="20" s="1"/>
  <c r="BH31" i="14"/>
  <c r="G29" i="20" s="1"/>
  <c r="BG32" i="14"/>
  <c r="E32" i="20" s="1"/>
  <c r="BH32" i="14"/>
  <c r="G32" i="20" s="1"/>
  <c r="BG33" i="14"/>
  <c r="E33" i="20" s="1"/>
  <c r="BH33" i="14"/>
  <c r="G33" i="20" s="1"/>
  <c r="BG34" i="14"/>
  <c r="BH34" i="14"/>
  <c r="BG35" i="14"/>
  <c r="BH35" i="14"/>
  <c r="BG36" i="14"/>
  <c r="E38" i="20" s="1"/>
  <c r="BH36" i="14"/>
  <c r="G38" i="20" s="1"/>
  <c r="BG37" i="14"/>
  <c r="E36" i="20" s="1"/>
  <c r="BH37" i="14"/>
  <c r="G36" i="20" s="1"/>
  <c r="BG38" i="14"/>
  <c r="E37" i="20" s="1"/>
  <c r="BH38" i="14"/>
  <c r="G37" i="20" s="1"/>
  <c r="BG39" i="14"/>
  <c r="E39" i="20" s="1"/>
  <c r="BH39" i="14"/>
  <c r="G39" i="20" s="1"/>
  <c r="BG40" i="14"/>
  <c r="E40" i="20" s="1"/>
  <c r="BH40" i="14"/>
  <c r="G40" i="20" s="1"/>
  <c r="BG41" i="14"/>
  <c r="E41" i="20" s="1"/>
  <c r="BH41" i="14"/>
  <c r="G41" i="20" s="1"/>
  <c r="BG42" i="14"/>
  <c r="BH42" i="14"/>
  <c r="BG43" i="14"/>
  <c r="BH43" i="14"/>
  <c r="BG44" i="14"/>
  <c r="BH44" i="14"/>
  <c r="BG45" i="14"/>
  <c r="BH45" i="14"/>
  <c r="BG46" i="14"/>
  <c r="BH46" i="14"/>
  <c r="BG47" i="14"/>
  <c r="BH47" i="14"/>
  <c r="BG48" i="14"/>
  <c r="E44" i="20" s="1"/>
  <c r="BH48" i="14"/>
  <c r="G44" i="20" s="1"/>
  <c r="BG49" i="14"/>
  <c r="E45" i="20" s="1"/>
  <c r="BH49" i="14"/>
  <c r="G45" i="20" s="1"/>
  <c r="BG50" i="14"/>
  <c r="E46" i="20" s="1"/>
  <c r="BH50" i="14"/>
  <c r="G46" i="20" s="1"/>
  <c r="BG51" i="14"/>
  <c r="E30" i="20" s="1"/>
  <c r="BH51" i="14"/>
  <c r="G30" i="20" s="1"/>
  <c r="BG52" i="14"/>
  <c r="E49" i="20" s="1"/>
  <c r="BH52" i="14"/>
  <c r="G49" i="20" s="1"/>
  <c r="BG53" i="14"/>
  <c r="E50" i="20" s="1"/>
  <c r="BH53" i="14"/>
  <c r="G50" i="20" s="1"/>
  <c r="BG54" i="14"/>
  <c r="E51" i="20" s="1"/>
  <c r="BH54" i="14"/>
  <c r="G51" i="20" s="1"/>
  <c r="BG55" i="14"/>
  <c r="E52" i="20" s="1"/>
  <c r="BH55" i="14"/>
  <c r="G52" i="20" s="1"/>
  <c r="BG56" i="14"/>
  <c r="BH56" i="14"/>
  <c r="BG57" i="14"/>
  <c r="BH57" i="14"/>
  <c r="BG58" i="14"/>
  <c r="BH58" i="14"/>
  <c r="BG59" i="14"/>
  <c r="BH59" i="14"/>
  <c r="BG60" i="14"/>
  <c r="BH60" i="14"/>
  <c r="BG61" i="14"/>
  <c r="E54" i="20" s="1"/>
  <c r="BH61" i="14"/>
  <c r="G54" i="20" s="1"/>
  <c r="BG62" i="14"/>
  <c r="E55" i="20" s="1"/>
  <c r="BH62" i="14"/>
  <c r="G55" i="20" s="1"/>
  <c r="BG63" i="14"/>
  <c r="E56" i="20" s="1"/>
  <c r="BH63" i="14"/>
  <c r="G56" i="20" s="1"/>
  <c r="BG64" i="14"/>
  <c r="E58" i="20" s="1"/>
  <c r="BH64" i="14"/>
  <c r="G58" i="20" s="1"/>
  <c r="BG65" i="14"/>
  <c r="BH65" i="14"/>
  <c r="BG66" i="14"/>
  <c r="BH66" i="14"/>
  <c r="BG67" i="14"/>
  <c r="BH67" i="14"/>
  <c r="BG68" i="14"/>
  <c r="E61" i="20" s="1"/>
  <c r="BH68" i="14"/>
  <c r="G61" i="20" s="1"/>
  <c r="BG69" i="14"/>
  <c r="BH69" i="14"/>
  <c r="BG70" i="14"/>
  <c r="BH70" i="14"/>
  <c r="BG71" i="14"/>
  <c r="BH71" i="14"/>
  <c r="BG72" i="14"/>
  <c r="BH72" i="14"/>
  <c r="BG73" i="14"/>
  <c r="BH73" i="14"/>
  <c r="BG74" i="14"/>
  <c r="BH74" i="14"/>
  <c r="BG75" i="14"/>
  <c r="BH75" i="14"/>
  <c r="BG76" i="14"/>
  <c r="BH76" i="14"/>
  <c r="BG77" i="14"/>
  <c r="BH77" i="14"/>
  <c r="BG78" i="14"/>
  <c r="BH78" i="14"/>
  <c r="BG79" i="14"/>
  <c r="BH79" i="14"/>
  <c r="BG80" i="14"/>
  <c r="E67" i="20" s="1"/>
  <c r="BH80" i="14"/>
  <c r="G67" i="20" s="1"/>
  <c r="BG81" i="14"/>
  <c r="BH81" i="14"/>
  <c r="BG82" i="14"/>
  <c r="BH82" i="14"/>
  <c r="BG83" i="14"/>
  <c r="BH83" i="14"/>
  <c r="BG84" i="14"/>
  <c r="BH84" i="14"/>
  <c r="BG85" i="14"/>
  <c r="E72" i="20" s="1"/>
  <c r="BH85" i="14"/>
  <c r="G72" i="20" s="1"/>
  <c r="BG86" i="14"/>
  <c r="BH86" i="14"/>
  <c r="BG87" i="14"/>
  <c r="BH87" i="14"/>
  <c r="BG88" i="14"/>
  <c r="E74" i="20" s="1"/>
  <c r="BH88" i="14"/>
  <c r="G74" i="20" s="1"/>
  <c r="BG89" i="14"/>
  <c r="BH89" i="14"/>
  <c r="BG90" i="14"/>
  <c r="BH90" i="14"/>
  <c r="BG91" i="14"/>
  <c r="BH91" i="14"/>
  <c r="BG92" i="14"/>
  <c r="BH92" i="14"/>
  <c r="BG93" i="14"/>
  <c r="E76" i="20" s="1"/>
  <c r="BH93" i="14"/>
  <c r="G76" i="20" s="1"/>
  <c r="BG94" i="14"/>
  <c r="BH94" i="14"/>
  <c r="BG95" i="14"/>
  <c r="BH95" i="14"/>
  <c r="BG96" i="14"/>
  <c r="BH96" i="14"/>
  <c r="BG97" i="14"/>
  <c r="BH97" i="14"/>
  <c r="BG98" i="14"/>
  <c r="BH98" i="14"/>
  <c r="BG99" i="14"/>
  <c r="BH99" i="14"/>
  <c r="BG100" i="14"/>
  <c r="BH100" i="14"/>
  <c r="BG101" i="14"/>
  <c r="BH101" i="14"/>
  <c r="BG102" i="14"/>
  <c r="BH102" i="14"/>
  <c r="BG103" i="14"/>
  <c r="BH103" i="14"/>
  <c r="BG104" i="14"/>
  <c r="E83" i="20" s="1"/>
  <c r="BH104" i="14"/>
  <c r="G83" i="20" s="1"/>
  <c r="BG105" i="14"/>
  <c r="E84" i="20" s="1"/>
  <c r="BH105" i="14"/>
  <c r="G84" i="20" s="1"/>
  <c r="BG106" i="14"/>
  <c r="BH106" i="14"/>
  <c r="BG107" i="14"/>
  <c r="BH107" i="14"/>
  <c r="BG108" i="14"/>
  <c r="E86" i="20" s="1"/>
  <c r="BH108" i="14"/>
  <c r="G86" i="20" s="1"/>
  <c r="BG109" i="14"/>
  <c r="E87" i="20" s="1"/>
  <c r="BH109" i="14"/>
  <c r="G87" i="20" s="1"/>
  <c r="BG110" i="14"/>
  <c r="BH110" i="14"/>
  <c r="BG111" i="14"/>
  <c r="BH111" i="14"/>
  <c r="BG112" i="14"/>
  <c r="BH112" i="14"/>
  <c r="BG113" i="14"/>
  <c r="BH113" i="14"/>
  <c r="BG114" i="14"/>
  <c r="BH114" i="14"/>
  <c r="BG115" i="14"/>
  <c r="BH115" i="14"/>
  <c r="BG116" i="14"/>
  <c r="BH116" i="14"/>
  <c r="BG117" i="14"/>
  <c r="BH117" i="14"/>
  <c r="BG118" i="14"/>
  <c r="BH118" i="14"/>
  <c r="BG119" i="14"/>
  <c r="BH119" i="14"/>
  <c r="BG120" i="14"/>
  <c r="BH120" i="14"/>
  <c r="BG121" i="14"/>
  <c r="BH121" i="14"/>
  <c r="BG122" i="14"/>
  <c r="E94" i="20" s="1"/>
  <c r="BH122" i="14"/>
  <c r="G94" i="20" s="1"/>
  <c r="BG123" i="14"/>
  <c r="E95" i="20" s="1"/>
  <c r="BH123" i="14"/>
  <c r="G95" i="20" s="1"/>
  <c r="BG124" i="14"/>
  <c r="E96" i="20" s="1"/>
  <c r="BH124" i="14"/>
  <c r="G96" i="20" s="1"/>
  <c r="BG125" i="14"/>
  <c r="BH125" i="14"/>
  <c r="BG126" i="14"/>
  <c r="BH126" i="14"/>
  <c r="BG127" i="14"/>
  <c r="BH127" i="14"/>
  <c r="BG128" i="14"/>
  <c r="BH128" i="14"/>
  <c r="BG129" i="14"/>
  <c r="BH129" i="14"/>
  <c r="BG130" i="14"/>
  <c r="BH130" i="14"/>
  <c r="BG131" i="14"/>
  <c r="E101" i="20" s="1"/>
  <c r="BH131" i="14"/>
  <c r="G101" i="20" s="1"/>
  <c r="BG132" i="14"/>
  <c r="E102" i="20" s="1"/>
  <c r="BH132" i="14"/>
  <c r="G102" i="20" s="1"/>
  <c r="BG133" i="14"/>
  <c r="E103" i="20" s="1"/>
  <c r="BH133" i="14"/>
  <c r="G103" i="20" s="1"/>
  <c r="BG134" i="14"/>
  <c r="E104" i="20" s="1"/>
  <c r="BH134" i="14"/>
  <c r="G104" i="20" s="1"/>
  <c r="BG135" i="14"/>
  <c r="BH135" i="14"/>
  <c r="BG136" i="14"/>
  <c r="BH136" i="14"/>
  <c r="BG137" i="14"/>
  <c r="BH137" i="14"/>
  <c r="BG138" i="14"/>
  <c r="BH138" i="14"/>
  <c r="BG139" i="14"/>
  <c r="BH139" i="14"/>
  <c r="BG140" i="14"/>
  <c r="BH140" i="14"/>
  <c r="BG141" i="14"/>
  <c r="BH141" i="14"/>
  <c r="BG142" i="14"/>
  <c r="BH142" i="14"/>
  <c r="BG143" i="14"/>
  <c r="BH143" i="14"/>
  <c r="BG144" i="14"/>
  <c r="BH144" i="14"/>
  <c r="BG145" i="14"/>
  <c r="BH145" i="14"/>
  <c r="BG146" i="14"/>
  <c r="BH146" i="14"/>
  <c r="BG147" i="14"/>
  <c r="BH147" i="14"/>
  <c r="BG148" i="14"/>
  <c r="BH148" i="14"/>
  <c r="BG149" i="14"/>
  <c r="BH149" i="14"/>
  <c r="BG150" i="14"/>
  <c r="BH150" i="14"/>
  <c r="BG151" i="14"/>
  <c r="BH151" i="14"/>
  <c r="BG152" i="14"/>
  <c r="BH152" i="14"/>
  <c r="BG153" i="14"/>
  <c r="BH153" i="14"/>
  <c r="BG154" i="14"/>
  <c r="BH154" i="14"/>
  <c r="BG155" i="14"/>
  <c r="BH155" i="14"/>
  <c r="BG156" i="14"/>
  <c r="BH156" i="14"/>
  <c r="BG157" i="14"/>
  <c r="BH157" i="14"/>
  <c r="BG158" i="14"/>
  <c r="BH158" i="14"/>
  <c r="BG159" i="14"/>
  <c r="BH159" i="14"/>
  <c r="BG160" i="14"/>
  <c r="BH160" i="14"/>
  <c r="BG162" i="14"/>
  <c r="BH162" i="14"/>
  <c r="BG163" i="14"/>
  <c r="BH163" i="14"/>
  <c r="BG164" i="14"/>
  <c r="BH164" i="14"/>
  <c r="BG165" i="14"/>
  <c r="BH165" i="14"/>
  <c r="BG166" i="14"/>
  <c r="BH166" i="14"/>
  <c r="BG167" i="14"/>
  <c r="BH167" i="14"/>
  <c r="BG168" i="14"/>
  <c r="BH168" i="14"/>
  <c r="BG169" i="14"/>
  <c r="E114" i="20" s="1"/>
  <c r="BH169" i="14"/>
  <c r="G114" i="20" s="1"/>
  <c r="BG170" i="14"/>
  <c r="E116" i="20" s="1"/>
  <c r="BH170" i="14"/>
  <c r="G116" i="20" s="1"/>
  <c r="BG171" i="14"/>
  <c r="BH171" i="14"/>
  <c r="BG172" i="14"/>
  <c r="BH172" i="14"/>
  <c r="BG173" i="14"/>
  <c r="E120" i="20" s="1"/>
  <c r="BH173" i="14"/>
  <c r="G120" i="20" s="1"/>
  <c r="BG174" i="14"/>
  <c r="BH174" i="14"/>
  <c r="BG175" i="14"/>
  <c r="BH175" i="14"/>
  <c r="BG176" i="14"/>
  <c r="E122" i="20" s="1"/>
  <c r="BH176" i="14"/>
  <c r="G122" i="20" s="1"/>
  <c r="BG177" i="14"/>
  <c r="E123" i="20" s="1"/>
  <c r="BH177" i="14"/>
  <c r="G123" i="20" s="1"/>
  <c r="BG178" i="14"/>
  <c r="E124" i="20" s="1"/>
  <c r="BH178" i="14"/>
  <c r="G124" i="20" s="1"/>
  <c r="BG179" i="14"/>
  <c r="E125" i="20" s="1"/>
  <c r="BH179" i="14"/>
  <c r="G125" i="20" s="1"/>
  <c r="BG180" i="14"/>
  <c r="BH180" i="14"/>
  <c r="BG181" i="14"/>
  <c r="BH181" i="14"/>
  <c r="BG182" i="14"/>
  <c r="E127" i="20" s="1"/>
  <c r="BH182" i="14"/>
  <c r="G127" i="20" s="1"/>
  <c r="BG183" i="14"/>
  <c r="E128" i="20" s="1"/>
  <c r="BH183" i="14"/>
  <c r="G128" i="20" s="1"/>
  <c r="BG184" i="14"/>
  <c r="E129" i="20" s="1"/>
  <c r="BH184" i="14"/>
  <c r="G129" i="20" s="1"/>
  <c r="BG185" i="14"/>
  <c r="E130" i="20" s="1"/>
  <c r="BH185" i="14"/>
  <c r="G130" i="20" s="1"/>
  <c r="BG186" i="14"/>
  <c r="E131" i="20" s="1"/>
  <c r="BH186" i="14"/>
  <c r="G131" i="20" s="1"/>
  <c r="BG187" i="14"/>
  <c r="BH187" i="14"/>
  <c r="BG188" i="14"/>
  <c r="BH188" i="14"/>
  <c r="BG189" i="14"/>
  <c r="E133" i="20" s="1"/>
  <c r="BH189" i="14"/>
  <c r="G133" i="20" s="1"/>
  <c r="BG190" i="14"/>
  <c r="BH190" i="14"/>
  <c r="BG191" i="14"/>
  <c r="BH191" i="14"/>
  <c r="BG192" i="14"/>
  <c r="E135" i="20" s="1"/>
  <c r="BH192" i="14"/>
  <c r="G135" i="20" s="1"/>
  <c r="BG193" i="14"/>
  <c r="BH193" i="14"/>
  <c r="BG194" i="14"/>
  <c r="BH194" i="14"/>
  <c r="BG195" i="14"/>
  <c r="E138" i="20" s="1"/>
  <c r="BH195" i="14"/>
  <c r="G138" i="20" s="1"/>
  <c r="BG196" i="14"/>
  <c r="E139" i="20" s="1"/>
  <c r="BH196" i="14"/>
  <c r="G139" i="20" s="1"/>
  <c r="BG197" i="14"/>
  <c r="E141" i="20" s="1"/>
  <c r="BH197" i="14"/>
  <c r="G141" i="20" s="1"/>
  <c r="BG198" i="14"/>
  <c r="E142" i="20" s="1"/>
  <c r="BH198" i="14"/>
  <c r="G142" i="20" s="1"/>
  <c r="BG199" i="14"/>
  <c r="E143" i="20" s="1"/>
  <c r="BH199" i="14"/>
  <c r="G143" i="20" s="1"/>
  <c r="BG200" i="14"/>
  <c r="E144" i="20" s="1"/>
  <c r="BH200" i="14"/>
  <c r="G144" i="20" s="1"/>
  <c r="BG201" i="14"/>
  <c r="E145" i="20" s="1"/>
  <c r="BH201" i="14"/>
  <c r="G145" i="20" s="1"/>
  <c r="BG204" i="14"/>
  <c r="BH204" i="14"/>
  <c r="BG205" i="14"/>
  <c r="BH205" i="14"/>
  <c r="BG206" i="14"/>
  <c r="BH206" i="14"/>
  <c r="BG207" i="14"/>
  <c r="BH207" i="14"/>
  <c r="BG208" i="14"/>
  <c r="BH208" i="14"/>
  <c r="BG209" i="14"/>
  <c r="BH209" i="14"/>
  <c r="BG210" i="14"/>
  <c r="BH210" i="14"/>
  <c r="BG211" i="14"/>
  <c r="BH211" i="14"/>
  <c r="BG212" i="14"/>
  <c r="BH212" i="14"/>
  <c r="BG213" i="14"/>
  <c r="BH213" i="14"/>
  <c r="BG214" i="14"/>
  <c r="BH214" i="14"/>
  <c r="BG202" i="14"/>
  <c r="BH202" i="14"/>
  <c r="BG215" i="14"/>
  <c r="E151" i="20" s="1"/>
  <c r="BH215" i="14"/>
  <c r="G151" i="20" s="1"/>
  <c r="BG216" i="14"/>
  <c r="BH216" i="14"/>
  <c r="BG217" i="14"/>
  <c r="BH217" i="14"/>
  <c r="BG218" i="14"/>
  <c r="BH218" i="14"/>
  <c r="BG203" i="14"/>
  <c r="BH203" i="14"/>
  <c r="BG219" i="14"/>
  <c r="BH219" i="14"/>
  <c r="BG220" i="14"/>
  <c r="BH220" i="14"/>
  <c r="BG221" i="14"/>
  <c r="BH221" i="14"/>
  <c r="BG222" i="14"/>
  <c r="BH222" i="14"/>
  <c r="BG223" i="14"/>
  <c r="BH223" i="14"/>
  <c r="BG224" i="14"/>
  <c r="BH224" i="14"/>
  <c r="BG225" i="14"/>
  <c r="BH225" i="14"/>
  <c r="BG226" i="14"/>
  <c r="BH226" i="14"/>
  <c r="BG227" i="14"/>
  <c r="BH227" i="14"/>
  <c r="BG228" i="14"/>
  <c r="BH228" i="14"/>
  <c r="BG229" i="14"/>
  <c r="BH229" i="14"/>
  <c r="BG230" i="14"/>
  <c r="BH230" i="14"/>
  <c r="BG231" i="14"/>
  <c r="BH231" i="14"/>
  <c r="BG232" i="14"/>
  <c r="BH232" i="14"/>
  <c r="BG233" i="14"/>
  <c r="BH233" i="14"/>
  <c r="BG234" i="14"/>
  <c r="BH234" i="14"/>
  <c r="BG235" i="14"/>
  <c r="BH235" i="14"/>
  <c r="BG236" i="14"/>
  <c r="BH236" i="14"/>
  <c r="BG237" i="14"/>
  <c r="BH237" i="14"/>
  <c r="BG238" i="14"/>
  <c r="BH238" i="14"/>
  <c r="BG239" i="14"/>
  <c r="BH239" i="14"/>
  <c r="BG240" i="14"/>
  <c r="BH240" i="14"/>
  <c r="BG241" i="14"/>
  <c r="BH241" i="14"/>
  <c r="BG242" i="14"/>
  <c r="E165" i="20" s="1"/>
  <c r="BH242" i="14"/>
  <c r="G165" i="20" s="1"/>
  <c r="BG243" i="14"/>
  <c r="E166" i="20" s="1"/>
  <c r="BH243" i="14"/>
  <c r="G166" i="20" s="1"/>
  <c r="BG244" i="14"/>
  <c r="E167" i="20" s="1"/>
  <c r="BH244" i="14"/>
  <c r="G167" i="20" s="1"/>
  <c r="BG245" i="14"/>
  <c r="E168" i="20" s="1"/>
  <c r="BH245" i="14"/>
  <c r="G168" i="20" s="1"/>
  <c r="BG246" i="14"/>
  <c r="BH246" i="14"/>
  <c r="BG247" i="14"/>
  <c r="BH247" i="14"/>
  <c r="BG248" i="14"/>
  <c r="BH248" i="14"/>
  <c r="BG249" i="14"/>
  <c r="BH249" i="14"/>
  <c r="BG250" i="14"/>
  <c r="BH250" i="14"/>
  <c r="BG251" i="14"/>
  <c r="BH251" i="14"/>
  <c r="BG252" i="14"/>
  <c r="BH252" i="14"/>
  <c r="BG253" i="14"/>
  <c r="BH253" i="14"/>
  <c r="BG254" i="14"/>
  <c r="BH254" i="14"/>
  <c r="BG255" i="14"/>
  <c r="BH255" i="14"/>
  <c r="BG256" i="14"/>
  <c r="BH256" i="14"/>
  <c r="BG257" i="14"/>
  <c r="BH257" i="14"/>
  <c r="BG258" i="14"/>
  <c r="E162" i="20" s="1"/>
  <c r="BH258" i="14"/>
  <c r="G162" i="20" s="1"/>
  <c r="BG259" i="14"/>
  <c r="E163" i="20" s="1"/>
  <c r="BH259" i="14"/>
  <c r="G163" i="20" s="1"/>
  <c r="BG260" i="14"/>
  <c r="E164" i="20" s="1"/>
  <c r="BH260" i="14"/>
  <c r="G164" i="20" s="1"/>
  <c r="BH261" i="14"/>
  <c r="BG262" i="14"/>
  <c r="BH262" i="14"/>
  <c r="BG263" i="14"/>
  <c r="BH263" i="14"/>
  <c r="BG264" i="14"/>
  <c r="BH264" i="14"/>
  <c r="BG265" i="14"/>
  <c r="BH265" i="14"/>
  <c r="BG266" i="14"/>
  <c r="BH266" i="14"/>
  <c r="BG267" i="14"/>
  <c r="BH267" i="14"/>
  <c r="BG268" i="14"/>
  <c r="BH268" i="14"/>
  <c r="BG269" i="14"/>
  <c r="BH269" i="14"/>
  <c r="BG270" i="14"/>
  <c r="BH270" i="14"/>
  <c r="BG271" i="14"/>
  <c r="BH271" i="14"/>
  <c r="BG272" i="14"/>
  <c r="BH272" i="14"/>
  <c r="BG273" i="14"/>
  <c r="BH273" i="14"/>
  <c r="BG274" i="14"/>
  <c r="BH274" i="14"/>
  <c r="BG275" i="14"/>
  <c r="BH275" i="14"/>
  <c r="BG276" i="14"/>
  <c r="BH276" i="14"/>
  <c r="BG277" i="14"/>
  <c r="E178" i="20" s="1"/>
  <c r="BH277" i="14"/>
  <c r="G178" i="20" s="1"/>
  <c r="BG278" i="14"/>
  <c r="BH278" i="14"/>
  <c r="BG279" i="14"/>
  <c r="BH279" i="14"/>
  <c r="BG280" i="14"/>
  <c r="BH280" i="14"/>
  <c r="BG281" i="14"/>
  <c r="BH281" i="14"/>
  <c r="BG282" i="14"/>
  <c r="BH282" i="14"/>
  <c r="BG283" i="14"/>
  <c r="BH283" i="14"/>
  <c r="BG284" i="14"/>
  <c r="BH284" i="14"/>
  <c r="BG285" i="14"/>
  <c r="BH285" i="14"/>
  <c r="BG286" i="14"/>
  <c r="BH286" i="14"/>
  <c r="BG287" i="14"/>
  <c r="BH287" i="14"/>
  <c r="BG288" i="14"/>
  <c r="E184" i="20" s="1"/>
  <c r="BH288" i="14"/>
  <c r="G184" i="20" s="1"/>
  <c r="G185" i="20"/>
  <c r="BG290" i="14"/>
  <c r="E188" i="20" s="1"/>
  <c r="BH290" i="14"/>
  <c r="G188" i="20" s="1"/>
  <c r="BG291" i="14"/>
  <c r="E189" i="20" s="1"/>
  <c r="BH291" i="14"/>
  <c r="G189" i="20" s="1"/>
  <c r="BG292" i="14"/>
  <c r="E191" i="20" s="1"/>
  <c r="BH292" i="14"/>
  <c r="G191" i="20" s="1"/>
  <c r="BG293" i="14"/>
  <c r="BH293" i="14"/>
  <c r="BG294" i="14"/>
  <c r="BH294" i="14"/>
  <c r="BG295" i="14"/>
  <c r="BH295" i="14"/>
  <c r="BG296" i="14"/>
  <c r="BH296" i="14"/>
  <c r="BG297" i="14"/>
  <c r="BH297" i="14"/>
  <c r="BG298" i="14"/>
  <c r="BH298" i="14"/>
  <c r="BG299" i="14"/>
  <c r="BH299" i="14"/>
  <c r="BG301" i="14"/>
  <c r="E195" i="20" s="1"/>
  <c r="BH301" i="14"/>
  <c r="G195" i="20" s="1"/>
  <c r="BG302" i="14"/>
  <c r="BH302" i="14"/>
  <c r="BG305" i="14"/>
  <c r="BH305" i="14"/>
  <c r="G24" i="20" l="1"/>
  <c r="E24" i="20"/>
  <c r="G26" i="20"/>
  <c r="E26" i="20"/>
  <c r="E25" i="20"/>
  <c r="G25" i="20"/>
  <c r="E21" i="20"/>
  <c r="G21" i="20"/>
  <c r="G20" i="20"/>
  <c r="E20" i="20"/>
  <c r="G15" i="20"/>
  <c r="E15" i="20"/>
  <c r="G192" i="20"/>
  <c r="G190" i="20" s="1"/>
  <c r="E192" i="20"/>
  <c r="E190" i="20" s="1"/>
  <c r="F180" i="15"/>
  <c r="F179" i="15" s="1"/>
  <c r="H180" i="15"/>
  <c r="H179" i="15" s="1"/>
  <c r="G115" i="20"/>
  <c r="E115" i="20"/>
  <c r="G170" i="20"/>
  <c r="G154" i="20"/>
  <c r="G137" i="20"/>
  <c r="G136" i="20"/>
  <c r="G132" i="20"/>
  <c r="G119" i="20"/>
  <c r="G113" i="20"/>
  <c r="G108" i="20"/>
  <c r="G92" i="20"/>
  <c r="G90" i="20"/>
  <c r="G80" i="20"/>
  <c r="G75" i="20"/>
  <c r="G71" i="20"/>
  <c r="G68" i="20"/>
  <c r="G62" i="20"/>
  <c r="G60" i="20" s="1"/>
  <c r="G194" i="20"/>
  <c r="E194" i="20"/>
  <c r="E75" i="20"/>
  <c r="G150" i="20"/>
  <c r="F78" i="15"/>
  <c r="F167" i="15"/>
  <c r="F153" i="15"/>
  <c r="F132" i="15"/>
  <c r="F93" i="15"/>
  <c r="F62" i="15"/>
  <c r="F189" i="15"/>
  <c r="F188" i="15" s="1"/>
  <c r="F68" i="15"/>
  <c r="F67" i="15" s="1"/>
  <c r="G159" i="20"/>
  <c r="F173" i="15"/>
  <c r="F172" i="15" s="1"/>
  <c r="F56" i="15"/>
  <c r="F97" i="15"/>
  <c r="F9" i="15"/>
  <c r="E154" i="20"/>
  <c r="E137" i="20"/>
  <c r="E136" i="20"/>
  <c r="E132" i="20"/>
  <c r="F130" i="15"/>
  <c r="E119" i="20"/>
  <c r="E113" i="20"/>
  <c r="F102" i="15"/>
  <c r="F86" i="15"/>
  <c r="F85" i="15" s="1"/>
  <c r="F84" i="15"/>
  <c r="F83" i="15" s="1"/>
  <c r="F50" i="15"/>
  <c r="F145" i="15"/>
  <c r="G153" i="20"/>
  <c r="F32" i="15"/>
  <c r="F31" i="15" s="1"/>
  <c r="H152" i="15"/>
  <c r="G152" i="20"/>
  <c r="H86" i="15"/>
  <c r="H85" i="15" s="1"/>
  <c r="F147" i="15"/>
  <c r="F28" i="15"/>
  <c r="F27" i="15" s="1"/>
  <c r="G174" i="20"/>
  <c r="G93" i="20"/>
  <c r="H160" i="15"/>
  <c r="H159" i="15" s="1"/>
  <c r="H96" i="15"/>
  <c r="H47" i="15"/>
  <c r="H42" i="15"/>
  <c r="H41" i="15" s="1"/>
  <c r="F126" i="15"/>
  <c r="F125" i="15" s="1"/>
  <c r="F104" i="15"/>
  <c r="F46" i="15"/>
  <c r="F21" i="15"/>
  <c r="F20" i="15" s="1"/>
  <c r="G111" i="20"/>
  <c r="H117" i="15"/>
  <c r="G59" i="20"/>
  <c r="H156" i="15"/>
  <c r="E187" i="20"/>
  <c r="F160" i="15"/>
  <c r="F159" i="15" s="1"/>
  <c r="F156" i="15"/>
  <c r="E88" i="20"/>
  <c r="E82" i="20"/>
  <c r="E81" i="20"/>
  <c r="E66" i="20"/>
  <c r="F47" i="15"/>
  <c r="F42" i="15"/>
  <c r="F41" i="15" s="1"/>
  <c r="F157" i="15"/>
  <c r="F137" i="15"/>
  <c r="F136" i="15" s="1"/>
  <c r="F118" i="15"/>
  <c r="F95" i="15"/>
  <c r="F58" i="15"/>
  <c r="F36" i="15"/>
  <c r="F35" i="15" s="1"/>
  <c r="F15" i="15"/>
  <c r="G161" i="20"/>
  <c r="G155" i="20"/>
  <c r="G110" i="20"/>
  <c r="E174" i="20"/>
  <c r="E173" i="20"/>
  <c r="D62" i="23"/>
  <c r="E170" i="20"/>
  <c r="E161" i="20"/>
  <c r="E159" i="20"/>
  <c r="E155" i="20"/>
  <c r="E153" i="20"/>
  <c r="E152" i="20"/>
  <c r="E150" i="20"/>
  <c r="E111" i="20"/>
  <c r="E110" i="20"/>
  <c r="E109" i="20"/>
  <c r="E108" i="20"/>
  <c r="E107" i="20"/>
  <c r="E97" i="20"/>
  <c r="E93" i="20"/>
  <c r="E92" i="20"/>
  <c r="E90" i="20"/>
  <c r="E80" i="20"/>
  <c r="E71" i="20"/>
  <c r="E68" i="20"/>
  <c r="E65" i="20"/>
  <c r="E62" i="20"/>
  <c r="E59" i="20"/>
  <c r="E16" i="20"/>
  <c r="E4" i="20"/>
  <c r="H184" i="15"/>
  <c r="H178" i="15"/>
  <c r="H175" i="15"/>
  <c r="H168" i="15"/>
  <c r="H146" i="15"/>
  <c r="H140" i="15"/>
  <c r="H135" i="15"/>
  <c r="H131" i="15"/>
  <c r="H128" i="15"/>
  <c r="H121" i="15"/>
  <c r="H111" i="15"/>
  <c r="H110" i="15" s="1"/>
  <c r="H99" i="15"/>
  <c r="H94" i="15"/>
  <c r="H92" i="15"/>
  <c r="H79" i="15"/>
  <c r="H73" i="15"/>
  <c r="H70" i="15"/>
  <c r="H65" i="15"/>
  <c r="H63" i="15"/>
  <c r="H60" i="15"/>
  <c r="H57" i="15"/>
  <c r="H51" i="15"/>
  <c r="H44" i="15"/>
  <c r="H39" i="15"/>
  <c r="H34" i="15"/>
  <c r="H30" i="15"/>
  <c r="H26" i="15"/>
  <c r="H16" i="15"/>
  <c r="H10" i="15"/>
  <c r="G109" i="20"/>
  <c r="G107" i="20"/>
  <c r="G97" i="20"/>
  <c r="G198" i="20"/>
  <c r="F77" i="23"/>
  <c r="G187" i="20"/>
  <c r="G183" i="20"/>
  <c r="G180" i="20"/>
  <c r="G177" i="20"/>
  <c r="G175" i="20"/>
  <c r="G169" i="20"/>
  <c r="G160" i="20"/>
  <c r="G158" i="20"/>
  <c r="G157" i="20"/>
  <c r="G156" i="20"/>
  <c r="G149" i="20"/>
  <c r="G148" i="20"/>
  <c r="G134" i="20"/>
  <c r="G126" i="20"/>
  <c r="G121" i="20"/>
  <c r="G112" i="20"/>
  <c r="G100" i="20"/>
  <c r="G98" i="20"/>
  <c r="G89" i="20"/>
  <c r="G88" i="20"/>
  <c r="G85" i="20"/>
  <c r="G82" i="20"/>
  <c r="G81" i="20"/>
  <c r="G79" i="20"/>
  <c r="G73" i="20"/>
  <c r="G66" i="20"/>
  <c r="G53" i="20"/>
  <c r="G43" i="20"/>
  <c r="G42" i="20"/>
  <c r="G35" i="20"/>
  <c r="G31" i="20"/>
  <c r="BH306" i="14"/>
  <c r="F184" i="15"/>
  <c r="F178" i="15"/>
  <c r="F175" i="15"/>
  <c r="F168" i="15"/>
  <c r="F152" i="15"/>
  <c r="F146" i="15"/>
  <c r="F140" i="15"/>
  <c r="F135" i="15"/>
  <c r="F131" i="15"/>
  <c r="F128" i="15"/>
  <c r="F121" i="15"/>
  <c r="F117" i="15"/>
  <c r="F111" i="15"/>
  <c r="F110" i="15" s="1"/>
  <c r="F99" i="15"/>
  <c r="F96" i="15"/>
  <c r="F94" i="15"/>
  <c r="F92" i="15"/>
  <c r="F79" i="15"/>
  <c r="F73" i="15"/>
  <c r="F70" i="15"/>
  <c r="F65" i="15"/>
  <c r="F63" i="15"/>
  <c r="F60" i="15"/>
  <c r="F57" i="15"/>
  <c r="F51" i="15"/>
  <c r="F44" i="15"/>
  <c r="F39" i="15"/>
  <c r="F34" i="15"/>
  <c r="F30" i="15"/>
  <c r="F26" i="15"/>
  <c r="F16" i="15"/>
  <c r="F10" i="15"/>
  <c r="F62" i="23"/>
  <c r="G173" i="20"/>
  <c r="G140" i="20"/>
  <c r="G65" i="20"/>
  <c r="G16" i="20"/>
  <c r="G4" i="20"/>
  <c r="E198" i="20"/>
  <c r="D77" i="23"/>
  <c r="E183" i="20"/>
  <c r="E180" i="20"/>
  <c r="E177" i="20"/>
  <c r="E175" i="20"/>
  <c r="E169" i="20"/>
  <c r="E160" i="20"/>
  <c r="E158" i="20"/>
  <c r="E157" i="20"/>
  <c r="E156" i="20"/>
  <c r="E149" i="20"/>
  <c r="E148" i="20"/>
  <c r="E140" i="20"/>
  <c r="E134" i="20"/>
  <c r="E126" i="20"/>
  <c r="E121" i="20"/>
  <c r="E112" i="20"/>
  <c r="E100" i="20"/>
  <c r="E98" i="20"/>
  <c r="E89" i="20"/>
  <c r="E85" i="20"/>
  <c r="E79" i="20"/>
  <c r="E73" i="20"/>
  <c r="E53" i="20"/>
  <c r="E43" i="20"/>
  <c r="E42" i="20"/>
  <c r="E35" i="20"/>
  <c r="E31" i="20"/>
  <c r="BG306" i="14"/>
  <c r="H189" i="15"/>
  <c r="H173" i="15"/>
  <c r="H167" i="15"/>
  <c r="H157" i="15"/>
  <c r="H153" i="15"/>
  <c r="H147" i="15"/>
  <c r="H145" i="15"/>
  <c r="H137" i="15"/>
  <c r="H132" i="15"/>
  <c r="H130" i="15"/>
  <c r="H126" i="15"/>
  <c r="H118" i="15"/>
  <c r="H104" i="15"/>
  <c r="H102" i="15"/>
  <c r="H97" i="15"/>
  <c r="H95" i="15"/>
  <c r="H93" i="15"/>
  <c r="H84" i="15"/>
  <c r="H78" i="15"/>
  <c r="H68" i="15"/>
  <c r="H62" i="15"/>
  <c r="H58" i="15"/>
  <c r="H56" i="15"/>
  <c r="H50" i="15"/>
  <c r="H46" i="15"/>
  <c r="H36" i="15"/>
  <c r="H32" i="15"/>
  <c r="H28" i="15"/>
  <c r="H21" i="15"/>
  <c r="H15" i="15"/>
  <c r="H9" i="15"/>
  <c r="AW62" i="14"/>
  <c r="AT10" i="14"/>
  <c r="AT9" i="14"/>
  <c r="AT8" i="14"/>
  <c r="E19" i="20" l="1"/>
  <c r="E18" i="20" s="1"/>
  <c r="G23" i="20"/>
  <c r="G19" i="20"/>
  <c r="G18" i="20" s="1"/>
  <c r="E23" i="20"/>
  <c r="F116" i="15"/>
  <c r="F115" i="15" s="1"/>
  <c r="H155" i="15"/>
  <c r="H154" i="15" s="1"/>
  <c r="H77" i="15"/>
  <c r="H76" i="15" s="1"/>
  <c r="F77" i="15"/>
  <c r="F76" i="15" s="1"/>
  <c r="H151" i="15"/>
  <c r="H150" i="15" s="1"/>
  <c r="F151" i="15"/>
  <c r="F150" i="15" s="1"/>
  <c r="H49" i="15"/>
  <c r="H48" i="15" s="1"/>
  <c r="F129" i="15"/>
  <c r="F166" i="15"/>
  <c r="F165" i="15" s="1"/>
  <c r="E48" i="20"/>
  <c r="G179" i="20"/>
  <c r="E176" i="20"/>
  <c r="E60" i="20"/>
  <c r="E186" i="20"/>
  <c r="E99" i="20"/>
  <c r="E182" i="20"/>
  <c r="G70" i="20"/>
  <c r="G99" i="20"/>
  <c r="E10" i="20"/>
  <c r="G186" i="20"/>
  <c r="G10" i="20"/>
  <c r="G48" i="20"/>
  <c r="G176" i="20"/>
  <c r="E57" i="20"/>
  <c r="E179" i="20"/>
  <c r="F14" i="15"/>
  <c r="F13" i="15" s="1"/>
  <c r="G182" i="20"/>
  <c r="G57" i="20"/>
  <c r="G3" i="20"/>
  <c r="E3" i="20"/>
  <c r="F144" i="15"/>
  <c r="F143" i="15" s="1"/>
  <c r="F55" i="15"/>
  <c r="F101" i="15"/>
  <c r="F100" i="15" s="1"/>
  <c r="F82" i="15"/>
  <c r="F81" i="15" s="1"/>
  <c r="E118" i="20"/>
  <c r="G64" i="20"/>
  <c r="H116" i="15"/>
  <c r="H115" i="15" s="1"/>
  <c r="H101" i="15"/>
  <c r="H100" i="15" s="1"/>
  <c r="E34" i="20"/>
  <c r="G118" i="20"/>
  <c r="F155" i="15"/>
  <c r="F154" i="15" s="1"/>
  <c r="F45" i="15"/>
  <c r="E64" i="20"/>
  <c r="G172" i="20"/>
  <c r="G106" i="20"/>
  <c r="G34" i="20"/>
  <c r="G91" i="20"/>
  <c r="G78" i="20"/>
  <c r="F29" i="15"/>
  <c r="H35" i="15"/>
  <c r="H83" i="15"/>
  <c r="H129" i="15"/>
  <c r="H172" i="15"/>
  <c r="E147" i="20"/>
  <c r="E146" i="20"/>
  <c r="F25" i="15"/>
  <c r="F43" i="15"/>
  <c r="F98" i="15"/>
  <c r="F134" i="15"/>
  <c r="G147" i="20"/>
  <c r="G146" i="20"/>
  <c r="H8" i="15"/>
  <c r="H33" i="15"/>
  <c r="H69" i="15"/>
  <c r="H134" i="15"/>
  <c r="H174" i="15"/>
  <c r="E78" i="20"/>
  <c r="E172" i="20"/>
  <c r="F120" i="15"/>
  <c r="H59" i="15"/>
  <c r="H120" i="15"/>
  <c r="F109" i="15"/>
  <c r="H158" i="15"/>
  <c r="H61" i="15"/>
  <c r="H109" i="15"/>
  <c r="F61" i="23"/>
  <c r="F139" i="15"/>
  <c r="F174" i="15"/>
  <c r="F171" i="15" s="1"/>
  <c r="F76" i="23"/>
  <c r="H38" i="15"/>
  <c r="H72" i="15"/>
  <c r="H98" i="15"/>
  <c r="H139" i="15"/>
  <c r="F49" i="15"/>
  <c r="H14" i="15"/>
  <c r="H27" i="15"/>
  <c r="H67" i="15"/>
  <c r="H136" i="15"/>
  <c r="H188" i="15"/>
  <c r="E196" i="20"/>
  <c r="E197" i="20"/>
  <c r="F187" i="15"/>
  <c r="F8" i="15"/>
  <c r="F33" i="15"/>
  <c r="F69" i="15"/>
  <c r="F127" i="15"/>
  <c r="F177" i="15"/>
  <c r="G196" i="20"/>
  <c r="G197" i="20"/>
  <c r="H25" i="15"/>
  <c r="H43" i="15"/>
  <c r="H127" i="15"/>
  <c r="H183" i="15"/>
  <c r="E91" i="20"/>
  <c r="E106" i="20"/>
  <c r="D61" i="23"/>
  <c r="F19" i="15"/>
  <c r="F61" i="15"/>
  <c r="F158" i="15"/>
  <c r="H20" i="15"/>
  <c r="D76" i="23"/>
  <c r="F64" i="15"/>
  <c r="H177" i="15"/>
  <c r="H45" i="15"/>
  <c r="F90" i="15"/>
  <c r="H90" i="15"/>
  <c r="H31" i="15"/>
  <c r="H55" i="15"/>
  <c r="H125" i="15"/>
  <c r="H144" i="15"/>
  <c r="H166" i="15"/>
  <c r="F38" i="15"/>
  <c r="F59" i="15"/>
  <c r="F72" i="15"/>
  <c r="F183" i="15"/>
  <c r="H29" i="15"/>
  <c r="H64" i="15"/>
  <c r="E70" i="20"/>
  <c r="G47" i="20" l="1"/>
  <c r="H7" i="24" s="1"/>
  <c r="E69" i="20"/>
  <c r="F14" i="24"/>
  <c r="E63" i="20"/>
  <c r="G117" i="20"/>
  <c r="G63" i="20"/>
  <c r="F3" i="24"/>
  <c r="H5" i="24"/>
  <c r="F11" i="24"/>
  <c r="F5" i="24"/>
  <c r="G105" i="20"/>
  <c r="E117" i="20"/>
  <c r="H19" i="24"/>
  <c r="J19" i="24" s="1"/>
  <c r="F19" i="24"/>
  <c r="H14" i="24"/>
  <c r="H18" i="24"/>
  <c r="J18" i="24" s="1"/>
  <c r="F18" i="24"/>
  <c r="H3" i="24"/>
  <c r="G9" i="20"/>
  <c r="H11" i="24"/>
  <c r="G69" i="20"/>
  <c r="E105" i="20"/>
  <c r="E47" i="20"/>
  <c r="E171" i="20"/>
  <c r="G171" i="20"/>
  <c r="G181" i="20"/>
  <c r="E9" i="20"/>
  <c r="E181" i="20"/>
  <c r="G22" i="20"/>
  <c r="E22" i="20"/>
  <c r="G77" i="20"/>
  <c r="F37" i="15"/>
  <c r="F89" i="15"/>
  <c r="H176" i="15"/>
  <c r="F18" i="15"/>
  <c r="H71" i="15"/>
  <c r="F64" i="23"/>
  <c r="F119" i="15"/>
  <c r="F114" i="15" s="1"/>
  <c r="H7" i="15"/>
  <c r="H149" i="15"/>
  <c r="F149" i="15"/>
  <c r="H138" i="15"/>
  <c r="F79" i="23"/>
  <c r="F182" i="15"/>
  <c r="F54" i="15"/>
  <c r="H19" i="15"/>
  <c r="D64" i="23"/>
  <c r="H182" i="15"/>
  <c r="F66" i="15"/>
  <c r="H187" i="15"/>
  <c r="H66" i="15"/>
  <c r="F48" i="15"/>
  <c r="F24" i="15"/>
  <c r="H75" i="15"/>
  <c r="H143" i="15"/>
  <c r="D79" i="23"/>
  <c r="F186" i="15"/>
  <c r="F138" i="15"/>
  <c r="F108" i="15"/>
  <c r="F133" i="15"/>
  <c r="H82" i="15"/>
  <c r="F71" i="15"/>
  <c r="H165" i="15"/>
  <c r="H124" i="15"/>
  <c r="H54" i="15"/>
  <c r="H89" i="15"/>
  <c r="H40" i="15"/>
  <c r="F7" i="18" s="1"/>
  <c r="F75" i="15"/>
  <c r="H24" i="15"/>
  <c r="F5" i="18" s="1"/>
  <c r="F176" i="15"/>
  <c r="F7" i="15"/>
  <c r="H13" i="15"/>
  <c r="H37" i="15"/>
  <c r="F6" i="18" s="1"/>
  <c r="H108" i="15"/>
  <c r="F142" i="15"/>
  <c r="H119" i="15"/>
  <c r="E77" i="20"/>
  <c r="H133" i="15"/>
  <c r="F40" i="15"/>
  <c r="H171" i="15"/>
  <c r="F124" i="15"/>
  <c r="F164" i="15"/>
  <c r="F12" i="15"/>
  <c r="AT277" i="14"/>
  <c r="AT271" i="14"/>
  <c r="F8" i="18" l="1"/>
  <c r="E199" i="20"/>
  <c r="F10" i="24"/>
  <c r="F4" i="24"/>
  <c r="H17" i="24"/>
  <c r="J17" i="24" s="1"/>
  <c r="J20" i="24" s="1"/>
  <c r="B38" i="24" s="1"/>
  <c r="H15" i="24"/>
  <c r="F15" i="24"/>
  <c r="H4" i="24"/>
  <c r="J7" i="24"/>
  <c r="F13" i="24"/>
  <c r="H13" i="24"/>
  <c r="F7" i="24"/>
  <c r="F9" i="24"/>
  <c r="F6" i="24"/>
  <c r="H6" i="24"/>
  <c r="F17" i="24"/>
  <c r="F20" i="24" s="1"/>
  <c r="J11" i="24"/>
  <c r="J3" i="24"/>
  <c r="J14" i="24"/>
  <c r="H12" i="24"/>
  <c r="J5" i="24"/>
  <c r="H8" i="24"/>
  <c r="F8" i="24"/>
  <c r="H9" i="24"/>
  <c r="H10" i="24"/>
  <c r="F12" i="24"/>
  <c r="G199" i="20"/>
  <c r="H12" i="15"/>
  <c r="H164" i="15"/>
  <c r="F123" i="15"/>
  <c r="H53" i="15"/>
  <c r="H142" i="15"/>
  <c r="H18" i="15"/>
  <c r="F53" i="15"/>
  <c r="H170" i="15"/>
  <c r="D5" i="18"/>
  <c r="D6" i="18"/>
  <c r="H81" i="15"/>
  <c r="F23" i="15"/>
  <c r="D7" i="18"/>
  <c r="H123" i="15"/>
  <c r="H186" i="15"/>
  <c r="H114" i="15"/>
  <c r="F81" i="23"/>
  <c r="F88" i="15"/>
  <c r="H23" i="15"/>
  <c r="F170" i="15"/>
  <c r="F191" i="15" s="1"/>
  <c r="F6" i="15"/>
  <c r="D8" i="18"/>
  <c r="H88" i="15"/>
  <c r="D81" i="23"/>
  <c r="H6" i="15"/>
  <c r="BC208" i="14"/>
  <c r="BC140" i="14"/>
  <c r="AT157" i="14"/>
  <c r="AT158" i="14"/>
  <c r="AN162" i="14"/>
  <c r="AN160" i="14"/>
  <c r="AN144" i="14"/>
  <c r="AN306" i="14" s="1"/>
  <c r="C27" i="23"/>
  <c r="C7" i="23"/>
  <c r="E105" i="15"/>
  <c r="C46" i="23" l="1"/>
  <c r="E46" i="23" s="1"/>
  <c r="B36" i="24"/>
  <c r="J12" i="24"/>
  <c r="J9" i="24"/>
  <c r="H20" i="24"/>
  <c r="J8" i="24"/>
  <c r="J10" i="24"/>
  <c r="J6" i="24"/>
  <c r="J13" i="24"/>
  <c r="J4" i="24"/>
  <c r="J15" i="24"/>
  <c r="H16" i="24"/>
  <c r="F16" i="24"/>
  <c r="I105" i="15"/>
  <c r="G105" i="15"/>
  <c r="H162" i="15"/>
  <c r="H191" i="15"/>
  <c r="G27" i="23"/>
  <c r="E27" i="23"/>
  <c r="D9" i="18"/>
  <c r="E7" i="23"/>
  <c r="G7" i="23"/>
  <c r="F162" i="15"/>
  <c r="AT133" i="14"/>
  <c r="G46" i="23" l="1"/>
  <c r="B27" i="24"/>
  <c r="F22" i="24"/>
  <c r="B37" i="24"/>
  <c r="H22" i="24"/>
  <c r="B51" i="24" s="1"/>
  <c r="B28" i="24"/>
  <c r="J16" i="24"/>
  <c r="H193" i="15"/>
  <c r="F193" i="15"/>
  <c r="AT131" i="14"/>
  <c r="B29" i="24" l="1"/>
  <c r="J22" i="24"/>
  <c r="B50" i="24"/>
  <c r="AT71" i="14"/>
  <c r="AT70" i="14"/>
  <c r="AT69" i="14"/>
  <c r="AT68" i="14"/>
  <c r="AT64" i="14"/>
  <c r="AT63" i="14"/>
  <c r="AT61" i="14"/>
  <c r="AT60" i="14"/>
  <c r="AT58" i="14"/>
  <c r="AT56" i="14"/>
  <c r="AT55" i="14"/>
  <c r="AT54" i="14"/>
  <c r="AT53" i="14"/>
  <c r="AT52" i="14"/>
  <c r="C23" i="23"/>
  <c r="AZ306" i="14"/>
  <c r="B52" i="24" l="1"/>
  <c r="G23" i="23"/>
  <c r="E23" i="23"/>
  <c r="AT16" i="14"/>
  <c r="AT14" i="14"/>
  <c r="A11" i="20" l="1"/>
  <c r="A12" i="20" s="1"/>
  <c r="A13" i="20" s="1"/>
  <c r="A14" i="20" s="1"/>
  <c r="A15" i="20" s="1"/>
  <c r="A16" i="20" s="1"/>
  <c r="A17" i="20" s="1"/>
  <c r="C4" i="25" s="1"/>
  <c r="C8" i="23"/>
  <c r="E8" i="23" l="1"/>
  <c r="G8" i="23"/>
  <c r="BF305" i="14"/>
  <c r="BF302" i="14"/>
  <c r="BF301" i="14"/>
  <c r="D195" i="20" s="1"/>
  <c r="BF299" i="14"/>
  <c r="BF298" i="14"/>
  <c r="BF297" i="14"/>
  <c r="BF296" i="14"/>
  <c r="BF295" i="14"/>
  <c r="BF294" i="14"/>
  <c r="BF293" i="14"/>
  <c r="BF292" i="14"/>
  <c r="D191" i="20" s="1"/>
  <c r="BF291" i="14"/>
  <c r="BF290" i="14"/>
  <c r="BF283" i="14"/>
  <c r="BF282" i="14"/>
  <c r="BF281" i="14"/>
  <c r="BF274" i="14"/>
  <c r="BF267" i="14"/>
  <c r="BF262" i="14"/>
  <c r="BF259" i="14"/>
  <c r="BF258" i="14"/>
  <c r="BF257" i="14"/>
  <c r="BF256" i="14"/>
  <c r="BF255" i="14"/>
  <c r="BF254" i="14"/>
  <c r="BF253" i="14"/>
  <c r="BF252" i="14"/>
  <c r="BF251" i="14"/>
  <c r="BF250" i="14"/>
  <c r="BF249" i="14"/>
  <c r="BF248" i="14"/>
  <c r="BF243" i="14"/>
  <c r="BF242" i="14"/>
  <c r="BF240" i="14"/>
  <c r="BF239" i="14"/>
  <c r="BF238" i="14"/>
  <c r="BF236" i="14"/>
  <c r="BF235" i="14"/>
  <c r="BF234" i="14"/>
  <c r="BF233" i="14"/>
  <c r="BF232" i="14"/>
  <c r="BF231" i="14"/>
  <c r="BF230" i="14"/>
  <c r="BF229" i="14"/>
  <c r="BF228" i="14"/>
  <c r="BF227" i="14"/>
  <c r="BF226" i="14"/>
  <c r="BF225" i="14"/>
  <c r="BF224" i="14"/>
  <c r="BF223" i="14"/>
  <c r="BF222" i="14"/>
  <c r="BF221" i="14"/>
  <c r="BF220" i="14"/>
  <c r="BF219" i="14"/>
  <c r="BF203" i="14"/>
  <c r="BF218" i="14"/>
  <c r="BF217" i="14"/>
  <c r="BF216" i="14"/>
  <c r="BF215" i="14"/>
  <c r="BF202" i="14"/>
  <c r="BF214" i="14"/>
  <c r="BF213" i="14"/>
  <c r="BF212" i="14"/>
  <c r="BF211" i="14"/>
  <c r="BF210" i="14"/>
  <c r="BF208" i="14"/>
  <c r="BF207" i="14"/>
  <c r="BF206" i="14"/>
  <c r="BF205" i="14"/>
  <c r="BF204" i="14"/>
  <c r="BF197" i="14"/>
  <c r="BF196" i="14"/>
  <c r="BF190" i="14"/>
  <c r="BF189" i="14"/>
  <c r="BF188" i="14"/>
  <c r="BF187" i="14"/>
  <c r="BF181" i="14"/>
  <c r="BF180" i="14"/>
  <c r="BF174" i="14"/>
  <c r="BF171" i="14"/>
  <c r="BF170" i="14"/>
  <c r="BF168" i="14"/>
  <c r="BF167" i="14"/>
  <c r="BF166" i="14"/>
  <c r="BF165" i="14"/>
  <c r="BF164" i="14"/>
  <c r="BF163" i="14"/>
  <c r="BF162" i="14"/>
  <c r="BF161" i="14"/>
  <c r="BF159" i="14"/>
  <c r="BF158" i="14"/>
  <c r="BF156" i="14"/>
  <c r="BF155" i="14"/>
  <c r="BF154" i="14"/>
  <c r="BF153" i="14"/>
  <c r="BF152" i="14"/>
  <c r="BF151" i="14"/>
  <c r="BF150" i="14"/>
  <c r="BF148" i="14"/>
  <c r="BF147" i="14"/>
  <c r="BF146" i="14"/>
  <c r="BF145" i="14"/>
  <c r="BF143" i="14"/>
  <c r="BF139" i="14"/>
  <c r="BF138" i="14"/>
  <c r="BF137" i="14"/>
  <c r="BF134" i="14"/>
  <c r="D104" i="20" s="1"/>
  <c r="BF130" i="14"/>
  <c r="BF129" i="14"/>
  <c r="BF127" i="14"/>
  <c r="BF126" i="14"/>
  <c r="BF125" i="14"/>
  <c r="BF119" i="14"/>
  <c r="BF116" i="14"/>
  <c r="BF115" i="14"/>
  <c r="BF114" i="14"/>
  <c r="BF112" i="14"/>
  <c r="BF108" i="14"/>
  <c r="BF104" i="14"/>
  <c r="BF101" i="14"/>
  <c r="BF93" i="14"/>
  <c r="D76" i="20" s="1"/>
  <c r="BF91" i="14"/>
  <c r="BF89" i="14"/>
  <c r="BF85" i="14"/>
  <c r="BF84" i="14"/>
  <c r="BF81" i="14"/>
  <c r="BF77" i="14"/>
  <c r="BF76" i="14"/>
  <c r="BF75" i="14"/>
  <c r="BF73" i="14"/>
  <c r="BF65" i="14"/>
  <c r="BF64" i="14"/>
  <c r="BF61" i="14"/>
  <c r="BF59" i="14"/>
  <c r="BF58" i="14"/>
  <c r="BF57" i="14"/>
  <c r="BF54" i="14"/>
  <c r="BF51" i="14"/>
  <c r="BF50" i="14"/>
  <c r="BF49" i="14"/>
  <c r="D45" i="20" s="1"/>
  <c r="BF46" i="14"/>
  <c r="BF45" i="14"/>
  <c r="BF43" i="14"/>
  <c r="BF42" i="14"/>
  <c r="BF38" i="14"/>
  <c r="D37" i="20" s="1"/>
  <c r="BF37" i="14"/>
  <c r="D36" i="20" s="1"/>
  <c r="BF36" i="14"/>
  <c r="D38" i="20" s="1"/>
  <c r="BF33" i="14"/>
  <c r="BF32" i="14"/>
  <c r="D32" i="20" s="1"/>
  <c r="BF30" i="14"/>
  <c r="D28" i="20" s="1"/>
  <c r="BF22" i="14"/>
  <c r="BF21" i="14"/>
  <c r="BF20" i="14"/>
  <c r="BF19" i="14"/>
  <c r="BF18" i="14"/>
  <c r="BF17" i="14"/>
  <c r="BF16" i="14"/>
  <c r="BF15" i="14"/>
  <c r="BF12" i="14"/>
  <c r="BF11" i="14"/>
  <c r="D8" i="20" s="1"/>
  <c r="D192" i="20" l="1"/>
  <c r="D190" i="20" s="1"/>
  <c r="E180" i="15"/>
  <c r="E179" i="15" s="1"/>
  <c r="F32" i="20"/>
  <c r="H32" i="20"/>
  <c r="H37" i="20"/>
  <c r="F37" i="20"/>
  <c r="H76" i="20"/>
  <c r="F76" i="20"/>
  <c r="H8" i="20"/>
  <c r="F8" i="20"/>
  <c r="H45" i="20"/>
  <c r="F45" i="20"/>
  <c r="F38" i="20"/>
  <c r="H38" i="20"/>
  <c r="H104" i="20"/>
  <c r="F104" i="20"/>
  <c r="F191" i="20"/>
  <c r="H191" i="20"/>
  <c r="H28" i="20"/>
  <c r="F28" i="20"/>
  <c r="F36" i="20"/>
  <c r="H36" i="20"/>
  <c r="H195" i="20"/>
  <c r="F195" i="20"/>
  <c r="E28" i="15"/>
  <c r="D30" i="20"/>
  <c r="AT280" i="14"/>
  <c r="BF280" i="14" s="1"/>
  <c r="AT279" i="14"/>
  <c r="BF279" i="14" s="1"/>
  <c r="AT278" i="14"/>
  <c r="BF278" i="14" s="1"/>
  <c r="BF277" i="14"/>
  <c r="BF276" i="14"/>
  <c r="BF275" i="14"/>
  <c r="AT273" i="14"/>
  <c r="BF273" i="14" s="1"/>
  <c r="AT272" i="14"/>
  <c r="BF272" i="14" s="1"/>
  <c r="BF271" i="14"/>
  <c r="AT270" i="14"/>
  <c r="BF270" i="14" s="1"/>
  <c r="AT269" i="14"/>
  <c r="BF269" i="14" s="1"/>
  <c r="AT268" i="14"/>
  <c r="BF268" i="14" s="1"/>
  <c r="AT266" i="14"/>
  <c r="BF266" i="14" s="1"/>
  <c r="AT265" i="14"/>
  <c r="BF265" i="14" s="1"/>
  <c r="AT264" i="14"/>
  <c r="BF264" i="14" s="1"/>
  <c r="AT263" i="14"/>
  <c r="BF263" i="14" s="1"/>
  <c r="AT261" i="14"/>
  <c r="BF261" i="14" s="1"/>
  <c r="AK245" i="14"/>
  <c r="AH260" i="14"/>
  <c r="BF260" i="14" s="1"/>
  <c r="AH244" i="14"/>
  <c r="BF244" i="14" s="1"/>
  <c r="AH241" i="14"/>
  <c r="BF241" i="14" s="1"/>
  <c r="BF237" i="14"/>
  <c r="AH209" i="14"/>
  <c r="AE247" i="14"/>
  <c r="AE246" i="14"/>
  <c r="BF246" i="14" s="1"/>
  <c r="BF201" i="14"/>
  <c r="AT200" i="14"/>
  <c r="BF200" i="14" s="1"/>
  <c r="AT199" i="14"/>
  <c r="BF199" i="14" s="1"/>
  <c r="AT198" i="14"/>
  <c r="BF198" i="14" s="1"/>
  <c r="AT195" i="14"/>
  <c r="BF195" i="14" s="1"/>
  <c r="AT193" i="14"/>
  <c r="BF193" i="14" s="1"/>
  <c r="BF192" i="14"/>
  <c r="AT191" i="14"/>
  <c r="BF191" i="14" s="1"/>
  <c r="AT186" i="14"/>
  <c r="BF186" i="14" s="1"/>
  <c r="AT185" i="14"/>
  <c r="BF185" i="14" s="1"/>
  <c r="AT184" i="14"/>
  <c r="BF184" i="14" s="1"/>
  <c r="AT183" i="14"/>
  <c r="BF183" i="14" s="1"/>
  <c r="AT182" i="14"/>
  <c r="BF182" i="14" s="1"/>
  <c r="AT179" i="14"/>
  <c r="BF179" i="14" s="1"/>
  <c r="BF178" i="14"/>
  <c r="AT177" i="14"/>
  <c r="BF177" i="14" s="1"/>
  <c r="AT176" i="14"/>
  <c r="BF176" i="14" s="1"/>
  <c r="AT175" i="14"/>
  <c r="BF175" i="14" s="1"/>
  <c r="AT173" i="14"/>
  <c r="BF173" i="14" s="1"/>
  <c r="AT172" i="14"/>
  <c r="AB194" i="14"/>
  <c r="BF194" i="14" s="1"/>
  <c r="AE169" i="14"/>
  <c r="AE160" i="14"/>
  <c r="AE141" i="14"/>
  <c r="BF135" i="14"/>
  <c r="AT169" i="14"/>
  <c r="AT160" i="14"/>
  <c r="BF157" i="14"/>
  <c r="AT149" i="14"/>
  <c r="BF149" i="14" s="1"/>
  <c r="AT144" i="14"/>
  <c r="BF144" i="14" s="1"/>
  <c r="AT142" i="14"/>
  <c r="BF142" i="14" s="1"/>
  <c r="AT140" i="14"/>
  <c r="BF140" i="14" s="1"/>
  <c r="AT136" i="14"/>
  <c r="BF133" i="14"/>
  <c r="BF131" i="14"/>
  <c r="W134" i="14"/>
  <c r="W135" i="14"/>
  <c r="AT128" i="14"/>
  <c r="AT124" i="14"/>
  <c r="BF124" i="14" s="1"/>
  <c r="AT123" i="14"/>
  <c r="BF123" i="14" s="1"/>
  <c r="AT122" i="14"/>
  <c r="BF122" i="14" s="1"/>
  <c r="AT121" i="14"/>
  <c r="BF121" i="14" s="1"/>
  <c r="AT120" i="14"/>
  <c r="BF118" i="14"/>
  <c r="AT117" i="14"/>
  <c r="BF117" i="14" s="1"/>
  <c r="AT113" i="14"/>
  <c r="BF113" i="14" s="1"/>
  <c r="AT111" i="14"/>
  <c r="BF111" i="14" s="1"/>
  <c r="AT110" i="14"/>
  <c r="BF110" i="14" s="1"/>
  <c r="AT109" i="14"/>
  <c r="BF109" i="14" s="1"/>
  <c r="AT107" i="14"/>
  <c r="BF107" i="14" s="1"/>
  <c r="AT106" i="14"/>
  <c r="BF106" i="14" s="1"/>
  <c r="AT105" i="14"/>
  <c r="BF105" i="14" s="1"/>
  <c r="AT103" i="14"/>
  <c r="BF103" i="14" s="1"/>
  <c r="AT102" i="14"/>
  <c r="BF102" i="14" s="1"/>
  <c r="AT100" i="14"/>
  <c r="BF100" i="14" s="1"/>
  <c r="AT99" i="14"/>
  <c r="BF99" i="14" s="1"/>
  <c r="AT98" i="14"/>
  <c r="BF98" i="14" s="1"/>
  <c r="AT97" i="14"/>
  <c r="BF97" i="14" s="1"/>
  <c r="AT96" i="14"/>
  <c r="BF96" i="14" s="1"/>
  <c r="AT95" i="14"/>
  <c r="BF95" i="14" s="1"/>
  <c r="AT94" i="14"/>
  <c r="AT92" i="14"/>
  <c r="BF92" i="14" s="1"/>
  <c r="AT90" i="14"/>
  <c r="BF90" i="14" s="1"/>
  <c r="AW88" i="14"/>
  <c r="BF88" i="14" s="1"/>
  <c r="BF87" i="14"/>
  <c r="AT86" i="14"/>
  <c r="BF86" i="14" s="1"/>
  <c r="AT83" i="14"/>
  <c r="W93" i="14"/>
  <c r="BF82" i="14"/>
  <c r="AT79" i="14"/>
  <c r="BF79" i="14" s="1"/>
  <c r="AT74" i="14"/>
  <c r="AB80" i="14"/>
  <c r="BF80" i="14" s="1"/>
  <c r="AB78" i="14"/>
  <c r="BF78" i="14" s="1"/>
  <c r="AB74" i="14"/>
  <c r="AT72" i="14"/>
  <c r="BF72" i="14" s="1"/>
  <c r="BF71" i="14"/>
  <c r="BF70" i="14"/>
  <c r="BF69" i="14"/>
  <c r="BF68" i="14"/>
  <c r="AT67" i="14"/>
  <c r="BF66" i="14"/>
  <c r="BF63" i="14"/>
  <c r="D56" i="20" s="1"/>
  <c r="BF62" i="14"/>
  <c r="BF60" i="14"/>
  <c r="BF56" i="14"/>
  <c r="BF55" i="14"/>
  <c r="BF53" i="14"/>
  <c r="BF52" i="14"/>
  <c r="BF245" i="14" l="1"/>
  <c r="AK306" i="14"/>
  <c r="BF209" i="14"/>
  <c r="AH306" i="14"/>
  <c r="BF160" i="14"/>
  <c r="D75" i="20"/>
  <c r="F75" i="20" s="1"/>
  <c r="F56" i="20"/>
  <c r="H56" i="20"/>
  <c r="F192" i="20"/>
  <c r="H192" i="20"/>
  <c r="F30" i="20"/>
  <c r="H30" i="20"/>
  <c r="E27" i="15"/>
  <c r="G28" i="15"/>
  <c r="I28" i="15"/>
  <c r="BF67" i="14"/>
  <c r="C26" i="23"/>
  <c r="BF136" i="14"/>
  <c r="C47" i="23"/>
  <c r="C31" i="23"/>
  <c r="BF83" i="14"/>
  <c r="D71" i="20" s="1"/>
  <c r="C35" i="23"/>
  <c r="BF120" i="14"/>
  <c r="E103" i="15"/>
  <c r="BF94" i="14"/>
  <c r="C39" i="23"/>
  <c r="E91" i="15"/>
  <c r="C30" i="23"/>
  <c r="BF128" i="14"/>
  <c r="E106" i="15"/>
  <c r="BF132" i="14"/>
  <c r="C42" i="23"/>
  <c r="E112" i="15"/>
  <c r="C45" i="23"/>
  <c r="BF172" i="14"/>
  <c r="C52" i="23"/>
  <c r="E132" i="15"/>
  <c r="E131" i="15"/>
  <c r="E130" i="15"/>
  <c r="E86" i="15"/>
  <c r="BF169" i="14"/>
  <c r="BF74" i="14"/>
  <c r="BF141" i="14"/>
  <c r="BF247" i="14"/>
  <c r="BF14" i="14"/>
  <c r="AT13" i="14"/>
  <c r="AT23" i="14"/>
  <c r="BF23" i="14" s="1"/>
  <c r="H75" i="20" l="1"/>
  <c r="F71" i="20"/>
  <c r="H71" i="20"/>
  <c r="F190" i="20"/>
  <c r="H190" i="20"/>
  <c r="G86" i="15"/>
  <c r="I86" i="15"/>
  <c r="G52" i="23"/>
  <c r="E52" i="23"/>
  <c r="G42" i="23"/>
  <c r="E42" i="23"/>
  <c r="G30" i="23"/>
  <c r="E30" i="23"/>
  <c r="G103" i="15"/>
  <c r="I103" i="15"/>
  <c r="G31" i="23"/>
  <c r="E31" i="23"/>
  <c r="G130" i="15"/>
  <c r="I130" i="15"/>
  <c r="G91" i="15"/>
  <c r="I91" i="15"/>
  <c r="G47" i="23"/>
  <c r="E47" i="23"/>
  <c r="I131" i="15"/>
  <c r="G131" i="15"/>
  <c r="G45" i="23"/>
  <c r="E45" i="23"/>
  <c r="G106" i="15"/>
  <c r="I106" i="15"/>
  <c r="G39" i="23"/>
  <c r="E39" i="23"/>
  <c r="E35" i="23"/>
  <c r="G35" i="23"/>
  <c r="G132" i="15"/>
  <c r="I132" i="15"/>
  <c r="G112" i="15"/>
  <c r="I112" i="15"/>
  <c r="G26" i="23"/>
  <c r="E26" i="23"/>
  <c r="G27" i="15"/>
  <c r="I27" i="15"/>
  <c r="BF13" i="14"/>
  <c r="C11" i="23"/>
  <c r="E117" i="15"/>
  <c r="W51" i="14"/>
  <c r="I117" i="15" l="1"/>
  <c r="G117" i="15"/>
  <c r="G11" i="23"/>
  <c r="E11" i="23"/>
  <c r="BF48" i="14"/>
  <c r="E51" i="15" s="1"/>
  <c r="AQ47" i="14"/>
  <c r="BF47" i="14" s="1"/>
  <c r="AB44" i="14"/>
  <c r="AB41" i="14"/>
  <c r="BF41" i="14" s="1"/>
  <c r="AW40" i="14"/>
  <c r="BF40" i="14" s="1"/>
  <c r="AW39" i="14"/>
  <c r="BF39" i="14" s="1"/>
  <c r="W36" i="14"/>
  <c r="W11" i="14"/>
  <c r="BC35" i="14"/>
  <c r="C22" i="23" s="1"/>
  <c r="AB31" i="14"/>
  <c r="BF31" i="14" s="1"/>
  <c r="G22" i="23" l="1"/>
  <c r="E22" i="23"/>
  <c r="G51" i="15"/>
  <c r="I51" i="15"/>
  <c r="BF34" i="14"/>
  <c r="C21" i="23"/>
  <c r="BF27" i="14"/>
  <c r="C18" i="23"/>
  <c r="BF35" i="14"/>
  <c r="BC24" i="14"/>
  <c r="AT25" i="14"/>
  <c r="BF25" i="14" s="1"/>
  <c r="AT24" i="14"/>
  <c r="C14" i="23" s="1"/>
  <c r="E42" i="15" l="1"/>
  <c r="G42" i="15" s="1"/>
  <c r="E18" i="23"/>
  <c r="G18" i="23"/>
  <c r="G14" i="23"/>
  <c r="E14" i="23"/>
  <c r="G21" i="23"/>
  <c r="E21" i="23"/>
  <c r="BF24" i="14"/>
  <c r="BF10" i="14"/>
  <c r="BF9" i="14"/>
  <c r="BF8" i="14"/>
  <c r="I42" i="15" l="1"/>
  <c r="E10" i="15"/>
  <c r="C6" i="23"/>
  <c r="G6" i="23" s="1"/>
  <c r="E6" i="23" l="1"/>
  <c r="I10" i="15"/>
  <c r="G10" i="15"/>
  <c r="A20" i="20"/>
  <c r="A21" i="20" s="1"/>
  <c r="A24" i="20" l="1"/>
  <c r="A25" i="20" s="1"/>
  <c r="A26" i="20" s="1"/>
  <c r="A27" i="20" s="1"/>
  <c r="A28" i="20" s="1"/>
  <c r="A29" i="20" s="1"/>
  <c r="A30" i="20" s="1"/>
  <c r="A32" i="20" s="1"/>
  <c r="A33" i="20" s="1"/>
  <c r="A35" i="20" s="1"/>
  <c r="C5" i="25"/>
  <c r="C70" i="23"/>
  <c r="E69" i="23" l="1"/>
  <c r="G69" i="23"/>
  <c r="G70" i="23"/>
  <c r="E70" i="23"/>
  <c r="A36" i="20"/>
  <c r="A37" i="20" s="1"/>
  <c r="A38" i="20" s="1"/>
  <c r="BF289" i="14"/>
  <c r="A39" i="20" l="1"/>
  <c r="A40" i="20" s="1"/>
  <c r="A41" i="20" s="1"/>
  <c r="A42" i="20" s="1"/>
  <c r="A44" i="20" s="1"/>
  <c r="BF288" i="14"/>
  <c r="AE287" i="14"/>
  <c r="BF287" i="14" s="1"/>
  <c r="AB286" i="14"/>
  <c r="BF286" i="14" s="1"/>
  <c r="AB285" i="14"/>
  <c r="BF285" i="14" s="1"/>
  <c r="BF284" i="14"/>
  <c r="A45" i="20" l="1"/>
  <c r="A46" i="20" s="1"/>
  <c r="C68" i="23"/>
  <c r="C67" i="23"/>
  <c r="AT29" i="14"/>
  <c r="BF29" i="14" s="1"/>
  <c r="E34" i="15" s="1"/>
  <c r="A49" i="20" l="1"/>
  <c r="A50" i="20" s="1"/>
  <c r="A51" i="20" s="1"/>
  <c r="A52" i="20" s="1"/>
  <c r="A53" i="20" s="1"/>
  <c r="A54" i="20" s="1"/>
  <c r="C6" i="25"/>
  <c r="I34" i="15"/>
  <c r="G34" i="15"/>
  <c r="G67" i="23"/>
  <c r="E67" i="23"/>
  <c r="G68" i="23"/>
  <c r="E68" i="23"/>
  <c r="A55" i="20"/>
  <c r="A56" i="20" s="1"/>
  <c r="A58" i="20"/>
  <c r="D6" i="20"/>
  <c r="D7" i="20"/>
  <c r="D11" i="20"/>
  <c r="D12" i="20"/>
  <c r="D13" i="20"/>
  <c r="D14" i="20"/>
  <c r="D15" i="20"/>
  <c r="D17" i="20"/>
  <c r="D20" i="20"/>
  <c r="D21" i="20"/>
  <c r="D25" i="20"/>
  <c r="D33" i="20"/>
  <c r="D39" i="20"/>
  <c r="D40" i="20"/>
  <c r="D41" i="20"/>
  <c r="D44" i="20"/>
  <c r="D46" i="20"/>
  <c r="D49" i="20"/>
  <c r="D50" i="20"/>
  <c r="D51" i="20"/>
  <c r="D54" i="20"/>
  <c r="D58" i="20"/>
  <c r="D61" i="20"/>
  <c r="D67" i="20"/>
  <c r="D72" i="20"/>
  <c r="D74" i="20"/>
  <c r="D83" i="20"/>
  <c r="D84" i="20"/>
  <c r="D86" i="20"/>
  <c r="D87" i="20"/>
  <c r="D94" i="20"/>
  <c r="D95" i="20"/>
  <c r="D96" i="20"/>
  <c r="D101" i="20"/>
  <c r="D102" i="20"/>
  <c r="D103" i="20"/>
  <c r="D114" i="20"/>
  <c r="D116" i="20"/>
  <c r="D120" i="20"/>
  <c r="D122" i="20"/>
  <c r="D123" i="20"/>
  <c r="D124" i="20"/>
  <c r="D125" i="20"/>
  <c r="D127" i="20"/>
  <c r="D128" i="20"/>
  <c r="D129" i="20"/>
  <c r="D130" i="20"/>
  <c r="D131" i="20"/>
  <c r="D133" i="20"/>
  <c r="D135" i="20"/>
  <c r="D138" i="20"/>
  <c r="D139" i="20"/>
  <c r="D141" i="20"/>
  <c r="D142" i="20"/>
  <c r="D143" i="20"/>
  <c r="D144" i="20"/>
  <c r="D145" i="20"/>
  <c r="D151" i="20"/>
  <c r="D165" i="20"/>
  <c r="D166" i="20"/>
  <c r="D167" i="20"/>
  <c r="D162" i="20"/>
  <c r="D163" i="20"/>
  <c r="D178" i="20"/>
  <c r="D185" i="20"/>
  <c r="D188" i="20"/>
  <c r="D189" i="20"/>
  <c r="D194" i="20"/>
  <c r="W260" i="14"/>
  <c r="H178" i="20" l="1"/>
  <c r="F178" i="20"/>
  <c r="F166" i="20"/>
  <c r="H166" i="20"/>
  <c r="H144" i="20"/>
  <c r="F144" i="20"/>
  <c r="H139" i="20"/>
  <c r="F139" i="20"/>
  <c r="F131" i="20"/>
  <c r="H131" i="20"/>
  <c r="H127" i="20"/>
  <c r="F127" i="20"/>
  <c r="F122" i="20"/>
  <c r="H122" i="20"/>
  <c r="H103" i="20"/>
  <c r="F103" i="20"/>
  <c r="H95" i="20"/>
  <c r="F95" i="20"/>
  <c r="F84" i="20"/>
  <c r="H84" i="20"/>
  <c r="H67" i="20"/>
  <c r="F67" i="20"/>
  <c r="H51" i="20"/>
  <c r="F51" i="20"/>
  <c r="F44" i="20"/>
  <c r="H44" i="20"/>
  <c r="D31" i="20"/>
  <c r="H33" i="20"/>
  <c r="F33" i="20"/>
  <c r="H17" i="20"/>
  <c r="F17" i="20"/>
  <c r="F12" i="20"/>
  <c r="H12" i="20"/>
  <c r="H163" i="20"/>
  <c r="F163" i="20"/>
  <c r="H143" i="20"/>
  <c r="F143" i="20"/>
  <c r="H138" i="20"/>
  <c r="F138" i="20"/>
  <c r="H130" i="20"/>
  <c r="F130" i="20"/>
  <c r="F125" i="20"/>
  <c r="H125" i="20"/>
  <c r="H120" i="20"/>
  <c r="F120" i="20"/>
  <c r="F102" i="20"/>
  <c r="H102" i="20"/>
  <c r="H94" i="20"/>
  <c r="F94" i="20"/>
  <c r="F83" i="20"/>
  <c r="H83" i="20"/>
  <c r="H61" i="20"/>
  <c r="F61" i="20"/>
  <c r="F50" i="20"/>
  <c r="H50" i="20"/>
  <c r="H41" i="20"/>
  <c r="F41" i="20"/>
  <c r="F25" i="20"/>
  <c r="H25" i="20"/>
  <c r="H15" i="20"/>
  <c r="F15" i="20"/>
  <c r="F11" i="20"/>
  <c r="H11" i="20"/>
  <c r="F194" i="20"/>
  <c r="H194" i="20"/>
  <c r="H165" i="20"/>
  <c r="F165" i="20"/>
  <c r="F162" i="20"/>
  <c r="H162" i="20"/>
  <c r="F142" i="20"/>
  <c r="H142" i="20"/>
  <c r="F129" i="20"/>
  <c r="H129" i="20"/>
  <c r="H124" i="20"/>
  <c r="F124" i="20"/>
  <c r="D115" i="20"/>
  <c r="H116" i="20"/>
  <c r="F116" i="20"/>
  <c r="H101" i="20"/>
  <c r="F101" i="20"/>
  <c r="F87" i="20"/>
  <c r="H87" i="20"/>
  <c r="F74" i="20"/>
  <c r="H74" i="20"/>
  <c r="F58" i="20"/>
  <c r="H58" i="20"/>
  <c r="H49" i="20"/>
  <c r="F49" i="20"/>
  <c r="H40" i="20"/>
  <c r="F40" i="20"/>
  <c r="H21" i="20"/>
  <c r="F21" i="20"/>
  <c r="F14" i="20"/>
  <c r="H14" i="20"/>
  <c r="F7" i="20"/>
  <c r="H7" i="20"/>
  <c r="H189" i="20"/>
  <c r="F189" i="20"/>
  <c r="F188" i="20"/>
  <c r="H188" i="20"/>
  <c r="H151" i="20"/>
  <c r="F151" i="20"/>
  <c r="H135" i="20"/>
  <c r="F135" i="20"/>
  <c r="H185" i="20"/>
  <c r="F185" i="20"/>
  <c r="H167" i="20"/>
  <c r="F167" i="20"/>
  <c r="H145" i="20"/>
  <c r="F145" i="20"/>
  <c r="F141" i="20"/>
  <c r="H141" i="20"/>
  <c r="H133" i="20"/>
  <c r="F133" i="20"/>
  <c r="F128" i="20"/>
  <c r="H128" i="20"/>
  <c r="F123" i="20"/>
  <c r="H123" i="20"/>
  <c r="F114" i="20"/>
  <c r="H114" i="20"/>
  <c r="F96" i="20"/>
  <c r="H96" i="20"/>
  <c r="H86" i="20"/>
  <c r="F86" i="20"/>
  <c r="F72" i="20"/>
  <c r="H72" i="20"/>
  <c r="H54" i="20"/>
  <c r="F54" i="20"/>
  <c r="F46" i="20"/>
  <c r="H46" i="20"/>
  <c r="F39" i="20"/>
  <c r="H39" i="20"/>
  <c r="F20" i="20"/>
  <c r="H20" i="20"/>
  <c r="H13" i="20"/>
  <c r="F13" i="20"/>
  <c r="H6" i="20"/>
  <c r="F6" i="20"/>
  <c r="D100" i="20"/>
  <c r="D187" i="20"/>
  <c r="D140" i="20"/>
  <c r="D137" i="20"/>
  <c r="A59" i="20"/>
  <c r="A61" i="20" s="1"/>
  <c r="A62" i="20" s="1"/>
  <c r="D43" i="20"/>
  <c r="D19" i="20"/>
  <c r="D164" i="20"/>
  <c r="D168" i="20"/>
  <c r="E147" i="15"/>
  <c r="E145" i="15"/>
  <c r="E39" i="15"/>
  <c r="E167" i="15"/>
  <c r="D184" i="20"/>
  <c r="E168" i="15"/>
  <c r="D198" i="20"/>
  <c r="D183" i="20"/>
  <c r="D126" i="20"/>
  <c r="D92" i="20"/>
  <c r="D180" i="20"/>
  <c r="D177" i="20"/>
  <c r="D174" i="20"/>
  <c r="D175" i="20"/>
  <c r="D170" i="20"/>
  <c r="D159" i="20"/>
  <c r="D112" i="20"/>
  <c r="D169" i="20"/>
  <c r="D155" i="20"/>
  <c r="D161" i="20"/>
  <c r="D160" i="20"/>
  <c r="D158" i="20"/>
  <c r="D154" i="20"/>
  <c r="D157" i="20"/>
  <c r="D156" i="20"/>
  <c r="D153" i="20"/>
  <c r="D152" i="20"/>
  <c r="D150" i="20"/>
  <c r="D134" i="20"/>
  <c r="D121" i="20"/>
  <c r="D149" i="20"/>
  <c r="D148" i="20"/>
  <c r="D132" i="20"/>
  <c r="D119" i="20"/>
  <c r="D113" i="20"/>
  <c r="D111" i="20"/>
  <c r="D109" i="20"/>
  <c r="D90" i="20"/>
  <c r="D73" i="20"/>
  <c r="D66" i="20"/>
  <c r="D108" i="20"/>
  <c r="D97" i="20"/>
  <c r="D80" i="20"/>
  <c r="D88" i="20"/>
  <c r="D85" i="20"/>
  <c r="D82" i="20"/>
  <c r="D98" i="20"/>
  <c r="D89" i="20"/>
  <c r="D81" i="20"/>
  <c r="D93" i="20"/>
  <c r="D79" i="20"/>
  <c r="D68" i="20"/>
  <c r="D16" i="20"/>
  <c r="D65" i="20"/>
  <c r="D53" i="20"/>
  <c r="E60" i="15"/>
  <c r="D52" i="20"/>
  <c r="D62" i="20"/>
  <c r="C59" i="23"/>
  <c r="C57" i="23"/>
  <c r="C56" i="23"/>
  <c r="C58" i="23"/>
  <c r="C55" i="23"/>
  <c r="C15" i="23"/>
  <c r="C36" i="23"/>
  <c r="C32" i="23"/>
  <c r="A65" i="20" l="1"/>
  <c r="A66" i="20" s="1"/>
  <c r="A67" i="20" s="1"/>
  <c r="A68" i="20" s="1"/>
  <c r="C8" i="25" s="1"/>
  <c r="C7" i="25"/>
  <c r="H52" i="20"/>
  <c r="F52" i="20"/>
  <c r="D10" i="20"/>
  <c r="F16" i="20"/>
  <c r="H16" i="20"/>
  <c r="H81" i="20"/>
  <c r="F81" i="20"/>
  <c r="F85" i="20"/>
  <c r="H85" i="20"/>
  <c r="F108" i="20"/>
  <c r="H108" i="20"/>
  <c r="H109" i="20"/>
  <c r="F109" i="20"/>
  <c r="H132" i="20"/>
  <c r="F132" i="20"/>
  <c r="F134" i="20"/>
  <c r="H134" i="20"/>
  <c r="F156" i="20"/>
  <c r="H156" i="20"/>
  <c r="H160" i="20"/>
  <c r="F160" i="20"/>
  <c r="H112" i="20"/>
  <c r="F112" i="20"/>
  <c r="H174" i="20"/>
  <c r="F174" i="20"/>
  <c r="F126" i="20"/>
  <c r="H126" i="20"/>
  <c r="H184" i="20"/>
  <c r="F184" i="20"/>
  <c r="H43" i="20"/>
  <c r="F43" i="20"/>
  <c r="D186" i="20"/>
  <c r="H187" i="20"/>
  <c r="F187" i="20"/>
  <c r="H115" i="20"/>
  <c r="F115" i="20"/>
  <c r="H68" i="20"/>
  <c r="F68" i="20"/>
  <c r="F89" i="20"/>
  <c r="H89" i="20"/>
  <c r="F88" i="20"/>
  <c r="H88" i="20"/>
  <c r="H66" i="20"/>
  <c r="F66" i="20"/>
  <c r="H111" i="20"/>
  <c r="F111" i="20"/>
  <c r="H148" i="20"/>
  <c r="F148" i="20"/>
  <c r="F150" i="20"/>
  <c r="H150" i="20"/>
  <c r="H157" i="20"/>
  <c r="F157" i="20"/>
  <c r="F161" i="20"/>
  <c r="H161" i="20"/>
  <c r="F159" i="20"/>
  <c r="H159" i="20"/>
  <c r="D176" i="20"/>
  <c r="H177" i="20"/>
  <c r="F177" i="20"/>
  <c r="F183" i="20"/>
  <c r="H183" i="20"/>
  <c r="F168" i="20"/>
  <c r="H168" i="20"/>
  <c r="D99" i="20"/>
  <c r="F100" i="20"/>
  <c r="H100" i="20"/>
  <c r="F31" i="20"/>
  <c r="H31" i="20"/>
  <c r="H53" i="20"/>
  <c r="F53" i="20"/>
  <c r="F79" i="20"/>
  <c r="H79" i="20"/>
  <c r="H98" i="20"/>
  <c r="F98" i="20"/>
  <c r="F80" i="20"/>
  <c r="H80" i="20"/>
  <c r="D70" i="20"/>
  <c r="D69" i="20" s="1"/>
  <c r="F73" i="20"/>
  <c r="H73" i="20"/>
  <c r="H113" i="20"/>
  <c r="F113" i="20"/>
  <c r="H149" i="20"/>
  <c r="F149" i="20"/>
  <c r="H152" i="20"/>
  <c r="F152" i="20"/>
  <c r="F154" i="20"/>
  <c r="H154" i="20"/>
  <c r="F155" i="20"/>
  <c r="H155" i="20"/>
  <c r="F170" i="20"/>
  <c r="H170" i="20"/>
  <c r="D179" i="20"/>
  <c r="H180" i="20"/>
  <c r="F180" i="20"/>
  <c r="D197" i="20"/>
  <c r="F198" i="20"/>
  <c r="H198" i="20"/>
  <c r="H164" i="20"/>
  <c r="F164" i="20"/>
  <c r="F137" i="20"/>
  <c r="H137" i="20"/>
  <c r="D60" i="20"/>
  <c r="F62" i="20"/>
  <c r="H62" i="20"/>
  <c r="F65" i="20"/>
  <c r="H65" i="20"/>
  <c r="F93" i="20"/>
  <c r="H93" i="20"/>
  <c r="H82" i="20"/>
  <c r="F82" i="20"/>
  <c r="H97" i="20"/>
  <c r="F97" i="20"/>
  <c r="H90" i="20"/>
  <c r="F90" i="20"/>
  <c r="H119" i="20"/>
  <c r="F119" i="20"/>
  <c r="F121" i="20"/>
  <c r="H121" i="20"/>
  <c r="H153" i="20"/>
  <c r="F153" i="20"/>
  <c r="H158" i="20"/>
  <c r="F158" i="20"/>
  <c r="F169" i="20"/>
  <c r="H169" i="20"/>
  <c r="F175" i="20"/>
  <c r="H175" i="20"/>
  <c r="H92" i="20"/>
  <c r="F92" i="20"/>
  <c r="D18" i="20"/>
  <c r="F19" i="20"/>
  <c r="H19" i="20"/>
  <c r="F140" i="20"/>
  <c r="H140" i="20"/>
  <c r="E74" i="23"/>
  <c r="G74" i="23"/>
  <c r="G36" i="23"/>
  <c r="E36" i="23"/>
  <c r="G55" i="23"/>
  <c r="E55" i="23"/>
  <c r="G59" i="23"/>
  <c r="E59" i="23"/>
  <c r="G39" i="15"/>
  <c r="I39" i="15"/>
  <c r="G58" i="23"/>
  <c r="E58" i="23"/>
  <c r="G168" i="15"/>
  <c r="I168" i="15"/>
  <c r="G145" i="15"/>
  <c r="I145" i="15"/>
  <c r="E56" i="23"/>
  <c r="G56" i="23"/>
  <c r="G147" i="15"/>
  <c r="I147" i="15"/>
  <c r="G73" i="23"/>
  <c r="E73" i="23"/>
  <c r="G32" i="23"/>
  <c r="E32" i="23"/>
  <c r="E15" i="23"/>
  <c r="G15" i="23"/>
  <c r="G57" i="23"/>
  <c r="E57" i="23"/>
  <c r="G60" i="15"/>
  <c r="I60" i="15"/>
  <c r="G167" i="15"/>
  <c r="I167" i="15"/>
  <c r="D182" i="20"/>
  <c r="D147" i="20"/>
  <c r="D91" i="20"/>
  <c r="D78" i="20"/>
  <c r="A71" i="20"/>
  <c r="A72" i="20" s="1"/>
  <c r="A73" i="20" s="1"/>
  <c r="A74" i="20" s="1"/>
  <c r="D64" i="20"/>
  <c r="E146" i="15"/>
  <c r="D196" i="20"/>
  <c r="C72" i="23"/>
  <c r="C66" i="23"/>
  <c r="C34" i="23"/>
  <c r="C29" i="23"/>
  <c r="C34" i="15"/>
  <c r="AE306" i="14"/>
  <c r="W305" i="14"/>
  <c r="W304" i="14"/>
  <c r="W303" i="14"/>
  <c r="W302" i="14"/>
  <c r="E184" i="15"/>
  <c r="W301" i="14"/>
  <c r="W299" i="14"/>
  <c r="W298" i="14"/>
  <c r="W297" i="14"/>
  <c r="W296" i="14"/>
  <c r="W295" i="14"/>
  <c r="W294" i="14"/>
  <c r="W293" i="14"/>
  <c r="E178" i="15"/>
  <c r="W292" i="14"/>
  <c r="E175" i="15"/>
  <c r="W291" i="14"/>
  <c r="E173" i="15"/>
  <c r="W290" i="14"/>
  <c r="W289" i="14"/>
  <c r="W288" i="14"/>
  <c r="W287" i="14"/>
  <c r="W286" i="14"/>
  <c r="W285" i="14"/>
  <c r="W284" i="14"/>
  <c r="W283" i="14"/>
  <c r="W282" i="14"/>
  <c r="W281" i="14"/>
  <c r="W280" i="14"/>
  <c r="W279" i="14"/>
  <c r="W278" i="14"/>
  <c r="E157" i="15"/>
  <c r="W277" i="14"/>
  <c r="W276" i="14"/>
  <c r="W275" i="14"/>
  <c r="W274" i="14"/>
  <c r="W273" i="14"/>
  <c r="W272" i="14"/>
  <c r="W271" i="14"/>
  <c r="W270" i="14"/>
  <c r="W269" i="14"/>
  <c r="W268" i="14"/>
  <c r="W267" i="14"/>
  <c r="W266" i="14"/>
  <c r="W265" i="14"/>
  <c r="W264" i="14"/>
  <c r="W263" i="14"/>
  <c r="W262" i="14"/>
  <c r="W261" i="14"/>
  <c r="W201" i="14"/>
  <c r="W200" i="14"/>
  <c r="W199" i="14"/>
  <c r="W198" i="14"/>
  <c r="W197" i="14"/>
  <c r="E137" i="15"/>
  <c r="W196" i="14"/>
  <c r="E135" i="15"/>
  <c r="W195" i="14"/>
  <c r="W194" i="14"/>
  <c r="W193" i="14"/>
  <c r="W192" i="14"/>
  <c r="W191" i="14"/>
  <c r="W190" i="14"/>
  <c r="W189" i="14"/>
  <c r="W188" i="14"/>
  <c r="W187" i="14"/>
  <c r="W186" i="14"/>
  <c r="W185" i="14"/>
  <c r="W184" i="14"/>
  <c r="W183" i="14"/>
  <c r="W182" i="14"/>
  <c r="W181" i="14"/>
  <c r="W180" i="14"/>
  <c r="W179" i="14"/>
  <c r="W178" i="14"/>
  <c r="W177" i="14"/>
  <c r="W176" i="14"/>
  <c r="W175" i="14"/>
  <c r="W174" i="14"/>
  <c r="E128" i="15"/>
  <c r="W173" i="14"/>
  <c r="W172" i="14"/>
  <c r="W171" i="14"/>
  <c r="E121" i="15"/>
  <c r="W170" i="14"/>
  <c r="E118" i="15"/>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E111" i="15"/>
  <c r="W133" i="14"/>
  <c r="W132" i="14"/>
  <c r="W131" i="14"/>
  <c r="W130" i="14"/>
  <c r="W129" i="14"/>
  <c r="W128" i="14"/>
  <c r="W127" i="14"/>
  <c r="W126" i="14"/>
  <c r="W125" i="14"/>
  <c r="E104" i="15"/>
  <c r="W124" i="14"/>
  <c r="W123" i="14"/>
  <c r="W122" i="14"/>
  <c r="W121" i="14"/>
  <c r="W120" i="14"/>
  <c r="W119" i="14"/>
  <c r="W118" i="14"/>
  <c r="W117" i="14"/>
  <c r="W116" i="14"/>
  <c r="W115" i="14"/>
  <c r="W114" i="14"/>
  <c r="W113" i="14"/>
  <c r="W112" i="14"/>
  <c r="W111" i="14"/>
  <c r="W110" i="14"/>
  <c r="E95" i="15"/>
  <c r="W109" i="14"/>
  <c r="E94" i="15"/>
  <c r="W108" i="14"/>
  <c r="W107" i="14"/>
  <c r="W106" i="14"/>
  <c r="E92" i="15"/>
  <c r="W105" i="14"/>
  <c r="W104" i="14"/>
  <c r="W103" i="14"/>
  <c r="W102" i="14"/>
  <c r="W101" i="14"/>
  <c r="W100" i="14"/>
  <c r="W99" i="14"/>
  <c r="W98" i="14"/>
  <c r="W97" i="14"/>
  <c r="W96" i="14"/>
  <c r="W95" i="14"/>
  <c r="W94"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E68" i="15"/>
  <c r="W64" i="14"/>
  <c r="W63" i="14"/>
  <c r="D55" i="20"/>
  <c r="W62" i="14"/>
  <c r="E63" i="15"/>
  <c r="W61" i="14"/>
  <c r="W60" i="14"/>
  <c r="W59" i="14"/>
  <c r="W58" i="14"/>
  <c r="W57" i="14"/>
  <c r="W56" i="14"/>
  <c r="E59" i="15"/>
  <c r="W55" i="14"/>
  <c r="E58" i="15"/>
  <c r="W54" i="14"/>
  <c r="E57" i="15"/>
  <c r="W53" i="14"/>
  <c r="E56" i="15"/>
  <c r="W52" i="14"/>
  <c r="E50" i="15"/>
  <c r="W50" i="14"/>
  <c r="W48" i="14"/>
  <c r="W47" i="14"/>
  <c r="W46" i="14"/>
  <c r="W45" i="14"/>
  <c r="AQ44" i="14"/>
  <c r="W44" i="14"/>
  <c r="W43" i="14"/>
  <c r="W42" i="14"/>
  <c r="E46" i="15"/>
  <c r="W41" i="14"/>
  <c r="W40" i="14"/>
  <c r="W39" i="14"/>
  <c r="D35" i="20"/>
  <c r="W35" i="14"/>
  <c r="W34" i="14"/>
  <c r="W33" i="14"/>
  <c r="W32" i="14"/>
  <c r="D29" i="20"/>
  <c r="W31" i="14"/>
  <c r="AT28" i="14"/>
  <c r="BF28" i="14" s="1"/>
  <c r="W28" i="14"/>
  <c r="E30" i="15"/>
  <c r="W27" i="14"/>
  <c r="AT26" i="14"/>
  <c r="W26" i="14"/>
  <c r="W25" i="14"/>
  <c r="W24" i="14"/>
  <c r="W23" i="14"/>
  <c r="W22" i="14"/>
  <c r="W21" i="14"/>
  <c r="W20" i="14"/>
  <c r="W19" i="14"/>
  <c r="W18" i="14"/>
  <c r="W17" i="14"/>
  <c r="W16" i="14"/>
  <c r="W15" i="14"/>
  <c r="W14" i="14"/>
  <c r="W13" i="14"/>
  <c r="W12" i="14"/>
  <c r="E9" i="15"/>
  <c r="W10" i="14"/>
  <c r="W9" i="14"/>
  <c r="D5" i="20"/>
  <c r="W8" i="14"/>
  <c r="H29" i="20" l="1"/>
  <c r="F29" i="20"/>
  <c r="D4" i="20"/>
  <c r="D3" i="20" s="1"/>
  <c r="H5" i="20"/>
  <c r="F5" i="20"/>
  <c r="D63" i="20"/>
  <c r="F64" i="20"/>
  <c r="H64" i="20"/>
  <c r="F91" i="20"/>
  <c r="H91" i="20"/>
  <c r="H179" i="20"/>
  <c r="F179" i="20"/>
  <c r="B11" i="24"/>
  <c r="F99" i="20"/>
  <c r="H99" i="20"/>
  <c r="B18" i="24"/>
  <c r="F186" i="20"/>
  <c r="H186" i="20"/>
  <c r="F147" i="20"/>
  <c r="H147" i="20"/>
  <c r="F197" i="20"/>
  <c r="H197" i="20"/>
  <c r="D9" i="20"/>
  <c r="H10" i="20"/>
  <c r="F10" i="20"/>
  <c r="B19" i="24"/>
  <c r="F196" i="20"/>
  <c r="H196" i="20"/>
  <c r="B9" i="24"/>
  <c r="H69" i="20"/>
  <c r="F69" i="20"/>
  <c r="D181" i="20"/>
  <c r="H182" i="20"/>
  <c r="F182" i="20"/>
  <c r="H60" i="20"/>
  <c r="F60" i="20"/>
  <c r="D48" i="20"/>
  <c r="F55" i="20"/>
  <c r="H55" i="20"/>
  <c r="F35" i="20"/>
  <c r="H35" i="20"/>
  <c r="H78" i="20"/>
  <c r="F78" i="20"/>
  <c r="B5" i="24"/>
  <c r="F18" i="20"/>
  <c r="H18" i="20"/>
  <c r="F70" i="20"/>
  <c r="H70" i="20"/>
  <c r="H176" i="20"/>
  <c r="F176" i="20"/>
  <c r="G9" i="15"/>
  <c r="I9" i="15"/>
  <c r="G46" i="15"/>
  <c r="I46" i="15"/>
  <c r="G56" i="15"/>
  <c r="I56" i="15"/>
  <c r="G58" i="15"/>
  <c r="I58" i="15"/>
  <c r="E120" i="15"/>
  <c r="G121" i="15"/>
  <c r="I121" i="15"/>
  <c r="E127" i="15"/>
  <c r="G128" i="15"/>
  <c r="I128" i="15"/>
  <c r="G157" i="15"/>
  <c r="I157" i="15"/>
  <c r="E174" i="15"/>
  <c r="G175" i="15"/>
  <c r="I175" i="15"/>
  <c r="E183" i="15"/>
  <c r="I184" i="15"/>
  <c r="G184" i="15"/>
  <c r="G34" i="23"/>
  <c r="E34" i="23"/>
  <c r="I146" i="15"/>
  <c r="G146" i="15"/>
  <c r="I63" i="15"/>
  <c r="G63" i="15"/>
  <c r="G95" i="15"/>
  <c r="I95" i="15"/>
  <c r="G104" i="15"/>
  <c r="I104" i="15"/>
  <c r="E136" i="15"/>
  <c r="G137" i="15"/>
  <c r="I137" i="15"/>
  <c r="G66" i="23"/>
  <c r="E66" i="23"/>
  <c r="E29" i="15"/>
  <c r="I30" i="15"/>
  <c r="G30" i="15"/>
  <c r="G50" i="15"/>
  <c r="I50" i="15"/>
  <c r="G57" i="15"/>
  <c r="I57" i="15"/>
  <c r="G59" i="15"/>
  <c r="I59" i="15"/>
  <c r="E67" i="15"/>
  <c r="G68" i="15"/>
  <c r="I68" i="15"/>
  <c r="G118" i="15"/>
  <c r="I118" i="15"/>
  <c r="E172" i="15"/>
  <c r="G173" i="15"/>
  <c r="I173" i="15"/>
  <c r="E177" i="15"/>
  <c r="G178" i="15"/>
  <c r="I178" i="15"/>
  <c r="G72" i="23"/>
  <c r="E72" i="23"/>
  <c r="I92" i="15"/>
  <c r="G92" i="15"/>
  <c r="I94" i="15"/>
  <c r="G94" i="15"/>
  <c r="I111" i="15"/>
  <c r="G111" i="15"/>
  <c r="E134" i="15"/>
  <c r="I135" i="15"/>
  <c r="G135" i="15"/>
  <c r="E29" i="23"/>
  <c r="G29" i="23"/>
  <c r="BF26" i="14"/>
  <c r="C20" i="23"/>
  <c r="BF44" i="14"/>
  <c r="C19" i="23"/>
  <c r="D77" i="20"/>
  <c r="A75" i="20"/>
  <c r="A76" i="20" s="1"/>
  <c r="D136" i="20"/>
  <c r="D107" i="20"/>
  <c r="D173" i="20"/>
  <c r="D59" i="20"/>
  <c r="D110" i="20"/>
  <c r="D26" i="20"/>
  <c r="D146" i="20"/>
  <c r="E21" i="15"/>
  <c r="E153" i="15"/>
  <c r="C62" i="23"/>
  <c r="E38" i="15"/>
  <c r="AT306" i="14"/>
  <c r="AB306" i="14"/>
  <c r="E36" i="15"/>
  <c r="AW306" i="14"/>
  <c r="E41" i="15"/>
  <c r="AQ306" i="14"/>
  <c r="E65" i="15"/>
  <c r="E70" i="15"/>
  <c r="C48" i="23"/>
  <c r="BC306" i="14"/>
  <c r="C51" i="23"/>
  <c r="E189" i="15"/>
  <c r="C77" i="23"/>
  <c r="E156" i="15"/>
  <c r="E85" i="15"/>
  <c r="E160" i="15"/>
  <c r="E152" i="15"/>
  <c r="E140" i="15"/>
  <c r="E126" i="15"/>
  <c r="C41" i="23"/>
  <c r="E110" i="15"/>
  <c r="E102" i="15"/>
  <c r="E96" i="15"/>
  <c r="E99" i="15"/>
  <c r="E97" i="15"/>
  <c r="E93" i="15"/>
  <c r="E44" i="15"/>
  <c r="C38" i="23"/>
  <c r="E79" i="15"/>
  <c r="E84" i="15"/>
  <c r="C10" i="23"/>
  <c r="E16" i="15"/>
  <c r="E78" i="15"/>
  <c r="E73" i="15"/>
  <c r="E55" i="15"/>
  <c r="E62" i="15"/>
  <c r="C13" i="23"/>
  <c r="E49" i="15"/>
  <c r="E8" i="15"/>
  <c r="E15" i="15"/>
  <c r="A79" i="20" l="1"/>
  <c r="A80" i="20" s="1"/>
  <c r="A81" i="20" s="1"/>
  <c r="A82" i="20" s="1"/>
  <c r="A83" i="20" s="1"/>
  <c r="A84" i="20" s="1"/>
  <c r="A85" i="20" s="1"/>
  <c r="A86" i="20" s="1"/>
  <c r="A87" i="20" s="1"/>
  <c r="A88" i="20" s="1"/>
  <c r="A89" i="20" s="1"/>
  <c r="A90" i="20" s="1"/>
  <c r="A92" i="20" s="1"/>
  <c r="A93" i="20" s="1"/>
  <c r="A94" i="20" s="1"/>
  <c r="A95" i="20" s="1"/>
  <c r="A96" i="20" s="1"/>
  <c r="A97" i="20" s="1"/>
  <c r="A98" i="20" s="1"/>
  <c r="C9" i="25"/>
  <c r="D24" i="20"/>
  <c r="F24" i="20" s="1"/>
  <c r="BF306" i="14"/>
  <c r="E133" i="15"/>
  <c r="G133" i="15" s="1"/>
  <c r="B17" i="24"/>
  <c r="H181" i="20"/>
  <c r="F181" i="20"/>
  <c r="K18" i="24"/>
  <c r="L18" i="24"/>
  <c r="M18" i="24" s="1"/>
  <c r="C18" i="24"/>
  <c r="E18" i="24"/>
  <c r="I18" i="24"/>
  <c r="G18" i="24"/>
  <c r="H26" i="20"/>
  <c r="F26" i="20"/>
  <c r="B10" i="24"/>
  <c r="F77" i="20"/>
  <c r="H77" i="20"/>
  <c r="E171" i="15"/>
  <c r="G171" i="15" s="1"/>
  <c r="B4" i="24"/>
  <c r="F9" i="20"/>
  <c r="H9" i="20"/>
  <c r="F4" i="20"/>
  <c r="H4" i="20"/>
  <c r="H110" i="20"/>
  <c r="F110" i="20"/>
  <c r="F107" i="20"/>
  <c r="H107" i="20"/>
  <c r="B3" i="24"/>
  <c r="F3" i="20"/>
  <c r="H3" i="20"/>
  <c r="L19" i="24"/>
  <c r="M19" i="24" s="1"/>
  <c r="E19" i="24"/>
  <c r="C19" i="24"/>
  <c r="K19" i="24"/>
  <c r="I19" i="24"/>
  <c r="G19" i="24"/>
  <c r="B8" i="24"/>
  <c r="H63" i="20"/>
  <c r="F63" i="20"/>
  <c r="B14" i="24"/>
  <c r="H146" i="20"/>
  <c r="F146" i="20"/>
  <c r="H173" i="20"/>
  <c r="F173" i="20"/>
  <c r="H59" i="20"/>
  <c r="F59" i="20"/>
  <c r="F136" i="20"/>
  <c r="H136" i="20"/>
  <c r="L5" i="24"/>
  <c r="M5" i="24" s="1"/>
  <c r="C5" i="24"/>
  <c r="E5" i="24"/>
  <c r="G5" i="24"/>
  <c r="I5" i="24"/>
  <c r="K5" i="24"/>
  <c r="H48" i="20"/>
  <c r="F48" i="20"/>
  <c r="L9" i="24"/>
  <c r="M9" i="24" s="1"/>
  <c r="C9" i="24"/>
  <c r="E9" i="24"/>
  <c r="I9" i="24"/>
  <c r="G9" i="24"/>
  <c r="K9" i="24"/>
  <c r="E11" i="24"/>
  <c r="L11" i="24"/>
  <c r="M11" i="24" s="1"/>
  <c r="C11" i="24"/>
  <c r="G11" i="24"/>
  <c r="I11" i="24"/>
  <c r="K11" i="24"/>
  <c r="E61" i="15"/>
  <c r="G62" i="15"/>
  <c r="I62" i="15"/>
  <c r="E38" i="23"/>
  <c r="G38" i="23"/>
  <c r="I152" i="15"/>
  <c r="G152" i="15"/>
  <c r="C76" i="23"/>
  <c r="G77" i="23"/>
  <c r="E77" i="23"/>
  <c r="G48" i="23"/>
  <c r="E48" i="23"/>
  <c r="G41" i="15"/>
  <c r="I41" i="15"/>
  <c r="E20" i="15"/>
  <c r="G21" i="15"/>
  <c r="I21" i="15"/>
  <c r="G20" i="23"/>
  <c r="E20" i="23"/>
  <c r="G172" i="15"/>
  <c r="I172" i="15"/>
  <c r="E182" i="15"/>
  <c r="G183" i="15"/>
  <c r="I183" i="15"/>
  <c r="I127" i="15"/>
  <c r="G127" i="15"/>
  <c r="G15" i="15"/>
  <c r="I15" i="15"/>
  <c r="E98" i="15"/>
  <c r="G99" i="15"/>
  <c r="I99" i="15"/>
  <c r="G55" i="15"/>
  <c r="I55" i="15"/>
  <c r="E37" i="15"/>
  <c r="I38" i="15"/>
  <c r="G38" i="15"/>
  <c r="G177" i="15"/>
  <c r="I177" i="15"/>
  <c r="G67" i="15"/>
  <c r="I67" i="15"/>
  <c r="E13" i="23"/>
  <c r="G13" i="23"/>
  <c r="G78" i="15"/>
  <c r="I78" i="15"/>
  <c r="G79" i="15"/>
  <c r="I79" i="15"/>
  <c r="G97" i="15"/>
  <c r="I97" i="15"/>
  <c r="E109" i="15"/>
  <c r="I110" i="15"/>
  <c r="G110" i="15"/>
  <c r="E139" i="15"/>
  <c r="G140" i="15"/>
  <c r="I140" i="15"/>
  <c r="E155" i="15"/>
  <c r="I156" i="15"/>
  <c r="G156" i="15"/>
  <c r="G180" i="15"/>
  <c r="I180" i="15"/>
  <c r="I16" i="15"/>
  <c r="G16" i="15"/>
  <c r="G41" i="23"/>
  <c r="E41" i="23"/>
  <c r="E7" i="15"/>
  <c r="E6" i="15" s="1"/>
  <c r="I8" i="15"/>
  <c r="G8" i="15"/>
  <c r="G10" i="23"/>
  <c r="E10" i="23"/>
  <c r="E43" i="15"/>
  <c r="G44" i="15"/>
  <c r="I44" i="15"/>
  <c r="I96" i="15"/>
  <c r="G96" i="15"/>
  <c r="E125" i="15"/>
  <c r="G126" i="15"/>
  <c r="I126" i="15"/>
  <c r="E159" i="15"/>
  <c r="G160" i="15"/>
  <c r="I160" i="15"/>
  <c r="E188" i="15"/>
  <c r="G189" i="15"/>
  <c r="I189" i="15"/>
  <c r="C50" i="23"/>
  <c r="G51" i="23"/>
  <c r="E51" i="23"/>
  <c r="E69" i="15"/>
  <c r="G70" i="15"/>
  <c r="I70" i="15"/>
  <c r="E48" i="15"/>
  <c r="I49" i="15"/>
  <c r="G49" i="15"/>
  <c r="E72" i="15"/>
  <c r="I73" i="15"/>
  <c r="G73" i="15"/>
  <c r="E83" i="15"/>
  <c r="E82" i="15" s="1"/>
  <c r="G84" i="15"/>
  <c r="I84" i="15"/>
  <c r="G93" i="15"/>
  <c r="I93" i="15"/>
  <c r="G102" i="15"/>
  <c r="I102" i="15"/>
  <c r="G85" i="15"/>
  <c r="I85" i="15"/>
  <c r="E64" i="15"/>
  <c r="G65" i="15"/>
  <c r="I65" i="15"/>
  <c r="E35" i="15"/>
  <c r="G36" i="15"/>
  <c r="I36" i="15"/>
  <c r="C61" i="23"/>
  <c r="G62" i="23"/>
  <c r="E62" i="23"/>
  <c r="E19" i="23"/>
  <c r="G19" i="23"/>
  <c r="G134" i="15"/>
  <c r="I134" i="15"/>
  <c r="I29" i="15"/>
  <c r="G29" i="15"/>
  <c r="G153" i="15"/>
  <c r="I153" i="15"/>
  <c r="G136" i="15"/>
  <c r="I136" i="15"/>
  <c r="I174" i="15"/>
  <c r="G174" i="15"/>
  <c r="E119" i="15"/>
  <c r="G120" i="15"/>
  <c r="I120" i="15"/>
  <c r="C17" i="23"/>
  <c r="D42" i="20"/>
  <c r="D172" i="20"/>
  <c r="D106" i="20"/>
  <c r="D118" i="20"/>
  <c r="D57" i="20"/>
  <c r="E33" i="15"/>
  <c r="D27" i="20"/>
  <c r="E32" i="15"/>
  <c r="E77" i="15"/>
  <c r="E26" i="15"/>
  <c r="E47" i="15"/>
  <c r="C44" i="23"/>
  <c r="E116" i="15"/>
  <c r="C25" i="23"/>
  <c r="C54" i="23"/>
  <c r="E166" i="15"/>
  <c r="E151" i="15"/>
  <c r="E144" i="15"/>
  <c r="E129" i="15"/>
  <c r="E101" i="15"/>
  <c r="E90" i="15"/>
  <c r="E14" i="15"/>
  <c r="A101" i="20" l="1"/>
  <c r="A102" i="20" s="1"/>
  <c r="A103" i="20" s="1"/>
  <c r="C10" i="25"/>
  <c r="H24" i="20"/>
  <c r="I133" i="15"/>
  <c r="E54" i="15"/>
  <c r="I54" i="15" s="1"/>
  <c r="I171" i="15"/>
  <c r="D117" i="20"/>
  <c r="H118" i="20"/>
  <c r="F118" i="20"/>
  <c r="D34" i="20"/>
  <c r="F42" i="20"/>
  <c r="H42" i="20"/>
  <c r="E14" i="24"/>
  <c r="L14" i="24"/>
  <c r="M14" i="24" s="1"/>
  <c r="C14" i="24"/>
  <c r="G14" i="24"/>
  <c r="I14" i="24"/>
  <c r="K14" i="24"/>
  <c r="C4" i="24"/>
  <c r="L4" i="24"/>
  <c r="M4" i="24" s="1"/>
  <c r="E4" i="24"/>
  <c r="G4" i="24"/>
  <c r="I4" i="24"/>
  <c r="K4" i="24"/>
  <c r="E10" i="24"/>
  <c r="C10" i="24"/>
  <c r="L10" i="24"/>
  <c r="M10" i="24" s="1"/>
  <c r="I10" i="24"/>
  <c r="G10" i="24"/>
  <c r="K10" i="24"/>
  <c r="D47" i="20"/>
  <c r="H57" i="20"/>
  <c r="F57" i="20"/>
  <c r="L3" i="24"/>
  <c r="E3" i="24"/>
  <c r="C3" i="24"/>
  <c r="I3" i="24"/>
  <c r="G3" i="24"/>
  <c r="K3" i="24"/>
  <c r="D23" i="20"/>
  <c r="F27" i="20"/>
  <c r="H27" i="20"/>
  <c r="D105" i="20"/>
  <c r="H106" i="20"/>
  <c r="F106" i="20"/>
  <c r="D171" i="20"/>
  <c r="F172" i="20"/>
  <c r="H172" i="20"/>
  <c r="E8" i="24"/>
  <c r="C8" i="24"/>
  <c r="L8" i="24"/>
  <c r="M8" i="24" s="1"/>
  <c r="I8" i="24"/>
  <c r="G8" i="24"/>
  <c r="K8" i="24"/>
  <c r="E17" i="24"/>
  <c r="L17" i="24"/>
  <c r="B20" i="24"/>
  <c r="C17" i="24"/>
  <c r="K17" i="24"/>
  <c r="G17" i="24"/>
  <c r="I17" i="24"/>
  <c r="G82" i="15"/>
  <c r="I82" i="15"/>
  <c r="E54" i="23"/>
  <c r="G54" i="23"/>
  <c r="E165" i="15"/>
  <c r="G166" i="15"/>
  <c r="I166" i="15"/>
  <c r="E25" i="15"/>
  <c r="G26" i="15"/>
  <c r="I26" i="15"/>
  <c r="E13" i="15"/>
  <c r="G14" i="15"/>
  <c r="I14" i="15"/>
  <c r="E143" i="15"/>
  <c r="G144" i="15"/>
  <c r="I144" i="15"/>
  <c r="E115" i="15"/>
  <c r="G116" i="15"/>
  <c r="I116" i="15"/>
  <c r="E76" i="15"/>
  <c r="I77" i="15"/>
  <c r="G77" i="15"/>
  <c r="G35" i="15"/>
  <c r="I35" i="15"/>
  <c r="G83" i="15"/>
  <c r="I83" i="15"/>
  <c r="G50" i="23"/>
  <c r="E50" i="23"/>
  <c r="E138" i="15"/>
  <c r="G139" i="15"/>
  <c r="I139" i="15"/>
  <c r="C79" i="23"/>
  <c r="G76" i="23"/>
  <c r="E76" i="23"/>
  <c r="E89" i="15"/>
  <c r="G90" i="15"/>
  <c r="I90" i="15"/>
  <c r="E150" i="15"/>
  <c r="I151" i="15"/>
  <c r="G151" i="15"/>
  <c r="I6" i="15"/>
  <c r="G6" i="15"/>
  <c r="G44" i="23"/>
  <c r="E44" i="23"/>
  <c r="E31" i="15"/>
  <c r="G32" i="15"/>
  <c r="I32" i="15"/>
  <c r="G61" i="23"/>
  <c r="E61" i="23"/>
  <c r="E66" i="15"/>
  <c r="G69" i="15"/>
  <c r="I69" i="15"/>
  <c r="G125" i="15"/>
  <c r="I125" i="15"/>
  <c r="E154" i="15"/>
  <c r="I155" i="15"/>
  <c r="G155" i="15"/>
  <c r="E19" i="15"/>
  <c r="G20" i="15"/>
  <c r="I20" i="15"/>
  <c r="G119" i="15"/>
  <c r="I119" i="15"/>
  <c r="I48" i="15"/>
  <c r="G48" i="15"/>
  <c r="E158" i="15"/>
  <c r="G159" i="15"/>
  <c r="I159" i="15"/>
  <c r="I43" i="15"/>
  <c r="G43" i="15"/>
  <c r="E176" i="15"/>
  <c r="G179" i="15"/>
  <c r="I179" i="15"/>
  <c r="G37" i="15"/>
  <c r="I37" i="15"/>
  <c r="I182" i="15"/>
  <c r="G182" i="15"/>
  <c r="E100" i="15"/>
  <c r="I101" i="15"/>
  <c r="G101" i="15"/>
  <c r="E45" i="15"/>
  <c r="G47" i="15"/>
  <c r="I47" i="15"/>
  <c r="E124" i="15"/>
  <c r="G129" i="15"/>
  <c r="I129" i="15"/>
  <c r="G25" i="23"/>
  <c r="E25" i="23"/>
  <c r="G33" i="15"/>
  <c r="I33" i="15"/>
  <c r="E17" i="23"/>
  <c r="G17" i="23"/>
  <c r="I64" i="15"/>
  <c r="G64" i="15"/>
  <c r="E71" i="15"/>
  <c r="G72" i="15"/>
  <c r="I72" i="15"/>
  <c r="E187" i="15"/>
  <c r="G188" i="15"/>
  <c r="I188" i="15"/>
  <c r="I7" i="15"/>
  <c r="G7" i="15"/>
  <c r="E108" i="15"/>
  <c r="G109" i="15"/>
  <c r="I109" i="15"/>
  <c r="I98" i="15"/>
  <c r="G98" i="15"/>
  <c r="G61" i="15"/>
  <c r="I61" i="15"/>
  <c r="C64" i="23"/>
  <c r="E81" i="15"/>
  <c r="A104" i="20" l="1"/>
  <c r="G54" i="15"/>
  <c r="E88" i="15"/>
  <c r="I88" i="15" s="1"/>
  <c r="E24" i="15"/>
  <c r="C5" i="18" s="1"/>
  <c r="C6" i="18"/>
  <c r="C8" i="18"/>
  <c r="D22" i="20"/>
  <c r="B6" i="24" s="1"/>
  <c r="M3" i="24"/>
  <c r="L20" i="24"/>
  <c r="M17" i="24"/>
  <c r="H23" i="20"/>
  <c r="F23" i="20"/>
  <c r="B12" i="24"/>
  <c r="F105" i="20"/>
  <c r="H105" i="20"/>
  <c r="K20" i="24"/>
  <c r="B34" i="24"/>
  <c r="E20" i="24"/>
  <c r="C20" i="24"/>
  <c r="G20" i="24"/>
  <c r="I20" i="24"/>
  <c r="H34" i="20"/>
  <c r="F34" i="20"/>
  <c r="B15" i="24"/>
  <c r="F171" i="20"/>
  <c r="H171" i="20"/>
  <c r="B7" i="24"/>
  <c r="H47" i="20"/>
  <c r="F47" i="20"/>
  <c r="B13" i="24"/>
  <c r="F117" i="20"/>
  <c r="H117" i="20"/>
  <c r="G81" i="15"/>
  <c r="I81" i="15"/>
  <c r="C81" i="23"/>
  <c r="G64" i="23"/>
  <c r="E64" i="23"/>
  <c r="E186" i="15"/>
  <c r="G187" i="15"/>
  <c r="I187" i="15"/>
  <c r="G100" i="15"/>
  <c r="I100" i="15"/>
  <c r="G158" i="15"/>
  <c r="I158" i="15"/>
  <c r="G31" i="15"/>
  <c r="I31" i="15"/>
  <c r="G138" i="15"/>
  <c r="I138" i="15"/>
  <c r="E114" i="15"/>
  <c r="I115" i="15"/>
  <c r="G115" i="15"/>
  <c r="E164" i="15"/>
  <c r="G165" i="15"/>
  <c r="I165" i="15"/>
  <c r="E40" i="15"/>
  <c r="G45" i="15"/>
  <c r="I45" i="15"/>
  <c r="G79" i="23"/>
  <c r="E79" i="23"/>
  <c r="E75" i="15"/>
  <c r="I76" i="15"/>
  <c r="G76" i="15"/>
  <c r="G25" i="15"/>
  <c r="I25" i="15"/>
  <c r="E123" i="15"/>
  <c r="G124" i="15"/>
  <c r="I124" i="15"/>
  <c r="I154" i="15"/>
  <c r="G154" i="15"/>
  <c r="I89" i="15"/>
  <c r="G89" i="15"/>
  <c r="E12" i="15"/>
  <c r="G13" i="15"/>
  <c r="I13" i="15"/>
  <c r="I108" i="15"/>
  <c r="G108" i="15"/>
  <c r="G71" i="15"/>
  <c r="I71" i="15"/>
  <c r="I176" i="15"/>
  <c r="G176" i="15"/>
  <c r="E170" i="15"/>
  <c r="E18" i="15"/>
  <c r="G19" i="15"/>
  <c r="I19" i="15"/>
  <c r="I66" i="15"/>
  <c r="G66" i="15"/>
  <c r="E149" i="15"/>
  <c r="I150" i="15"/>
  <c r="G150" i="15"/>
  <c r="E142" i="15"/>
  <c r="G143" i="15"/>
  <c r="I143" i="15"/>
  <c r="E53" i="15"/>
  <c r="C11" i="25" l="1"/>
  <c r="A107" i="20"/>
  <c r="A108" i="20" s="1"/>
  <c r="A109" i="20" s="1"/>
  <c r="A110" i="20" s="1"/>
  <c r="A111" i="20" s="1"/>
  <c r="A112" i="20" s="1"/>
  <c r="A113" i="20" s="1"/>
  <c r="A114" i="20" s="1"/>
  <c r="A116" i="20" s="1"/>
  <c r="G88" i="15"/>
  <c r="G24" i="15"/>
  <c r="E23" i="15"/>
  <c r="G23" i="15" s="1"/>
  <c r="I24" i="15"/>
  <c r="H22" i="20"/>
  <c r="F22" i="20"/>
  <c r="E13" i="24"/>
  <c r="C13" i="24"/>
  <c r="L13" i="24"/>
  <c r="M13" i="24" s="1"/>
  <c r="I13" i="24"/>
  <c r="G13" i="24"/>
  <c r="K13" i="24"/>
  <c r="E6" i="24"/>
  <c r="C6" i="24"/>
  <c r="L6" i="24"/>
  <c r="G6" i="24"/>
  <c r="I6" i="24"/>
  <c r="K6" i="24"/>
  <c r="B16" i="24"/>
  <c r="C34" i="24"/>
  <c r="C35" i="24"/>
  <c r="C38" i="24"/>
  <c r="C36" i="24"/>
  <c r="C37" i="24"/>
  <c r="L12" i="24"/>
  <c r="M12" i="24" s="1"/>
  <c r="E12" i="24"/>
  <c r="C12" i="24"/>
  <c r="I12" i="24"/>
  <c r="G12" i="24"/>
  <c r="K12" i="24"/>
  <c r="B39" i="24"/>
  <c r="C39" i="24" s="1"/>
  <c r="M20" i="24"/>
  <c r="G6" i="18"/>
  <c r="C15" i="24"/>
  <c r="E15" i="24"/>
  <c r="L15" i="24"/>
  <c r="M15" i="24" s="1"/>
  <c r="G15" i="24"/>
  <c r="I15" i="24"/>
  <c r="K15" i="24"/>
  <c r="E7" i="24"/>
  <c r="L7" i="24"/>
  <c r="M7" i="24" s="1"/>
  <c r="C7" i="24"/>
  <c r="I7" i="24"/>
  <c r="G7" i="24"/>
  <c r="K7" i="24"/>
  <c r="G8" i="18"/>
  <c r="G53" i="15"/>
  <c r="I53" i="15"/>
  <c r="G170" i="15"/>
  <c r="I170" i="15"/>
  <c r="G123" i="15"/>
  <c r="I123" i="15"/>
  <c r="G40" i="15"/>
  <c r="I40" i="15"/>
  <c r="C7" i="18"/>
  <c r="G12" i="15"/>
  <c r="I12" i="15"/>
  <c r="G114" i="15"/>
  <c r="I114" i="15"/>
  <c r="G186" i="15"/>
  <c r="I186" i="15"/>
  <c r="E191" i="15"/>
  <c r="E81" i="23"/>
  <c r="G81" i="23"/>
  <c r="G149" i="15"/>
  <c r="I149" i="15"/>
  <c r="G164" i="15"/>
  <c r="I164" i="15"/>
  <c r="G142" i="15"/>
  <c r="I142" i="15"/>
  <c r="G18" i="15"/>
  <c r="I18" i="15"/>
  <c r="I75" i="15"/>
  <c r="G75" i="15"/>
  <c r="A119" i="20" l="1"/>
  <c r="A120" i="20" s="1"/>
  <c r="A121" i="20" s="1"/>
  <c r="A122" i="20" s="1"/>
  <c r="A123" i="20" s="1"/>
  <c r="A124" i="20" s="1"/>
  <c r="A125" i="20" s="1"/>
  <c r="A126" i="20" s="1"/>
  <c r="A127" i="20" s="1"/>
  <c r="A128" i="20" s="1"/>
  <c r="A129" i="20" s="1"/>
  <c r="A130" i="20" s="1"/>
  <c r="A131" i="20" s="1"/>
  <c r="A132" i="20" s="1"/>
  <c r="A133" i="20" s="1"/>
  <c r="A134" i="20" s="1"/>
  <c r="A135" i="20" s="1"/>
  <c r="A136" i="20" s="1"/>
  <c r="A138" i="20" s="1"/>
  <c r="A139" i="20" s="1"/>
  <c r="A141" i="20" s="1"/>
  <c r="A142" i="20" s="1"/>
  <c r="A143" i="20" s="1"/>
  <c r="A144" i="20" s="1"/>
  <c r="A145" i="20" s="1"/>
  <c r="C12" i="25"/>
  <c r="E162" i="15"/>
  <c r="G162" i="15" s="1"/>
  <c r="I23" i="15"/>
  <c r="C16" i="24"/>
  <c r="E16" i="24"/>
  <c r="B25" i="24"/>
  <c r="B22" i="24"/>
  <c r="G16" i="24"/>
  <c r="I16" i="24"/>
  <c r="K16" i="24"/>
  <c r="M6" i="24"/>
  <c r="L16" i="24"/>
  <c r="G7" i="18"/>
  <c r="G191" i="15"/>
  <c r="I191" i="15"/>
  <c r="F9" i="18"/>
  <c r="G5" i="18"/>
  <c r="C9" i="18"/>
  <c r="A148" i="20" l="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C13" i="25"/>
  <c r="E193" i="15"/>
  <c r="G193" i="15" s="1"/>
  <c r="I162" i="15"/>
  <c r="I22" i="24"/>
  <c r="C22" i="24"/>
  <c r="B48" i="24"/>
  <c r="E22" i="24"/>
  <c r="G22" i="24"/>
  <c r="K22" i="24"/>
  <c r="C25" i="24"/>
  <c r="C26" i="24"/>
  <c r="C27" i="24"/>
  <c r="C28" i="24"/>
  <c r="C29" i="24"/>
  <c r="L22" i="24"/>
  <c r="M16" i="24"/>
  <c r="B30" i="24"/>
  <c r="C30" i="24" s="1"/>
  <c r="G9" i="18"/>
  <c r="D199" i="20"/>
  <c r="A173" i="20" l="1"/>
  <c r="A174" i="20" s="1"/>
  <c r="A175" i="20" s="1"/>
  <c r="A177" i="20" s="1"/>
  <c r="A178" i="20" s="1"/>
  <c r="A180" i="20" s="1"/>
  <c r="C14" i="25"/>
  <c r="I193" i="15"/>
  <c r="B53" i="24"/>
  <c r="C53" i="24" s="1"/>
  <c r="M22" i="24"/>
  <c r="C48" i="24"/>
  <c r="C49" i="24"/>
  <c r="C51" i="24"/>
  <c r="C50" i="24"/>
  <c r="F199" i="20"/>
  <c r="H199" i="20"/>
  <c r="A183" i="20" l="1"/>
  <c r="A184" i="20" s="1"/>
  <c r="A185" i="20" s="1"/>
  <c r="C15" i="25"/>
  <c r="A188" i="20" l="1"/>
  <c r="A189" i="20" s="1"/>
  <c r="A191" i="20" s="1"/>
  <c r="A192" i="20" s="1"/>
  <c r="A198" i="20" l="1"/>
  <c r="C18" i="25" s="1"/>
  <c r="C19" i="25" s="1"/>
</calcChain>
</file>

<file path=xl/comments1.xml><?xml version="1.0" encoding="utf-8"?>
<comments xmlns="http://schemas.openxmlformats.org/spreadsheetml/2006/main">
  <authors>
    <author>USERPC</author>
  </authors>
  <commentList>
    <comment ref="N226" authorId="0" shapeId="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<sst xmlns="http://schemas.openxmlformats.org/spreadsheetml/2006/main" count="5212" uniqueCount="1526">
  <si>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</si>
  <si>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</si>
  <si>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</si>
  <si>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</si>
  <si>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</si>
  <si>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</si>
  <si>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</si>
  <si>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</si>
  <si>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</si>
  <si>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</si>
  <si>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</si>
  <si>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</si>
  <si>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</si>
  <si>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</si>
  <si>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</si>
  <si>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</si>
  <si>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</si>
  <si>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</si>
  <si>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</si>
  <si>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</si>
  <si>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</si>
  <si>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</si>
  <si>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</si>
  <si>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</si>
  <si>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</si>
  <si>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</si>
  <si>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</si>
  <si>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</si>
  <si>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</si>
  <si>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</si>
  <si>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</si>
  <si>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</si>
  <si>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</si>
  <si>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</si>
  <si>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</si>
  <si>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</si>
  <si>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</si>
  <si>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</si>
  <si>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</si>
  <si>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</si>
  <si>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</si>
  <si>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</si>
  <si>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</si>
  <si>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</si>
  <si>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</si>
  <si>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</si>
  <si>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</si>
  <si>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TOTAL PROGRAMACIÓN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</si>
  <si>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</si>
  <si>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</si>
  <si>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</si>
  <si>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</si>
  <si>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</si>
  <si>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</si>
  <si>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</si>
  <si>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</si>
  <si>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</si>
  <si>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</si>
  <si>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</si>
  <si>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</si>
  <si>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</si>
  <si>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</si>
  <si>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</si>
  <si>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</si>
  <si>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</si>
  <si>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</si>
  <si>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</si>
  <si>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</si>
  <si>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</si>
  <si>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</si>
  <si>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</si>
  <si>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</si>
  <si>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</si>
  <si>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</si>
  <si>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</si>
  <si>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</si>
  <si>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</si>
  <si>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</si>
  <si>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</si>
  <si>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</si>
  <si>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</si>
  <si>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</si>
  <si>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</si>
  <si>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</si>
  <si>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</si>
  <si>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</si>
  <si>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</si>
  <si>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</si>
  <si>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</si>
  <si>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</si>
  <si>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</si>
  <si>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</si>
  <si>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</si>
  <si>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</si>
  <si>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</si>
  <si>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</si>
  <si>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</si>
  <si>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</si>
  <si>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</si>
  <si>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</si>
  <si>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</si>
  <si>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</si>
  <si>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</si>
  <si>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</si>
  <si>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</si>
  <si>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</si>
  <si>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</si>
  <si>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</si>
  <si>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</si>
  <si>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</si>
  <si>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</si>
  <si>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</si>
  <si>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</si>
  <si>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</si>
  <si>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</si>
  <si>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</si>
  <si>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</si>
  <si>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</si>
  <si>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</si>
  <si>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</si>
  <si>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</si>
  <si>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</si>
  <si>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</si>
  <si>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</si>
  <si>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</si>
  <si>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</si>
  <si>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</si>
  <si>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</si>
  <si>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</si>
  <si>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</si>
  <si>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</si>
  <si>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</si>
  <si>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</si>
  <si>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</si>
  <si>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</si>
  <si>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</si>
  <si>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</si>
  <si>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</si>
  <si>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</si>
  <si>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</si>
  <si>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</si>
  <si>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</si>
  <si>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</si>
  <si>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</si>
  <si>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</si>
  <si>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</si>
  <si>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</si>
  <si>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</si>
  <si>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</si>
  <si>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</si>
  <si>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</si>
  <si>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</si>
  <si>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</si>
  <si>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</si>
  <si>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</si>
  <si>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</si>
  <si>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</si>
  <si>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</si>
  <si>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</si>
  <si>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</si>
  <si>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</si>
  <si>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</si>
  <si>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</si>
  <si>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</si>
  <si>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</si>
  <si>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</si>
  <si>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</si>
  <si>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</si>
  <si>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</si>
  <si>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</si>
  <si>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</si>
  <si>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</si>
  <si>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</si>
  <si>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</si>
  <si>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</si>
  <si>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</si>
  <si>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</si>
  <si>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</si>
  <si>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</si>
  <si>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</si>
  <si>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</si>
  <si>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</si>
  <si>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</si>
  <si>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</si>
  <si>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</si>
  <si>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</si>
  <si>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</si>
  <si>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</si>
  <si>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</si>
  <si>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</si>
  <si>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</si>
  <si>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</si>
  <si>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</si>
  <si>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</si>
  <si>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</si>
  <si>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</si>
  <si>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</si>
  <si>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</si>
  <si>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</si>
  <si>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</si>
  <si>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</si>
  <si>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</si>
  <si>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</si>
  <si>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</si>
  <si>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</si>
  <si>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</si>
  <si>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</si>
  <si>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</si>
  <si>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</si>
  <si>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</si>
  <si>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</si>
  <si>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</si>
  <si>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</si>
  <si>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</si>
  <si>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</si>
  <si>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</si>
  <si>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</si>
  <si>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</si>
  <si>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</si>
  <si>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</si>
  <si>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</si>
  <si>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</si>
  <si>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</si>
  <si>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</si>
  <si>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</si>
  <si>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</si>
  <si>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</si>
  <si>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</si>
  <si>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</si>
  <si>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</si>
  <si>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</si>
  <si>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</si>
  <si>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</si>
  <si>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</si>
  <si>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</si>
  <si>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</si>
  <si>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</si>
  <si>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</si>
  <si>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</si>
  <si>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</si>
  <si>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</si>
  <si>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</si>
  <si>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</si>
  <si>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</si>
  <si>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</si>
  <si>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</si>
  <si>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</si>
  <si>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</si>
  <si>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</si>
  <si>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</si>
  <si>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</si>
  <si>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</si>
  <si>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</si>
  <si>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</si>
  <si>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</si>
  <si>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</si>
  <si>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</si>
  <si>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</si>
  <si>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</si>
  <si>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</si>
  <si>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</si>
  <si>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</si>
  <si>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</si>
  <si>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</si>
  <si>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</si>
  <si>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</si>
  <si>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</si>
  <si>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</si>
  <si>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</si>
  <si>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</si>
  <si>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</si>
  <si>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</si>
  <si>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</si>
  <si>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</si>
  <si>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</si>
  <si>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</si>
  <si>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</si>
  <si>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</si>
  <si>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</si>
  <si>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</si>
  <si>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</si>
  <si>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</si>
  <si>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</si>
  <si>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</si>
  <si>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</si>
  <si>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</si>
  <si>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</si>
  <si>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</si>
  <si>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</si>
  <si>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</si>
  <si>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</si>
  <si>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</si>
  <si>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</si>
  <si>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</si>
  <si>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</si>
  <si>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</si>
  <si>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</si>
  <si>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</si>
  <si>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</si>
  <si>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</si>
  <si>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</si>
  <si>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</si>
  <si>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</si>
  <si>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</si>
  <si>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</si>
  <si>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</si>
  <si>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</si>
  <si>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</si>
  <si>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</si>
  <si>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</si>
  <si>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</si>
  <si>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</si>
  <si>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</si>
  <si>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</si>
  <si>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</si>
  <si>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</si>
  <si>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</si>
  <si>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</si>
  <si>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</si>
  <si>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</si>
  <si>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</si>
  <si>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</si>
  <si>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</si>
  <si>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</si>
  <si>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</si>
  <si>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</si>
  <si>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</si>
  <si>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</si>
  <si>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</si>
  <si>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</si>
  <si>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</si>
  <si>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</si>
  <si>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</si>
  <si>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</si>
  <si>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</si>
  <si>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</si>
  <si>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</si>
  <si>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</si>
  <si>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</si>
  <si>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</si>
  <si>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</si>
  <si>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</si>
  <si>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</si>
  <si>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</si>
  <si>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</si>
  <si>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</si>
  <si>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</si>
  <si>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</si>
  <si>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</si>
  <si>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</si>
  <si>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</si>
  <si>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</si>
  <si>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</si>
  <si>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</si>
  <si>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</si>
  <si>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</si>
  <si>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</si>
  <si>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</si>
  <si>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</si>
  <si>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</si>
  <si>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</si>
  <si>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</si>
  <si>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</si>
  <si>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</si>
  <si>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</si>
  <si>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</si>
  <si>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</si>
  <si>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</si>
  <si>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</si>
  <si>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</si>
  <si>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</si>
  <si>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</si>
  <si>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</si>
  <si>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</si>
  <si>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</si>
  <si>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</si>
  <si>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</si>
  <si>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</si>
  <si>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</si>
  <si>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</si>
  <si>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</si>
  <si>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</si>
  <si>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</si>
  <si>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</si>
  <si>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</si>
  <si>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</si>
  <si>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</si>
  <si>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</si>
  <si>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</si>
  <si>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</si>
  <si>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</si>
  <si>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</si>
  <si>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</si>
  <si>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</si>
  <si>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</si>
  <si>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</si>
  <si>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</si>
  <si>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</si>
  <si>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</si>
  <si>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</si>
  <si>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</si>
  <si>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</si>
  <si>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</si>
  <si>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</si>
  <si>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</si>
  <si>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</si>
  <si>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</si>
  <si>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</si>
  <si>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</si>
  <si>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</si>
  <si>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</si>
  <si>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</si>
  <si>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</si>
  <si>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</si>
  <si>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</si>
  <si>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</si>
  <si>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</si>
  <si>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</si>
  <si>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</si>
  <si>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</si>
  <si>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</si>
  <si>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</si>
  <si>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</si>
  <si>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</si>
  <si>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</si>
  <si>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</si>
  <si>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</si>
  <si>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</si>
  <si>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</si>
  <si>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</si>
  <si>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</si>
  <si>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</si>
  <si>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</si>
  <si>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</si>
  <si>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</si>
  <si>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</si>
  <si>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</si>
  <si>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</si>
  <si>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</si>
  <si>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</si>
  <si>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</si>
  <si>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</si>
  <si>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</si>
  <si>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</si>
  <si>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</si>
  <si>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</si>
  <si>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</si>
  <si>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</si>
  <si>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</si>
  <si>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</si>
  <si>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</si>
  <si>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</si>
  <si>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</si>
  <si>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</si>
  <si>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</si>
  <si>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</si>
  <si>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</si>
  <si>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</si>
  <si>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</si>
  <si>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</si>
  <si>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</si>
  <si>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</si>
  <si>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</si>
  <si>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</si>
  <si>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</si>
  <si>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</si>
  <si>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</si>
  <si>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</si>
  <si>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</si>
  <si>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</si>
  <si>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</si>
  <si>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</si>
  <si>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</si>
  <si>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</si>
  <si>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</si>
  <si>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</si>
  <si>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</si>
  <si>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</si>
  <si>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</si>
  <si>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</si>
  <si>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</si>
  <si>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</si>
  <si>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</si>
  <si>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</si>
  <si>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</si>
  <si>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</si>
  <si>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</si>
  <si>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</si>
  <si>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</si>
  <si>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</si>
  <si>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</si>
  <si>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</si>
  <si>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</si>
  <si>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</si>
  <si>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</si>
  <si>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</si>
  <si>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</si>
  <si>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</si>
  <si>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</si>
  <si>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</si>
  <si>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</si>
  <si>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</si>
  <si>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</si>
  <si>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</si>
  <si>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</si>
  <si>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</si>
  <si>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</si>
  <si>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</si>
  <si>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</si>
  <si>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</si>
  <si>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</si>
  <si>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</si>
  <si>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</si>
  <si>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</si>
  <si>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</si>
  <si>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</si>
  <si>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</si>
  <si>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</si>
  <si>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</si>
  <si>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</si>
  <si>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</si>
  <si>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</si>
  <si>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</si>
  <si>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</si>
  <si>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</si>
  <si>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</si>
  <si>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</si>
  <si>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</si>
  <si>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</si>
  <si>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</si>
  <si>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</si>
  <si>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</si>
  <si>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</si>
  <si>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</si>
  <si>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</si>
  <si>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</si>
  <si>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</si>
  <si>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</si>
  <si>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</si>
  <si>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</si>
  <si>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</si>
  <si>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</si>
  <si>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</si>
  <si>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</si>
  <si>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</si>
  <si>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</si>
  <si>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</si>
  <si>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</si>
  <si>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</si>
  <si>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</si>
  <si>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</si>
  <si>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</si>
  <si>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</si>
  <si>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</si>
  <si>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</si>
  <si>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</si>
  <si>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</si>
  <si>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</si>
  <si>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</si>
  <si>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</si>
  <si>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</si>
  <si>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</si>
  <si>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</si>
  <si>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</si>
  <si>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</si>
  <si>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</si>
  <si>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</si>
  <si>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</si>
  <si>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</si>
  <si>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</si>
  <si>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</si>
  <si>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</si>
  <si>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</si>
  <si>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</si>
  <si>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</si>
  <si>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</si>
  <si>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</si>
  <si>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</si>
  <si>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</si>
  <si>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</si>
  <si>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</si>
  <si>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</si>
  <si>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</si>
  <si>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</si>
  <si>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</si>
  <si>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</si>
  <si>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</si>
  <si>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</si>
  <si>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</si>
  <si>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</si>
  <si>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</si>
  <si>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</si>
  <si>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</si>
  <si>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</si>
  <si>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</si>
  <si>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</si>
  <si>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</si>
  <si>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</si>
  <si>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</si>
  <si>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</si>
  <si>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</si>
  <si>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</si>
  <si>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</si>
  <si>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</si>
  <si>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</si>
  <si>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</si>
  <si>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</si>
  <si>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</si>
  <si>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</si>
  <si>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</si>
  <si>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</si>
  <si>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</si>
  <si>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</si>
  <si>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</si>
  <si>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</si>
  <si>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</si>
  <si>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</si>
  <si>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</si>
  <si>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</si>
  <si>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</si>
  <si>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</si>
  <si>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</si>
  <si>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</si>
  <si>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</si>
  <si>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</si>
  <si>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</si>
  <si>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</si>
  <si>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</si>
  <si>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</si>
  <si>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</si>
  <si>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</si>
  <si>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</si>
  <si>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</si>
  <si>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</si>
  <si>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</si>
  <si>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</si>
  <si>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</si>
  <si>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</si>
  <si>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</si>
  <si>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</si>
  <si>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</si>
  <si>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</si>
  <si>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</si>
  <si>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</si>
  <si>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</si>
  <si>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</si>
  <si>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</si>
  <si>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</si>
  <si>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</si>
  <si>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</si>
  <si>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</si>
  <si>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</si>
  <si>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</si>
  <si>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</si>
  <si>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</si>
  <si>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</si>
  <si>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</si>
  <si>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</si>
  <si>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</si>
  <si>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</si>
  <si>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</si>
  <si>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</si>
  <si>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</si>
  <si>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</si>
  <si>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</si>
  <si>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</si>
  <si>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</si>
  <si>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</si>
  <si>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</si>
  <si>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</si>
  <si>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</si>
  <si>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</si>
  <si>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</si>
  <si>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</si>
  <si>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</si>
  <si>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</si>
  <si>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</si>
  <si>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</si>
  <si>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</si>
  <si>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</si>
  <si>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</si>
  <si>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</si>
  <si>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</si>
  <si>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</si>
  <si>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</si>
  <si>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</si>
  <si>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</si>
  <si>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</si>
  <si>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</si>
  <si>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</si>
  <si>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</si>
  <si>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</si>
  <si>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</si>
  <si>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</si>
  <si>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</si>
  <si>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</si>
  <si>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</si>
  <si>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</si>
  <si>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</si>
  <si>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</si>
  <si>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</si>
  <si>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</si>
  <si>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</si>
  <si>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</si>
  <si>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</si>
  <si>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</si>
  <si>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</si>
  <si>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</si>
  <si>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</si>
  <si>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</si>
  <si>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</si>
  <si>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</si>
  <si>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</si>
  <si>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</si>
  <si>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</si>
  <si>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</si>
  <si>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</si>
  <si>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</si>
  <si>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</si>
  <si>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</si>
  <si>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</si>
  <si>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</si>
  <si>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</si>
  <si>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</si>
  <si>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</si>
  <si>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</si>
  <si>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</si>
  <si>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</si>
  <si>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</si>
  <si>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</si>
  <si>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</si>
  <si>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</si>
  <si>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</si>
  <si>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</si>
  <si>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</si>
  <si>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</si>
  <si>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</si>
  <si>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</si>
  <si>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</si>
  <si>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</si>
  <si>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</si>
  <si>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</si>
  <si>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</si>
  <si>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</si>
  <si>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</si>
  <si>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</si>
  <si>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</si>
  <si>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</si>
  <si>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</si>
  <si>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</si>
  <si>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</si>
  <si>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</si>
  <si>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</si>
  <si>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</si>
  <si>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</si>
  <si>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</si>
  <si>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</si>
  <si>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</si>
  <si>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</si>
  <si>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</si>
  <si>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</si>
  <si>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</si>
  <si>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</si>
  <si>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</si>
  <si>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</si>
  <si>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</si>
  <si>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</si>
  <si>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</si>
  <si>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</si>
  <si>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</si>
  <si>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</si>
  <si>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</si>
  <si>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</si>
  <si>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</si>
  <si>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</si>
  <si>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</si>
  <si>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</si>
  <si>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</si>
  <si>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</si>
  <si>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</si>
  <si>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</si>
  <si>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</si>
  <si>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</si>
  <si>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</si>
  <si>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</si>
  <si>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</si>
  <si>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</si>
  <si>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</si>
  <si>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</si>
  <si>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</si>
  <si>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</si>
  <si>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</si>
  <si>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</si>
  <si>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</si>
  <si>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</si>
  <si>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</si>
  <si>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</si>
  <si>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</si>
  <si>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</si>
  <si>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</si>
  <si>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</si>
  <si>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</si>
  <si>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</si>
  <si>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</si>
  <si>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</si>
  <si>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</si>
  <si>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</si>
  <si>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</si>
  <si>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</si>
  <si>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</si>
  <si>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</si>
  <si>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</si>
  <si>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</si>
  <si>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</si>
  <si>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</si>
  <si>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</si>
  <si>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</si>
  <si>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</si>
  <si>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</si>
  <si>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</si>
  <si>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</si>
  <si>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</si>
  <si>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</si>
  <si>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</si>
  <si>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</si>
  <si>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</si>
  <si>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</si>
  <si>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</si>
  <si>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</si>
  <si>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</si>
  <si>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</si>
  <si>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</si>
  <si>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</si>
  <si>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</si>
  <si>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</si>
  <si>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</si>
  <si>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</si>
  <si>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</si>
  <si>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</si>
  <si>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</si>
  <si>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</si>
  <si>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</si>
  <si>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</si>
  <si>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</si>
  <si>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</si>
  <si>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</si>
  <si>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</si>
  <si>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</si>
  <si>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</si>
  <si>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</si>
  <si>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</si>
  <si>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</si>
  <si>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</si>
  <si>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</si>
  <si>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</si>
  <si>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</si>
  <si>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</si>
  <si>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</si>
  <si>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</si>
  <si>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</si>
  <si>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</si>
  <si>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</si>
  <si>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</si>
  <si>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</si>
  <si>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</si>
  <si>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</si>
  <si>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</si>
  <si>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</si>
  <si>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</si>
  <si>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</si>
  <si>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</si>
  <si>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</si>
  <si>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</si>
  <si>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</si>
  <si>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</si>
  <si>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</si>
  <si>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</si>
  <si>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</si>
  <si>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</si>
  <si>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</si>
  <si>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</si>
  <si>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</si>
  <si>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</si>
  <si>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</si>
  <si>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</si>
  <si>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</si>
  <si>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</si>
  <si>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</si>
  <si>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</si>
  <si>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</si>
  <si>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</si>
  <si>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</si>
  <si>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</si>
  <si>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</si>
  <si>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</si>
  <si>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</si>
  <si>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</si>
  <si>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</si>
  <si>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</si>
  <si>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</si>
  <si>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</si>
  <si>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</si>
  <si>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</si>
  <si>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</si>
  <si>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</si>
  <si>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</si>
  <si>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</si>
  <si>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</si>
  <si>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</si>
  <si>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</si>
  <si>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</si>
  <si>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</si>
  <si>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</si>
  <si>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</si>
  <si>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</si>
  <si>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</si>
  <si>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</si>
  <si>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</si>
  <si>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</si>
  <si>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</si>
  <si>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</si>
  <si>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</si>
  <si>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</si>
  <si>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</si>
  <si>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</si>
  <si>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</si>
  <si>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</si>
  <si>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</si>
  <si>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</si>
  <si>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</si>
  <si>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</si>
  <si>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</si>
  <si>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</si>
  <si>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</si>
  <si>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</si>
  <si>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</si>
  <si>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</si>
  <si>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</si>
  <si>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</si>
  <si>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</si>
  <si>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</si>
  <si>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</si>
  <si>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</si>
  <si>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</si>
  <si>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</si>
  <si>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</si>
  <si>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</si>
  <si>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</si>
  <si>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</si>
  <si>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</si>
  <si>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</si>
  <si>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</si>
  <si>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</si>
  <si>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</si>
  <si>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</si>
  <si>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</si>
  <si>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</si>
  <si>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</si>
  <si>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</si>
  <si>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</si>
  <si>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</si>
  <si>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</si>
  <si>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</si>
  <si>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</si>
  <si>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</si>
  <si>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</si>
  <si>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</si>
  <si>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</si>
  <si>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</si>
  <si>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</si>
  <si>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</si>
  <si>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</si>
  <si>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</si>
  <si>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</si>
  <si>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</si>
  <si>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</si>
  <si>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</si>
  <si>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</si>
  <si>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</si>
  <si>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</si>
  <si>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</si>
  <si>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</si>
  <si>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</si>
  <si>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</si>
  <si>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</si>
  <si>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</si>
  <si>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</si>
  <si>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</si>
  <si>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</si>
  <si>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</si>
  <si>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</si>
  <si>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</si>
  <si>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</si>
  <si>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</si>
  <si>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</si>
  <si>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</si>
  <si>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</si>
  <si>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</si>
  <si>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</si>
  <si>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</si>
  <si>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</si>
  <si>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</si>
  <si>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</si>
  <si>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</si>
  <si>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</si>
  <si>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</si>
  <si>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</si>
  <si>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</si>
  <si>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</si>
  <si>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</si>
  <si>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</si>
  <si>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</si>
  <si>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</si>
  <si>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</si>
  <si>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</si>
  <si>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</si>
  <si>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</si>
  <si>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</si>
  <si>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</si>
  <si>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</si>
  <si>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</si>
  <si>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</si>
  <si>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</si>
  <si>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</si>
  <si>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</si>
  <si>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</si>
  <si>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</si>
  <si>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</si>
  <si>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</si>
  <si>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</si>
  <si>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</si>
  <si>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</si>
  <si>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</si>
  <si>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</si>
  <si>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</si>
  <si>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</si>
  <si>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</si>
  <si>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</si>
  <si>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</si>
  <si>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</si>
  <si>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</si>
  <si>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</si>
  <si>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</si>
  <si>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</si>
  <si>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</si>
  <si>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</si>
  <si>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</si>
  <si>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</si>
  <si>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</si>
  <si>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</si>
  <si>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</si>
  <si>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</si>
  <si>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</si>
  <si>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</si>
  <si>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</si>
  <si>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</si>
  <si>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</si>
  <si>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</si>
  <si>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</si>
  <si>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</si>
  <si>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</si>
  <si>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</si>
  <si>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</si>
  <si>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</si>
  <si>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</si>
  <si>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</si>
  <si>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</si>
  <si>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</si>
  <si>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</si>
  <si>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</si>
  <si>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</si>
  <si>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</si>
  <si>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</si>
  <si>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</si>
  <si>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</si>
  <si>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</si>
  <si>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</si>
  <si>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</si>
  <si>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</si>
  <si>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</si>
  <si>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</si>
  <si>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</si>
  <si>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</si>
  <si>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</si>
  <si>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</si>
  <si>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</si>
  <si>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</si>
  <si>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</si>
  <si>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</si>
  <si>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</si>
  <si>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</si>
  <si>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</si>
  <si>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</si>
  <si>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</si>
  <si>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</si>
  <si>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</si>
  <si>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</si>
  <si>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</si>
  <si>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</si>
  <si>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</si>
  <si>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</si>
  <si>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</si>
  <si>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</si>
  <si>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</si>
  <si>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</si>
  <si>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</si>
  <si>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</si>
  <si>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</si>
  <si>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</si>
  <si>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</si>
  <si>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</si>
  <si>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</si>
  <si>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</si>
  <si>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</si>
  <si>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</si>
  <si>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</si>
  <si>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</si>
  <si>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</si>
  <si>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</si>
  <si>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</si>
  <si>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</si>
  <si>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</si>
  <si>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</si>
  <si>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</si>
  <si>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</si>
  <si>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</si>
  <si>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</si>
  <si>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</si>
  <si>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</si>
  <si>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</si>
  <si>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</si>
  <si>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</si>
  <si>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</si>
  <si>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</si>
  <si>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</si>
  <si>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</si>
  <si>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</si>
  <si>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</si>
  <si>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</si>
  <si>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</si>
  <si>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</si>
  <si>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</si>
  <si>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</si>
  <si>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</si>
  <si>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</si>
  <si>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</si>
  <si>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</si>
  <si>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</si>
  <si>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</si>
  <si>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</si>
  <si>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</si>
  <si>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</si>
  <si>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</si>
  <si>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</si>
  <si>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</si>
  <si>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</si>
  <si>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</si>
  <si>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</si>
  <si>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</si>
  <si>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</si>
  <si>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</si>
  <si>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</si>
  <si>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</si>
  <si>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</si>
  <si>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</si>
  <si>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</si>
  <si>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</si>
  <si>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</si>
  <si>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</si>
  <si>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</si>
  <si>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</si>
  <si>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</si>
  <si>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</si>
  <si>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</si>
  <si>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</si>
  <si>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</si>
  <si>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</si>
  <si>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</si>
  <si>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</si>
  <si>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</si>
  <si>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</si>
  <si>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</si>
  <si>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</si>
  <si>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</si>
  <si>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</si>
  <si>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</si>
  <si>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</si>
  <si>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</si>
  <si>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</si>
  <si>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</si>
  <si>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</si>
  <si>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</si>
  <si>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</si>
  <si>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</si>
  <si>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</si>
  <si>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</si>
  <si>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</si>
  <si>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</si>
  <si>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</si>
  <si>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</si>
  <si>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</si>
  <si>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</si>
  <si>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</si>
  <si>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</si>
  <si>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</si>
  <si>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</si>
  <si>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</si>
  <si>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</si>
  <si>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</si>
  <si>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</si>
  <si>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</si>
  <si>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</si>
  <si>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</si>
  <si>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</si>
  <si>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</si>
  <si>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</si>
  <si>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</si>
  <si>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</si>
  <si>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</si>
  <si>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</si>
  <si>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</si>
  <si>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</si>
  <si>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</si>
  <si>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</si>
  <si>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</si>
  <si>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</si>
  <si>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</si>
  <si>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</si>
  <si>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</si>
  <si>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</si>
  <si>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</si>
  <si>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</si>
  <si>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</si>
  <si>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</si>
  <si>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</si>
  <si>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</si>
  <si>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</si>
  <si>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</si>
  <si>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</si>
  <si>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</si>
  <si>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</si>
  <si>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</si>
  <si>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</si>
  <si>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</si>
  <si>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</si>
  <si>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</si>
  <si>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</si>
  <si>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</si>
  <si>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</si>
  <si>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</si>
  <si>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</si>
  <si>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</si>
  <si>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</si>
  <si>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</si>
  <si>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</si>
  <si>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</si>
  <si>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</si>
  <si>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</si>
  <si>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</si>
  <si>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</si>
  <si>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</si>
  <si>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</si>
  <si>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</si>
  <si>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</si>
  <si>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</si>
  <si>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</si>
  <si>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</si>
  <si>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</si>
  <si>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</si>
  <si>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</si>
  <si>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</si>
  <si>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</si>
  <si>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</si>
  <si>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</si>
  <si>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</si>
  <si>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</si>
  <si>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</si>
  <si>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</si>
  <si>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</si>
  <si>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</si>
  <si>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</si>
  <si>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</si>
  <si>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</si>
  <si>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</si>
  <si>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</si>
  <si>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</si>
  <si>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</si>
  <si>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</si>
  <si>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</si>
  <si>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</si>
  <si>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</si>
  <si>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</si>
  <si>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</si>
  <si>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</si>
  <si>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</si>
  <si>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</si>
  <si>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</si>
  <si>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</si>
  <si>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</si>
  <si>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</si>
  <si>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</si>
  <si>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</si>
  <si>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</si>
  <si>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</si>
  <si>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</si>
  <si>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</si>
  <si>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</si>
  <si>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</si>
  <si>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</si>
  <si>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</si>
  <si>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</si>
  <si>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</si>
  <si>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</si>
  <si>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</si>
  <si>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</si>
  <si>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</si>
  <si>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</si>
  <si>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</si>
  <si>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</si>
  <si>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</si>
  <si>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</si>
  <si>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</si>
  <si>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</si>
  <si>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</si>
  <si>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</si>
  <si>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</si>
  <si>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</si>
  <si>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</si>
  <si>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</si>
  <si>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</si>
  <si>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Otros recursos  Nación</t>
  </si>
  <si>
    <t>324  SECRETARÍA TECNOLÓGIAS DE LA INFORMACIÓN Y LASCOMUNICACIÓN</t>
  </si>
  <si>
    <t>Impuesto Monopolio</t>
  </si>
  <si>
    <t>Nación</t>
  </si>
  <si>
    <t>Estampilla Pro Desarrollo</t>
  </si>
  <si>
    <t>Impuesto al Registro</t>
  </si>
  <si>
    <t>Recursos Propios</t>
  </si>
  <si>
    <t>Total Inversión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</si>
  <si>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</si>
  <si>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</si>
  <si>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</si>
  <si>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</si>
  <si>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</si>
  <si>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</si>
  <si>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</si>
  <si>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</si>
  <si>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</si>
  <si>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</si>
  <si>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</si>
  <si>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</si>
  <si>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</si>
  <si>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</si>
  <si>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</si>
  <si>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</si>
  <si>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</si>
  <si>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</si>
  <si>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</si>
  <si>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</si>
  <si>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</si>
  <si>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</si>
  <si>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</si>
  <si>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</si>
  <si>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</si>
  <si>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</si>
  <si>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</si>
  <si>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</si>
  <si>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</si>
  <si>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</si>
  <si>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</si>
  <si>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</si>
  <si>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</si>
  <si>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</si>
  <si>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</si>
  <si>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</si>
  <si>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</si>
  <si>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</si>
  <si>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</si>
  <si>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</si>
  <si>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</si>
  <si>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</si>
  <si>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</si>
  <si>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</si>
  <si>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</si>
  <si>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</si>
  <si>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</si>
  <si>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</si>
  <si>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</si>
  <si>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</si>
  <si>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</si>
  <si>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</si>
  <si>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</si>
  <si>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</si>
  <si>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</si>
  <si>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</si>
  <si>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</si>
  <si>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</si>
  <si>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</si>
  <si>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</si>
  <si>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</si>
  <si>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</si>
  <si>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</si>
  <si>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</si>
  <si>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</si>
  <si>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</si>
  <si>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</si>
  <si>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</si>
  <si>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</si>
  <si>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</si>
  <si>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</si>
  <si>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</si>
  <si>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</si>
  <si>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</si>
  <si>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Planeación</t>
  </si>
  <si>
    <t>Aguas e Infraestructura</t>
  </si>
  <si>
    <t>Interior</t>
  </si>
  <si>
    <t>Turismo Industria y Comercio</t>
  </si>
  <si>
    <t>Familia</t>
  </si>
  <si>
    <t>Salud</t>
  </si>
  <si>
    <t>Proyecta</t>
  </si>
  <si>
    <t xml:space="preserve">313 SECRETARÍA  PRIVADA </t>
  </si>
  <si>
    <t xml:space="preserve">313 SECRETARÍA PRIVADA </t>
  </si>
  <si>
    <t>313 SECRETARÍA PRIVADA</t>
  </si>
  <si>
    <t>Privada</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</si>
  <si>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</si>
  <si>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</si>
  <si>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</si>
  <si>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</si>
  <si>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</si>
  <si>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</si>
  <si>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</si>
  <si>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</si>
  <si>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</si>
  <si>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</si>
  <si>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</si>
  <si>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</si>
  <si>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</si>
  <si>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</si>
  <si>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</si>
  <si>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</si>
  <si>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</si>
  <si>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</si>
  <si>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</si>
  <si>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</si>
  <si>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</si>
  <si>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</si>
  <si>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</si>
  <si>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</si>
  <si>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</si>
  <si>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</si>
  <si>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</si>
  <si>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</si>
  <si>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</si>
  <si>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</si>
  <si>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</si>
  <si>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</si>
  <si>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</si>
  <si>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</si>
  <si>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</si>
  <si>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</si>
  <si>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</si>
  <si>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</si>
  <si>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Recurso del Crédito</t>
  </si>
  <si>
    <t>Liderazgo, Gobernabilidad y Transparencia</t>
  </si>
  <si>
    <t>PLAN OPERATIVO ANUAL DE INVERSIONES POAI  2023
PLAN DE DESARROLLO 2020-2023 "TÚ Y YO SOMOS QUINDIO"
RELACIÓN PROYECTOS DE INVERSION EN EJECUCIÓN
I TRIMESTRE 2023</t>
  </si>
  <si>
    <t>PLAN OPERATIVO ANUAL DE INVERSIÓN POAI  2023
PLAN DE DESARROLLO 2020-2023 "TÚ Y YO SOMOS QUINDIO"
REPORTE UNIDADES EJECUTORAS POR FUENTES DE FINANCIACIÓN
I TRIMESTRE 2023</t>
  </si>
  <si>
    <t>PLAN OPERATIVO ANUAL DE INVERSIÓN POAI  2023
PLAN DE DESARROLLO 2020-2023 "TÚ Y YO SOMOS QUINDIO"
REPORTE UNIDADES EJECUTORAS POR PROGRAMAS
I TRIMESTRE 2023</t>
  </si>
  <si>
    <t>COMPROMISOS</t>
  </si>
  <si>
    <t>OBLIGACIONES</t>
  </si>
  <si>
    <t xml:space="preserve"> SGP EDUCACIÓN - CONECTIVIDAD 
</t>
  </si>
  <si>
    <t>Seguimiento Plan Operativo Anual de Inversiones POAI Vigencia   2023</t>
  </si>
  <si>
    <t>Plan de Desarrollo 2020-2023 "Tú y yo somos Quindío"</t>
  </si>
  <si>
    <t xml:space="preserve">A marzo 31 </t>
  </si>
  <si>
    <t>RESPONSABLE
CARGO</t>
  </si>
  <si>
    <t>F-PLA-43</t>
  </si>
  <si>
    <t>FUENTES DE FINANCIACIÓN</t>
  </si>
  <si>
    <t>% COMPROMISOS</t>
  </si>
  <si>
    <t>% OBLIGACIONES</t>
  </si>
  <si>
    <t>PLAN OPERATIVO ANUAL DE INVERSIÓN POAI  2023
PLAN DE DESARROLLO 2020-2023 "TÚ Y YO SOMOS QUINDIO"
RELACIÓN DE RECURSOS POR LÍNEA ESTRATÉGICA
I TRIMESTRE 2023</t>
  </si>
  <si>
    <t>DISPONIBILIDADES</t>
  </si>
  <si>
    <t>% CD
DISPON
/APRO DEF</t>
  </si>
  <si>
    <t>% RP
COMPROM
APROP DEF</t>
  </si>
  <si>
    <t xml:space="preserve">OBLIGACIONES </t>
  </si>
  <si>
    <t>% OBLIG
OBLIG/PPTO</t>
  </si>
  <si>
    <t>PAGOS</t>
  </si>
  <si>
    <t>% PAGOS
PAGOS/
COMPR</t>
  </si>
  <si>
    <t>SALDOS
DISPONIBLES</t>
  </si>
  <si>
    <t>%  DISP.
SALDO
/APRO DEF</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</si>
  <si>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</si>
  <si>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</si>
  <si>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</si>
  <si>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</si>
  <si>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</si>
  <si>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</si>
  <si>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</si>
  <si>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</si>
  <si>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</si>
  <si>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Presupuesto</t>
  </si>
  <si>
    <t>%</t>
  </si>
  <si>
    <t xml:space="preserve">Disponibilidades </t>
  </si>
  <si>
    <t>Compromisos</t>
  </si>
  <si>
    <t xml:space="preserve">Sobresaliente  (Entre 80%-100%) </t>
  </si>
  <si>
    <t>Obligaciones</t>
  </si>
  <si>
    <t>Satisfactorio (Entre 70% -79%)</t>
  </si>
  <si>
    <t xml:space="preserve">Pagos </t>
  </si>
  <si>
    <t>Medio (Entre 60%-69%)</t>
  </si>
  <si>
    <t>Disponible</t>
  </si>
  <si>
    <t>Bajo (Entre 40% - 59%)</t>
  </si>
  <si>
    <t>Critico (Entre 0% - 39%)</t>
  </si>
  <si>
    <t>SEMAFORO CUMPLIMIENTO</t>
  </si>
  <si>
    <t>% AP</t>
  </si>
  <si>
    <t xml:space="preserve">Recurso </t>
  </si>
  <si>
    <t>CONSOLIDADO EJECUCIÓN GASTOS DE INVERSIÓN DEPARTAMENTAL
A MARZO 31 DE 2023</t>
  </si>
  <si>
    <t>APROPIACIÓN DEFINITIVA</t>
  </si>
  <si>
    <t>Apropiación Definitiva</t>
  </si>
  <si>
    <t>No. de proyectos</t>
  </si>
  <si>
    <t>Total proyectos</t>
  </si>
  <si>
    <t>No. DE PROYECTOS 
INVERSIÓN DEPARTAMENTAL
MARZO 31 2023</t>
  </si>
  <si>
    <t>Nación  (Invías - Min Salud)</t>
  </si>
  <si>
    <t>MONOPOLIO EDUCACIÓN SALUD</t>
  </si>
  <si>
    <t>Construcción y/o mejoramiento de las redes de acueducto y alcantarillado en los municipios del departamento del Quindío</t>
  </si>
  <si>
    <t>TOTAL EJECUTADA</t>
  </si>
  <si>
    <t>Tasa  Deporte</t>
  </si>
  <si>
    <t xml:space="preserve"> ESTAMPILLAS 
PRO - CULTURA
PRO - ADULTO MAYOR
PRO - DESARROLLO
TASA - DEPORTE
 </t>
  </si>
  <si>
    <t>Otros recursos Indeportes</t>
  </si>
  <si>
    <t>%COMPROMISOS</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</si>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</sst>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 #,##0_-;\-&quot;$&quot;\ * #,##0_-;_-&quot;$&quot;\ * &quot;-&quot;_-;_-@_-"/>
    <numFmt numFmtId="169" formatCode="_-&quot;$&quot;\ * #,##0.00_-;\-&quot;$&quot;\ * #,##0.00_-;_-&quot;$&quot;\ * &quot;-&quot;??_-;_-@_-"/>
    <numFmt numFmtId="170" formatCode="_-* #,##0.00\ _€_-;\-* #,##0.00\ _€_-;_-* &quot;-&quot;??\ _€_-;_-@_-"/>
    <numFmt numFmtId="171" formatCode="_([$$-240A]\ * #,##0.00_);_([$$-240A]\ * \(#,##0.00\);_([$$-240A]\ * &quot;-&quot;??_);_(@_)"/>
    <numFmt numFmtId="172" formatCode="00"/>
    <numFmt numFmtId="173" formatCode="_(* #,##0_);_(* \(#,##0\);_(* &quot;-&quot;??_);_(@_)"/>
    <numFmt numFmtId="174" formatCode="_-* #,##0_-;\-* #,##0_-;_-* &quot;-&quot;??_-;_-@_-"/>
    <numFmt numFmtId="175" formatCode="_-&quot;$&quot;\ * #,##0.00_-;\-&quot;$&quot;\ * #,##0.00_-;_-&quot;$&quot;\ * &quot;-&quot;_-;_-@_-"/>
    <numFmt numFmtId="176" formatCode="_ [$€-2]\ * #,##0.00_ ;_ [$€-2]\ * \-#,##0.00_ ;_ [$€-2]\ * &quot;-&quot;??_ "/>
    <numFmt numFmtId="177" formatCode="#,##0."/>
    <numFmt numFmtId="178" formatCode="_ * #,##0.00_ ;_ * \-#,##0.00_ ;_ * &quot;-&quot;??_ ;_ @_ "/>
    <numFmt numFmtId="179" formatCode="_([$$-240A]\ * #,##0.0_);_([$$-240A]\ * \(#,##0.0\);_([$$-240A]\ * &quot;-&quot;??_);_(@_)"/>
    <numFmt numFmtId="180" formatCode="&quot;$&quot;\ #,##0.00"/>
    <numFmt numFmtId="181" formatCode="0.000"/>
  </numFmts>
  <fonts count="68">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0"/>
      <color theme="1"/>
      <name val="Arial"/>
      <family val="2"/>
    </font>
    <font>
      <b/>
      <sz val="11"/>
      <name val="Arial"/>
      <family val="2"/>
    </font>
    <font>
      <sz val="11"/>
      <name val="Arial"/>
      <family val="2"/>
    </font>
    <font>
      <b/>
      <sz val="12"/>
      <color theme="1"/>
      <name val="Arial"/>
      <family val="2"/>
    </font>
    <font>
      <b/>
      <sz val="10"/>
      <color theme="0"/>
      <name val="Arial"/>
      <family val="2"/>
    </font>
    <font>
      <sz val="12"/>
      <color theme="0"/>
      <name val="Arial"/>
      <family val="2"/>
    </font>
    <font>
      <b/>
      <sz val="11"/>
      <name val="Calibri"/>
      <family val="2"/>
      <scheme val="minor"/>
    </font>
    <font>
      <sz val="11"/>
      <name val="Calibri"/>
      <family val="2"/>
      <scheme val="minor"/>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
      <sz val="10"/>
      <name val="Arial Nova Cond Light"/>
      <family val="2"/>
    </font>
    <font>
      <b/>
      <sz val="12"/>
      <color rgb="FF000000"/>
      <name val="Arial"/>
      <family val="2"/>
    </font>
    <font>
      <sz val="12"/>
      <color rgb="FF000000"/>
      <name val="Arial"/>
      <family val="2"/>
    </font>
    <font>
      <sz val="12"/>
      <color theme="1"/>
      <name val="Calibri"/>
      <family val="2"/>
      <scheme val="minor"/>
    </font>
  </fonts>
  <fills count="7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medium">
        <color rgb="FF000000"/>
      </top>
      <bottom style="medium">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rgb="FF000000"/>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401">
    <xf numFmtId="171" fontId="0" fillId="0" borderId="0"/>
    <xf numFmtId="167"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171" fontId="7" fillId="4" borderId="10">
      <alignment horizontal="center" vertical="center" wrapText="1"/>
    </xf>
    <xf numFmtId="0" fontId="1" fillId="0" borderId="0"/>
    <xf numFmtId="43" fontId="1" fillId="0" borderId="0" applyFont="0" applyFill="0" applyBorder="0" applyAlignment="0" applyProtection="0"/>
    <xf numFmtId="0" fontId="7" fillId="4" borderId="10">
      <alignment horizontal="center" vertical="center" wrapText="1"/>
    </xf>
    <xf numFmtId="171" fontId="8" fillId="0" borderId="0"/>
    <xf numFmtId="169"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9" fillId="5"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9" applyNumberFormat="0" applyAlignment="0" applyProtection="0"/>
    <xf numFmtId="0" fontId="17" fillId="9" borderId="30" applyNumberFormat="0" applyAlignment="0" applyProtection="0"/>
    <xf numFmtId="0" fontId="18" fillId="9" borderId="29" applyNumberFormat="0" applyAlignment="0" applyProtection="0"/>
    <xf numFmtId="0" fontId="19" fillId="0" borderId="31" applyNumberFormat="0" applyFill="0" applyAlignment="0" applyProtection="0"/>
    <xf numFmtId="0" fontId="9" fillId="10" borderId="32" applyNumberFormat="0" applyAlignment="0" applyProtection="0"/>
    <xf numFmtId="0" fontId="20" fillId="0" borderId="0" applyNumberFormat="0" applyFill="0" applyBorder="0" applyAlignment="0" applyProtection="0"/>
    <xf numFmtId="0" fontId="1" fillId="11" borderId="33" applyNumberFormat="0" applyFont="0" applyAlignment="0" applyProtection="0"/>
    <xf numFmtId="0" fontId="21" fillId="0" borderId="0" applyNumberFormat="0" applyFill="0" applyBorder="0" applyAlignment="0" applyProtection="0"/>
    <xf numFmtId="0" fontId="22" fillId="0" borderId="34"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71" fontId="1" fillId="0" borderId="0"/>
    <xf numFmtId="176" fontId="1" fillId="21" borderId="0" applyNumberFormat="0" applyBorder="0" applyAlignment="0" applyProtection="0"/>
    <xf numFmtId="176" fontId="1" fillId="0" borderId="0"/>
    <xf numFmtId="171" fontId="1" fillId="0" borderId="0"/>
    <xf numFmtId="0" fontId="25" fillId="0" borderId="0" applyNumberFormat="0" applyFill="0" applyBorder="0" applyAlignment="0" applyProtection="0"/>
    <xf numFmtId="176" fontId="12" fillId="0" borderId="27" applyNumberFormat="0" applyFill="0" applyAlignment="0" applyProtection="0"/>
    <xf numFmtId="176" fontId="1" fillId="0" borderId="0"/>
    <xf numFmtId="176" fontId="1" fillId="34" borderId="0" applyNumberFormat="0" applyBorder="0" applyAlignment="0" applyProtection="0"/>
    <xf numFmtId="176" fontId="9" fillId="10" borderId="32" applyNumberFormat="0" applyAlignment="0" applyProtection="0"/>
    <xf numFmtId="176" fontId="18" fillId="9" borderId="29" applyNumberFormat="0" applyAlignment="0" applyProtection="0"/>
    <xf numFmtId="176" fontId="1" fillId="0" borderId="0"/>
    <xf numFmtId="171" fontId="1" fillId="0" borderId="0"/>
    <xf numFmtId="176" fontId="23" fillId="23" borderId="0" applyNumberFormat="0" applyBorder="0" applyAlignment="0" applyProtection="0"/>
    <xf numFmtId="176" fontId="1" fillId="0" borderId="0"/>
    <xf numFmtId="176" fontId="1" fillId="0" borderId="0"/>
    <xf numFmtId="176" fontId="1" fillId="0" borderId="0"/>
    <xf numFmtId="171" fontId="1" fillId="0" borderId="0"/>
    <xf numFmtId="176" fontId="15" fillId="7" borderId="0" applyNumberFormat="0" applyBorder="0" applyAlignment="0" applyProtection="0"/>
    <xf numFmtId="176" fontId="1" fillId="0" borderId="0"/>
    <xf numFmtId="171" fontId="1" fillId="0" borderId="0"/>
    <xf numFmtId="176" fontId="23" fillId="35" borderId="0" applyNumberFormat="0" applyBorder="0" applyAlignment="0" applyProtection="0"/>
    <xf numFmtId="171"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5"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26" fillId="0" borderId="0"/>
    <xf numFmtId="166" fontId="1" fillId="0" borderId="0" applyFont="0" applyFill="0" applyBorder="0" applyAlignment="0" applyProtection="0"/>
    <xf numFmtId="0" fontId="8" fillId="0" borderId="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4" fontId="8" fillId="0" borderId="0" applyFont="0" applyFill="0" applyBorder="0" applyAlignment="0" applyProtection="0"/>
    <xf numFmtId="176"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1" fontId="8"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167" fontId="5" fillId="0" borderId="0" applyFont="0" applyFill="0" applyBorder="0" applyAlignment="0" applyProtection="0"/>
    <xf numFmtId="0" fontId="26" fillId="0" borderId="0"/>
    <xf numFmtId="168" fontId="1" fillId="0" borderId="0" applyFont="0" applyFill="0" applyBorder="0" applyAlignment="0" applyProtection="0"/>
    <xf numFmtId="0" fontId="1" fillId="0" borderId="0"/>
    <xf numFmtId="171" fontId="1" fillId="0" borderId="0"/>
    <xf numFmtId="176" fontId="19" fillId="0" borderId="31" applyNumberFormat="0" applyFill="0" applyAlignment="0" applyProtection="0"/>
    <xf numFmtId="171" fontId="1" fillId="0" borderId="0"/>
    <xf numFmtId="176" fontId="23" fillId="20" borderId="0" applyNumberFormat="0" applyBorder="0" applyAlignment="0" applyProtection="0"/>
    <xf numFmtId="176" fontId="1" fillId="0" borderId="0"/>
    <xf numFmtId="171" fontId="1" fillId="0" borderId="0"/>
    <xf numFmtId="176" fontId="1" fillId="0" borderId="0"/>
    <xf numFmtId="176" fontId="1" fillId="0" borderId="0"/>
    <xf numFmtId="176" fontId="1" fillId="0" borderId="0"/>
    <xf numFmtId="176" fontId="1" fillId="0" borderId="0"/>
    <xf numFmtId="176" fontId="1" fillId="0" borderId="0"/>
    <xf numFmtId="176" fontId="16" fillId="8" borderId="29" applyNumberFormat="0" applyAlignment="0" applyProtection="0"/>
    <xf numFmtId="171" fontId="1" fillId="0" borderId="0"/>
    <xf numFmtId="176" fontId="1" fillId="0" borderId="0"/>
    <xf numFmtId="176" fontId="23" fillId="16" borderId="0" applyNumberFormat="0" applyBorder="0" applyAlignment="0" applyProtection="0"/>
    <xf numFmtId="176" fontId="1" fillId="0" borderId="0"/>
    <xf numFmtId="176" fontId="1" fillId="0" borderId="0"/>
    <xf numFmtId="176" fontId="1" fillId="0" borderId="0"/>
    <xf numFmtId="176" fontId="23" fillId="24" borderId="0" applyNumberFormat="0" applyBorder="0" applyAlignment="0" applyProtection="0"/>
    <xf numFmtId="176" fontId="1" fillId="0" borderId="0"/>
    <xf numFmtId="176" fontId="13" fillId="0" borderId="28" applyNumberFormat="0" applyFill="0" applyAlignment="0" applyProtection="0"/>
    <xf numFmtId="171" fontId="1" fillId="0" borderId="0"/>
    <xf numFmtId="176" fontId="24" fillId="0" borderId="0" applyNumberFormat="0" applyFill="0" applyBorder="0" applyAlignment="0" applyProtection="0"/>
    <xf numFmtId="176" fontId="1" fillId="0" borderId="0"/>
    <xf numFmtId="176" fontId="1" fillId="0" borderId="0"/>
    <xf numFmtId="171" fontId="1" fillId="0" borderId="0"/>
    <xf numFmtId="176" fontId="1" fillId="14" borderId="0" applyNumberFormat="0" applyBorder="0" applyAlignment="0" applyProtection="0"/>
    <xf numFmtId="176" fontId="26" fillId="0" borderId="0"/>
    <xf numFmtId="176" fontId="1" fillId="0" borderId="0"/>
    <xf numFmtId="171" fontId="1" fillId="0" borderId="0"/>
    <xf numFmtId="176" fontId="1" fillId="0" borderId="0"/>
    <xf numFmtId="176" fontId="13" fillId="0" borderId="0" applyNumberFormat="0" applyFill="0" applyBorder="0" applyAlignment="0" applyProtection="0"/>
    <xf numFmtId="176" fontId="1" fillId="0" borderId="0"/>
    <xf numFmtId="176" fontId="1" fillId="11" borderId="33" applyNumberFormat="0" applyFont="0" applyAlignment="0" applyProtection="0"/>
    <xf numFmtId="176" fontId="1" fillId="0" borderId="0"/>
    <xf numFmtId="176" fontId="17" fillId="9" borderId="30" applyNumberFormat="0" applyAlignment="0" applyProtection="0"/>
    <xf numFmtId="171" fontId="1" fillId="0" borderId="0"/>
    <xf numFmtId="171" fontId="1" fillId="0" borderId="0"/>
    <xf numFmtId="176" fontId="1" fillId="0" borderId="0"/>
    <xf numFmtId="176" fontId="1" fillId="0" borderId="0"/>
    <xf numFmtId="176" fontId="1" fillId="0" borderId="0"/>
    <xf numFmtId="171" fontId="1" fillId="0" borderId="0"/>
    <xf numFmtId="176" fontId="8" fillId="0" borderId="0"/>
    <xf numFmtId="176" fontId="23" fillId="15" borderId="0" applyNumberFormat="0" applyBorder="0" applyAlignment="0" applyProtection="0"/>
    <xf numFmtId="171" fontId="1" fillId="0" borderId="0"/>
    <xf numFmtId="176" fontId="1" fillId="33" borderId="0" applyNumberFormat="0" applyBorder="0" applyAlignment="0" applyProtection="0"/>
    <xf numFmtId="176" fontId="1" fillId="0" borderId="0"/>
    <xf numFmtId="176" fontId="1" fillId="0" borderId="0"/>
    <xf numFmtId="176" fontId="1" fillId="26" borderId="0" applyNumberFormat="0" applyBorder="0" applyAlignment="0" applyProtection="0"/>
    <xf numFmtId="171" fontId="1" fillId="0" borderId="0"/>
    <xf numFmtId="176" fontId="22" fillId="0" borderId="34" applyNumberFormat="0" applyFill="0" applyAlignment="0" applyProtection="0"/>
    <xf numFmtId="176" fontId="8" fillId="0" borderId="0"/>
    <xf numFmtId="176" fontId="1" fillId="0" borderId="0"/>
    <xf numFmtId="176" fontId="1" fillId="29" borderId="0" applyNumberFormat="0" applyBorder="0" applyAlignment="0" applyProtection="0"/>
    <xf numFmtId="176" fontId="23" fillId="12" borderId="0" applyNumberFormat="0" applyBorder="0" applyAlignment="0" applyProtection="0"/>
    <xf numFmtId="176" fontId="1" fillId="0" borderId="0"/>
    <xf numFmtId="171" fontId="1" fillId="0" borderId="0"/>
    <xf numFmtId="176" fontId="1" fillId="0" borderId="0"/>
    <xf numFmtId="171" fontId="1" fillId="0" borderId="0"/>
    <xf numFmtId="171" fontId="1" fillId="0" borderId="0"/>
    <xf numFmtId="176" fontId="8" fillId="0" borderId="0"/>
    <xf numFmtId="176" fontId="25" fillId="0" borderId="0" applyNumberFormat="0" applyFill="0" applyBorder="0" applyAlignment="0" applyProtection="0"/>
    <xf numFmtId="176" fontId="1" fillId="0" borderId="0"/>
    <xf numFmtId="176" fontId="1" fillId="13" borderId="0" applyNumberFormat="0" applyBorder="0" applyAlignment="0" applyProtection="0"/>
    <xf numFmtId="176" fontId="1" fillId="0" borderId="0"/>
    <xf numFmtId="176" fontId="23" fillId="31" borderId="0" applyNumberFormat="0" applyBorder="0" applyAlignment="0" applyProtection="0"/>
    <xf numFmtId="176" fontId="1" fillId="0" borderId="0"/>
    <xf numFmtId="176" fontId="23" fillId="27" borderId="0" applyNumberFormat="0" applyBorder="0" applyAlignment="0" applyProtection="0"/>
    <xf numFmtId="176" fontId="1" fillId="0" borderId="0"/>
    <xf numFmtId="176" fontId="1" fillId="0" borderId="0"/>
    <xf numFmtId="176" fontId="1" fillId="0" borderId="0"/>
    <xf numFmtId="176" fontId="1" fillId="0" borderId="0"/>
    <xf numFmtId="176" fontId="23" fillId="19" borderId="0" applyNumberFormat="0" applyBorder="0" applyAlignment="0" applyProtection="0"/>
    <xf numFmtId="176" fontId="1" fillId="0" borderId="0"/>
    <xf numFmtId="176" fontId="8" fillId="0" borderId="0"/>
    <xf numFmtId="176" fontId="1" fillId="0" borderId="0"/>
    <xf numFmtId="176" fontId="10" fillId="0" borderId="0"/>
    <xf numFmtId="176" fontId="1" fillId="0" borderId="0"/>
    <xf numFmtId="176" fontId="23" fillId="32" borderId="0" applyNumberFormat="0" applyBorder="0" applyAlignment="0" applyProtection="0"/>
    <xf numFmtId="176" fontId="20" fillId="0" borderId="0" applyNumberFormat="0" applyFill="0" applyBorder="0" applyAlignment="0" applyProtection="0"/>
    <xf numFmtId="176" fontId="1" fillId="30" borderId="0" applyNumberFormat="0" applyBorder="0" applyAlignment="0" applyProtection="0"/>
    <xf numFmtId="176" fontId="1" fillId="18" borderId="0" applyNumberFormat="0" applyBorder="0" applyAlignment="0" applyProtection="0"/>
    <xf numFmtId="176" fontId="21" fillId="0" borderId="0" applyNumberFormat="0" applyFill="0" applyBorder="0" applyAlignment="0" applyProtection="0"/>
    <xf numFmtId="176" fontId="1" fillId="17" borderId="0" applyNumberFormat="0" applyBorder="0" applyAlignment="0" applyProtection="0"/>
    <xf numFmtId="176" fontId="14" fillId="6" borderId="0" applyNumberFormat="0" applyBorder="0" applyAlignment="0" applyProtection="0"/>
    <xf numFmtId="171" fontId="1" fillId="0" borderId="0"/>
    <xf numFmtId="171" fontId="1" fillId="0" borderId="0"/>
    <xf numFmtId="176" fontId="1" fillId="25" borderId="0" applyNumberFormat="0" applyBorder="0" applyAlignment="0" applyProtection="0"/>
    <xf numFmtId="176" fontId="1" fillId="0" borderId="0"/>
    <xf numFmtId="176" fontId="1" fillId="0" borderId="0"/>
    <xf numFmtId="176" fontId="1" fillId="22" borderId="0" applyNumberFormat="0" applyBorder="0" applyAlignment="0" applyProtection="0"/>
    <xf numFmtId="176" fontId="7" fillId="4" borderId="10">
      <alignment horizontal="center" vertical="center" wrapText="1"/>
    </xf>
    <xf numFmtId="176" fontId="1" fillId="0" borderId="0"/>
    <xf numFmtId="176" fontId="7" fillId="4" borderId="10">
      <alignment horizontal="center" vertical="center" wrapText="1"/>
    </xf>
    <xf numFmtId="176" fontId="1" fillId="0" borderId="0"/>
    <xf numFmtId="176" fontId="23" fillId="28" borderId="0" applyNumberFormat="0" applyBorder="0" applyAlignment="0" applyProtection="0"/>
    <xf numFmtId="171" fontId="1" fillId="0" borderId="0"/>
    <xf numFmtId="176" fontId="1" fillId="0" borderId="0"/>
    <xf numFmtId="176" fontId="1" fillId="0" borderId="0"/>
    <xf numFmtId="176" fontId="11" fillId="0" borderId="26" applyNumberFormat="0" applyFill="0" applyAlignment="0" applyProtection="0"/>
    <xf numFmtId="176" fontId="26" fillId="0" borderId="0"/>
    <xf numFmtId="176" fontId="1" fillId="0" borderId="0"/>
    <xf numFmtId="176" fontId="1" fillId="0" borderId="0"/>
    <xf numFmtId="176" fontId="1" fillId="0" borderId="0"/>
    <xf numFmtId="171" fontId="1" fillId="0" borderId="0"/>
    <xf numFmtId="176" fontId="1" fillId="0" borderId="0"/>
    <xf numFmtId="176" fontId="1" fillId="0" borderId="0"/>
    <xf numFmtId="0" fontId="8" fillId="0" borderId="0"/>
    <xf numFmtId="176" fontId="1" fillId="0" borderId="0"/>
    <xf numFmtId="176" fontId="1" fillId="0" borderId="0"/>
    <xf numFmtId="176" fontId="1" fillId="0" borderId="0"/>
    <xf numFmtId="171"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5" applyNumberFormat="0" applyAlignment="0" applyProtection="0"/>
    <xf numFmtId="0" fontId="30" fillId="51" borderId="36" applyNumberFormat="0" applyAlignment="0" applyProtection="0"/>
    <xf numFmtId="0" fontId="31" fillId="0" borderId="37"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5" applyNumberFormat="0" applyAlignment="0" applyProtection="0"/>
    <xf numFmtId="176" fontId="8" fillId="0" borderId="0" applyFont="0" applyFill="0" applyBorder="0" applyAlignment="0" applyProtection="0"/>
    <xf numFmtId="176" fontId="8" fillId="0" borderId="0" applyFont="0" applyFill="0" applyBorder="0" applyAlignment="0" applyProtection="0"/>
    <xf numFmtId="177" fontId="34" fillId="0" borderId="0">
      <protection locked="0"/>
    </xf>
    <xf numFmtId="177" fontId="34" fillId="0" borderId="0">
      <protection locked="0"/>
    </xf>
    <xf numFmtId="177" fontId="34" fillId="0" borderId="0">
      <protection locked="0"/>
    </xf>
    <xf numFmtId="177" fontId="35" fillId="0" borderId="0">
      <protection locked="0"/>
    </xf>
    <xf numFmtId="177" fontId="36" fillId="0" borderId="0">
      <protection locked="0"/>
    </xf>
    <xf numFmtId="177" fontId="35" fillId="0" borderId="0">
      <protection locked="0"/>
    </xf>
    <xf numFmtId="177" fontId="36" fillId="0" borderId="0">
      <protection locked="0"/>
    </xf>
    <xf numFmtId="0" fontId="37" fillId="37" borderId="0" applyNumberFormat="0" applyBorder="0" applyAlignment="0" applyProtection="0"/>
    <xf numFmtId="178" fontId="8" fillId="0" borderId="0" applyFont="0" applyFill="0" applyBorder="0" applyAlignment="0" applyProtection="0"/>
    <xf numFmtId="0" fontId="38" fillId="56" borderId="0" applyNumberFormat="0" applyBorder="0" applyAlignment="0" applyProtection="0"/>
    <xf numFmtId="0" fontId="8" fillId="0" borderId="0"/>
    <xf numFmtId="176" fontId="5" fillId="0" borderId="0"/>
    <xf numFmtId="0" fontId="8" fillId="0" borderId="0"/>
    <xf numFmtId="176" fontId="5" fillId="0" borderId="0"/>
    <xf numFmtId="0" fontId="8" fillId="0" borderId="0"/>
    <xf numFmtId="176" fontId="5" fillId="0" borderId="0"/>
    <xf numFmtId="0" fontId="8" fillId="0" borderId="0"/>
    <xf numFmtId="0" fontId="8" fillId="0" borderId="0"/>
    <xf numFmtId="176" fontId="5" fillId="0" borderId="0"/>
    <xf numFmtId="176" fontId="5" fillId="0" borderId="0"/>
    <xf numFmtId="0" fontId="8" fillId="0" borderId="0"/>
    <xf numFmtId="0" fontId="8" fillId="0" borderId="0"/>
    <xf numFmtId="0" fontId="8" fillId="0" borderId="0"/>
    <xf numFmtId="176" fontId="5" fillId="0" borderId="0"/>
    <xf numFmtId="176" fontId="5" fillId="0" borderId="0"/>
    <xf numFmtId="176" fontId="5" fillId="0" borderId="0"/>
    <xf numFmtId="0" fontId="8" fillId="0" borderId="0"/>
    <xf numFmtId="0" fontId="1" fillId="0" borderId="0"/>
    <xf numFmtId="176" fontId="5" fillId="0" borderId="0"/>
    <xf numFmtId="176"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9" applyNumberFormat="0" applyFont="0" applyAlignment="0" applyProtection="0"/>
    <xf numFmtId="0" fontId="8" fillId="57" borderId="39" applyNumberFormat="0" applyFont="0" applyAlignment="0" applyProtection="0"/>
    <xf numFmtId="0" fontId="39" fillId="50" borderId="40"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41" applyNumberFormat="0" applyFill="0" applyAlignment="0" applyProtection="0"/>
    <xf numFmtId="0" fontId="32" fillId="0" borderId="42" applyNumberFormat="0" applyFill="0" applyAlignment="0" applyProtection="0"/>
    <xf numFmtId="0" fontId="44" fillId="0" borderId="0" applyNumberFormat="0" applyFill="0" applyBorder="0" applyAlignment="0" applyProtection="0"/>
    <xf numFmtId="0" fontId="45" fillId="0" borderId="43" applyNumberFormat="0" applyFill="0" applyAlignment="0" applyProtection="0"/>
    <xf numFmtId="0" fontId="8"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76" fontId="1" fillId="0" borderId="0"/>
    <xf numFmtId="0" fontId="59" fillId="0" borderId="0">
      <alignment vertical="center"/>
    </xf>
    <xf numFmtId="44" fontId="61" fillId="0" borderId="0">
      <alignment vertical="top"/>
      <protection locked="0"/>
    </xf>
    <xf numFmtId="9" fontId="62" fillId="0" borderId="0">
      <alignment vertical="top"/>
      <protection locked="0"/>
    </xf>
    <xf numFmtId="171" fontId="63" fillId="4" borderId="10">
      <protection locked="0"/>
    </xf>
    <xf numFmtId="167" fontId="61" fillId="0" borderId="0">
      <alignment vertical="top"/>
      <protection locked="0"/>
    </xf>
    <xf numFmtId="167" fontId="62" fillId="0" borderId="0">
      <alignment vertical="top"/>
      <protection locked="0"/>
    </xf>
    <xf numFmtId="9" fontId="61" fillId="0" borderId="0">
      <alignment vertical="top"/>
      <protection locked="0"/>
    </xf>
    <xf numFmtId="9" fontId="61" fillId="0" borderId="0">
      <alignment vertical="top"/>
      <protection locked="0"/>
    </xf>
    <xf numFmtId="0" fontId="60" fillId="0" borderId="0">
      <protection locked="0"/>
    </xf>
    <xf numFmtId="0" fontId="60" fillId="0" borderId="0">
      <protection locked="0"/>
    </xf>
    <xf numFmtId="167" fontId="61" fillId="0" borderId="0">
      <alignment vertical="top"/>
      <protection locked="0"/>
    </xf>
  </cellStyleXfs>
  <cellXfs count="568">
    <xf numFmtId="171" fontId="0" fillId="0" borderId="0" xfId="0"/>
    <xf numFmtId="171" fontId="2" fillId="0" borderId="0" xfId="0" applyFont="1"/>
    <xf numFmtId="171" fontId="2" fillId="2" borderId="0" xfId="0" applyFont="1" applyFill="1"/>
    <xf numFmtId="171" fontId="4" fillId="0" borderId="0" xfId="0" applyFont="1" applyAlignment="1">
      <alignment horizontal="center" vertical="center"/>
    </xf>
    <xf numFmtId="171" fontId="3" fillId="0" borderId="0" xfId="0" applyFont="1" applyAlignment="1">
      <alignment vertical="center"/>
    </xf>
    <xf numFmtId="0" fontId="2" fillId="0" borderId="0" xfId="0" applyNumberFormat="1" applyFont="1" applyAlignment="1">
      <alignment horizontal="center" vertical="center"/>
    </xf>
    <xf numFmtId="171" fontId="2" fillId="0" borderId="0" xfId="0" applyFont="1" applyAlignment="1">
      <alignment horizontal="center"/>
    </xf>
    <xf numFmtId="0" fontId="2" fillId="0" borderId="0" xfId="0" applyNumberFormat="1" applyFont="1" applyAlignment="1">
      <alignment horizontal="center" vertical="center" wrapText="1"/>
    </xf>
    <xf numFmtId="171" fontId="2" fillId="0" borderId="0" xfId="0" applyFont="1" applyAlignment="1">
      <alignment horizontal="justify" vertical="center" wrapText="1"/>
    </xf>
    <xf numFmtId="171" fontId="3" fillId="0" borderId="0" xfId="0" applyFont="1"/>
    <xf numFmtId="171" fontId="3" fillId="0" borderId="5" xfId="0" applyFont="1" applyBorder="1" applyAlignment="1">
      <alignment horizontal="center" vertical="center" wrapText="1"/>
    </xf>
    <xf numFmtId="171" fontId="3" fillId="0" borderId="6"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5" applyFont="1" applyBorder="1" applyAlignment="1">
      <alignment horizontal="justify" vertical="center" wrapText="1"/>
    </xf>
    <xf numFmtId="0" fontId="2" fillId="0" borderId="3" xfId="0" applyNumberFormat="1" applyFont="1" applyBorder="1" applyAlignment="1">
      <alignment horizontal="center" vertical="center" wrapText="1"/>
    </xf>
    <xf numFmtId="171" fontId="2" fillId="0" borderId="3" xfId="0" applyFont="1" applyBorder="1" applyAlignment="1">
      <alignment horizontal="justify" vertical="center" wrapText="1"/>
    </xf>
    <xf numFmtId="171" fontId="2" fillId="0" borderId="0" xfId="0" applyFont="1" applyAlignment="1">
      <alignment vertical="center"/>
    </xf>
    <xf numFmtId="0" fontId="3" fillId="0" borderId="0" xfId="0" applyNumberFormat="1" applyFont="1" applyAlignment="1">
      <alignment horizontal="center" vertical="center" wrapText="1"/>
    </xf>
    <xf numFmtId="171" fontId="2" fillId="0" borderId="16" xfId="0" applyFont="1" applyBorder="1" applyAlignment="1">
      <alignment horizontal="justify" vertical="center" wrapText="1"/>
    </xf>
    <xf numFmtId="167" fontId="2" fillId="0" borderId="13" xfId="1" applyFont="1" applyFill="1" applyBorder="1" applyAlignment="1">
      <alignment vertical="center"/>
    </xf>
    <xf numFmtId="0" fontId="2" fillId="0" borderId="16" xfId="0" applyNumberFormat="1" applyFont="1" applyBorder="1" applyAlignment="1">
      <alignment horizontal="center" vertical="center" wrapText="1"/>
    </xf>
    <xf numFmtId="171"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0" fontId="3" fillId="0" borderId="4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 fillId="0" borderId="16" xfId="0" applyNumberFormat="1" applyFont="1" applyBorder="1" applyAlignment="1">
      <alignment horizontal="center" vertical="center"/>
    </xf>
    <xf numFmtId="167"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xf>
    <xf numFmtId="171" fontId="2" fillId="0" borderId="25" xfId="0" applyFont="1" applyBorder="1" applyAlignment="1">
      <alignment horizontal="justify" vertical="center" wrapText="1"/>
    </xf>
    <xf numFmtId="167" fontId="2" fillId="0" borderId="25" xfId="1" applyFont="1" applyFill="1" applyBorder="1" applyAlignment="1">
      <alignment vertical="center"/>
    </xf>
    <xf numFmtId="0" fontId="2" fillId="0" borderId="45"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167" fontId="2" fillId="0" borderId="0" xfId="1" applyFont="1" applyBorder="1" applyAlignment="1">
      <alignment horizontal="center"/>
    </xf>
    <xf numFmtId="171" fontId="6" fillId="0" borderId="0" xfId="0" applyFont="1"/>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2" fillId="2" borderId="9" xfId="0" applyNumberFormat="1" applyFont="1" applyFill="1" applyBorder="1" applyAlignment="1">
      <alignment horizontal="center" vertical="center" wrapText="1"/>
    </xf>
    <xf numFmtId="167" fontId="2" fillId="0" borderId="3" xfId="1" applyFont="1" applyFill="1" applyBorder="1" applyAlignment="1">
      <alignment horizontal="left" vertical="center"/>
    </xf>
    <xf numFmtId="0" fontId="2" fillId="0" borderId="3" xfId="0" applyNumberFormat="1" applyFont="1" applyBorder="1" applyAlignment="1">
      <alignment horizontal="center" vertical="center"/>
    </xf>
    <xf numFmtId="171" fontId="2" fillId="0" borderId="13" xfId="0" applyFont="1" applyBorder="1" applyAlignment="1">
      <alignment horizontal="justify" vertical="center"/>
    </xf>
    <xf numFmtId="0" fontId="2" fillId="0" borderId="45" xfId="0" applyNumberFormat="1" applyFont="1" applyBorder="1" applyAlignment="1">
      <alignment horizontal="center" vertical="center"/>
    </xf>
    <xf numFmtId="0" fontId="2" fillId="0" borderId="12" xfId="0" applyNumberFormat="1" applyFont="1" applyBorder="1" applyAlignment="1">
      <alignment horizontal="center" vertical="center"/>
    </xf>
    <xf numFmtId="167" fontId="2" fillId="0" borderId="13" xfId="1" applyFont="1" applyBorder="1" applyAlignment="1">
      <alignment horizontal="left" vertical="center"/>
    </xf>
    <xf numFmtId="0" fontId="2" fillId="0" borderId="13" xfId="0" applyNumberFormat="1" applyFont="1" applyBorder="1" applyAlignment="1">
      <alignment horizontal="justify" vertical="center"/>
    </xf>
    <xf numFmtId="167" fontId="2" fillId="0" borderId="0" xfId="1" applyFont="1" applyAlignment="1">
      <alignment horizontal="center"/>
    </xf>
    <xf numFmtId="0" fontId="3" fillId="0" borderId="0" xfId="0" applyNumberFormat="1" applyFont="1" applyAlignment="1">
      <alignment horizontal="center" vertical="center"/>
    </xf>
    <xf numFmtId="171" fontId="3" fillId="0" borderId="0" xfId="0" applyFont="1" applyAlignment="1">
      <alignment horizontal="center"/>
    </xf>
    <xf numFmtId="167" fontId="3" fillId="0" borderId="0" xfId="1" applyFont="1" applyFill="1" applyAlignment="1">
      <alignment horizontal="center"/>
    </xf>
    <xf numFmtId="0" fontId="2" fillId="0" borderId="3" xfId="0" applyNumberFormat="1" applyFont="1" applyBorder="1" applyAlignment="1">
      <alignment horizontal="left" vertical="center" wrapText="1"/>
    </xf>
    <xf numFmtId="0" fontId="3" fillId="61" borderId="13" xfId="0" applyNumberFormat="1" applyFont="1" applyFill="1" applyBorder="1" applyAlignment="1">
      <alignment horizontal="left" vertical="center"/>
    </xf>
    <xf numFmtId="0" fontId="2" fillId="0" borderId="22" xfId="0" applyNumberFormat="1" applyFont="1" applyBorder="1" applyAlignment="1">
      <alignment horizontal="center" vertical="center"/>
    </xf>
    <xf numFmtId="0" fontId="2" fillId="0" borderId="18" xfId="0" applyNumberFormat="1" applyFont="1" applyBorder="1" applyAlignment="1">
      <alignment horizontal="center" vertical="center" wrapText="1"/>
    </xf>
    <xf numFmtId="171" fontId="2" fillId="0" borderId="18" xfId="0" applyFont="1" applyBorder="1" applyAlignment="1">
      <alignment horizontal="justify" vertical="center" wrapText="1"/>
    </xf>
    <xf numFmtId="167" fontId="2" fillId="0" borderId="22" xfId="1" applyFont="1" applyBorder="1" applyAlignment="1">
      <alignment horizontal="center"/>
    </xf>
    <xf numFmtId="171" fontId="3" fillId="61" borderId="19" xfId="0" applyFont="1" applyFill="1" applyBorder="1" applyAlignment="1">
      <alignment horizontal="center" vertical="center"/>
    </xf>
    <xf numFmtId="0" fontId="3" fillId="61" borderId="13" xfId="0" applyNumberFormat="1" applyFont="1" applyFill="1" applyBorder="1" applyAlignment="1">
      <alignment horizontal="center" vertical="center"/>
    </xf>
    <xf numFmtId="171" fontId="3" fillId="61" borderId="13" xfId="0" applyFont="1" applyFill="1" applyBorder="1" applyAlignment="1">
      <alignment horizontal="center" vertical="center"/>
    </xf>
    <xf numFmtId="167" fontId="3" fillId="61" borderId="13" xfId="1" applyFont="1" applyFill="1" applyBorder="1" applyAlignment="1">
      <alignment horizontal="center" vertical="center"/>
    </xf>
    <xf numFmtId="0" fontId="3" fillId="61" borderId="17" xfId="0" applyNumberFormat="1" applyFont="1" applyFill="1" applyBorder="1" applyAlignment="1">
      <alignment horizontal="left" vertical="center"/>
    </xf>
    <xf numFmtId="0" fontId="3" fillId="60" borderId="3" xfId="0" applyNumberFormat="1" applyFont="1" applyFill="1" applyBorder="1" applyAlignment="1">
      <alignment horizontal="center" vertical="center" wrapText="1"/>
    </xf>
    <xf numFmtId="0" fontId="3" fillId="60" borderId="3" xfId="0" applyNumberFormat="1" applyFont="1" applyFill="1" applyBorder="1" applyAlignment="1">
      <alignment horizontal="left" vertical="center" wrapText="1"/>
    </xf>
    <xf numFmtId="171" fontId="22" fillId="0" borderId="0" xfId="0" applyFont="1"/>
    <xf numFmtId="167" fontId="3" fillId="60" borderId="3" xfId="1" applyFont="1" applyFill="1" applyBorder="1" applyAlignment="1">
      <alignment horizontal="center" vertical="center"/>
    </xf>
    <xf numFmtId="0" fontId="3" fillId="61" borderId="54" xfId="0" applyNumberFormat="1" applyFont="1" applyFill="1" applyBorder="1" applyAlignment="1">
      <alignment horizontal="left" vertical="center"/>
    </xf>
    <xf numFmtId="0" fontId="3" fillId="61" borderId="55" xfId="0" applyNumberFormat="1" applyFont="1" applyFill="1" applyBorder="1" applyAlignment="1">
      <alignment horizontal="center" vertical="center"/>
    </xf>
    <xf numFmtId="171" fontId="3" fillId="61" borderId="55" xfId="0" applyFont="1" applyFill="1" applyBorder="1" applyAlignment="1">
      <alignment horizontal="center" vertical="center"/>
    </xf>
    <xf numFmtId="167" fontId="3" fillId="61" borderId="56" xfId="1" applyFont="1" applyFill="1" applyBorder="1" applyAlignment="1">
      <alignment horizontal="center" vertical="center"/>
    </xf>
    <xf numFmtId="0" fontId="3" fillId="62" borderId="48" xfId="0" applyNumberFormat="1" applyFont="1" applyFill="1" applyBorder="1" applyAlignment="1">
      <alignment horizontal="left" vertical="center"/>
    </xf>
    <xf numFmtId="0" fontId="3" fillId="62" borderId="49" xfId="0" applyNumberFormat="1" applyFont="1" applyFill="1" applyBorder="1" applyAlignment="1">
      <alignment horizontal="center" vertical="center"/>
    </xf>
    <xf numFmtId="171" fontId="3" fillId="62" borderId="49" xfId="0" applyFont="1" applyFill="1" applyBorder="1" applyAlignment="1">
      <alignment horizontal="center"/>
    </xf>
    <xf numFmtId="167" fontId="3" fillId="62" borderId="52" xfId="1" applyFont="1" applyFill="1" applyBorder="1" applyAlignment="1">
      <alignment horizontal="center" vertical="center"/>
    </xf>
    <xf numFmtId="0" fontId="3" fillId="60" borderId="13" xfId="0" applyNumberFormat="1" applyFont="1" applyFill="1" applyBorder="1" applyAlignment="1">
      <alignment horizontal="left" vertical="center"/>
    </xf>
    <xf numFmtId="167" fontId="3" fillId="60" borderId="13" xfId="1" applyFont="1" applyFill="1" applyBorder="1" applyAlignment="1">
      <alignment horizontal="left" vertical="center"/>
    </xf>
    <xf numFmtId="0" fontId="3" fillId="60" borderId="13" xfId="0" applyNumberFormat="1" applyFont="1" applyFill="1" applyBorder="1" applyAlignment="1">
      <alignment horizontal="center" vertical="center"/>
    </xf>
    <xf numFmtId="0" fontId="3" fillId="60" borderId="13" xfId="0" applyNumberFormat="1" applyFont="1" applyFill="1" applyBorder="1" applyAlignment="1">
      <alignment horizontal="left" vertical="center" wrapText="1"/>
    </xf>
    <xf numFmtId="167" fontId="3" fillId="60" borderId="13" xfId="1" applyFont="1" applyFill="1" applyBorder="1" applyAlignment="1">
      <alignment horizontal="left" vertical="center" wrapText="1"/>
    </xf>
    <xf numFmtId="0" fontId="4" fillId="62" borderId="2" xfId="0" applyNumberFormat="1" applyFont="1" applyFill="1" applyBorder="1" applyAlignment="1">
      <alignment horizontal="center" vertical="center" wrapText="1"/>
    </xf>
    <xf numFmtId="173" fontId="4" fillId="62" borderId="3" xfId="3" applyNumberFormat="1" applyFont="1" applyFill="1" applyBorder="1" applyAlignment="1">
      <alignment horizontal="center" vertical="center" wrapText="1"/>
    </xf>
    <xf numFmtId="171" fontId="4" fillId="62" borderId="3" xfId="0" applyFont="1" applyFill="1" applyBorder="1" applyAlignment="1">
      <alignment horizontal="center" vertical="center" wrapText="1"/>
    </xf>
    <xf numFmtId="0" fontId="2" fillId="0" borderId="16" xfId="0" applyNumberFormat="1" applyFont="1" applyBorder="1" applyAlignment="1">
      <alignment vertical="center"/>
    </xf>
    <xf numFmtId="0" fontId="2" fillId="0" borderId="13" xfId="0" applyNumberFormat="1" applyFont="1" applyBorder="1" applyAlignment="1">
      <alignment vertical="center"/>
    </xf>
    <xf numFmtId="0" fontId="3" fillId="61" borderId="25" xfId="0" applyNumberFormat="1" applyFont="1" applyFill="1" applyBorder="1" applyAlignment="1">
      <alignment horizontal="left" vertical="center"/>
    </xf>
    <xf numFmtId="171" fontId="3" fillId="61" borderId="25" xfId="0" applyFont="1" applyFill="1" applyBorder="1" applyAlignment="1">
      <alignment horizontal="center" vertical="center"/>
    </xf>
    <xf numFmtId="167" fontId="3" fillId="61" borderId="25" xfId="1" applyFont="1" applyFill="1" applyBorder="1" applyAlignment="1">
      <alignment horizontal="center" vertical="center"/>
    </xf>
    <xf numFmtId="167" fontId="2" fillId="0" borderId="19" xfId="1" applyFont="1" applyFill="1" applyBorder="1" applyAlignment="1">
      <alignment horizontal="left" vertical="center"/>
    </xf>
    <xf numFmtId="0" fontId="2" fillId="0" borderId="53" xfId="0" applyNumberFormat="1" applyFont="1" applyBorder="1" applyAlignment="1">
      <alignment horizontal="center" vertical="center" wrapText="1"/>
    </xf>
    <xf numFmtId="0" fontId="2" fillId="0" borderId="3" xfId="0" applyNumberFormat="1" applyFont="1" applyBorder="1" applyAlignment="1">
      <alignment vertical="center"/>
    </xf>
    <xf numFmtId="171" fontId="2" fillId="0" borderId="16" xfId="0" applyFont="1" applyBorder="1" applyAlignment="1">
      <alignment horizontal="justify" vertical="center"/>
    </xf>
    <xf numFmtId="0" fontId="2" fillId="0" borderId="17" xfId="0" applyNumberFormat="1" applyFont="1" applyBorder="1" applyAlignment="1">
      <alignment vertical="center"/>
    </xf>
    <xf numFmtId="167" fontId="2" fillId="0" borderId="17" xfId="1" applyFont="1" applyFill="1" applyBorder="1" applyAlignment="1">
      <alignment vertical="center"/>
    </xf>
    <xf numFmtId="167" fontId="2" fillId="0" borderId="3" xfId="1" applyFont="1" applyFill="1" applyBorder="1" applyAlignment="1">
      <alignment vertical="center"/>
    </xf>
    <xf numFmtId="0" fontId="3" fillId="66" borderId="17" xfId="0" applyNumberFormat="1" applyFont="1" applyFill="1" applyBorder="1" applyAlignment="1">
      <alignment horizontal="center" vertical="center" wrapText="1"/>
    </xf>
    <xf numFmtId="0" fontId="3" fillId="66" borderId="13" xfId="0" applyNumberFormat="1" applyFont="1" applyFill="1" applyBorder="1" applyAlignment="1">
      <alignment vertical="center"/>
    </xf>
    <xf numFmtId="167" fontId="3" fillId="66" borderId="13" xfId="1" applyFont="1" applyFill="1" applyBorder="1" applyAlignment="1">
      <alignment vertical="center"/>
    </xf>
    <xf numFmtId="0" fontId="3" fillId="66" borderId="53" xfId="0" applyNumberFormat="1" applyFont="1" applyFill="1" applyBorder="1" applyAlignment="1">
      <alignment horizontal="center" vertical="center" wrapText="1"/>
    </xf>
    <xf numFmtId="0" fontId="3" fillId="66" borderId="19" xfId="0" applyNumberFormat="1" applyFont="1" applyFill="1" applyBorder="1" applyAlignment="1">
      <alignment vertical="center"/>
    </xf>
    <xf numFmtId="167" fontId="3" fillId="66" borderId="19" xfId="1" applyFont="1" applyFill="1" applyBorder="1" applyAlignment="1">
      <alignment vertical="center"/>
    </xf>
    <xf numFmtId="0" fontId="3" fillId="67" borderId="21" xfId="0" applyNumberFormat="1" applyFont="1" applyFill="1" applyBorder="1" applyAlignment="1">
      <alignment horizontal="center" vertical="center" wrapText="1"/>
    </xf>
    <xf numFmtId="0" fontId="3" fillId="67" borderId="13" xfId="0" applyNumberFormat="1" applyFont="1" applyFill="1" applyBorder="1" applyAlignment="1">
      <alignment horizontal="left" vertical="center"/>
    </xf>
    <xf numFmtId="0" fontId="3" fillId="67" borderId="16" xfId="0" applyNumberFormat="1" applyFont="1" applyFill="1" applyBorder="1" applyAlignment="1">
      <alignment vertical="center"/>
    </xf>
    <xf numFmtId="167" fontId="3" fillId="67" borderId="13" xfId="1" applyFont="1" applyFill="1" applyBorder="1" applyAlignment="1">
      <alignment vertical="center"/>
    </xf>
    <xf numFmtId="0" fontId="3" fillId="67" borderId="51" xfId="0" applyNumberFormat="1" applyFont="1" applyFill="1" applyBorder="1" applyAlignment="1">
      <alignment horizontal="center" vertical="center" wrapText="1"/>
    </xf>
    <xf numFmtId="0" fontId="3" fillId="67" borderId="16" xfId="0" applyNumberFormat="1" applyFont="1" applyFill="1" applyBorder="1" applyAlignment="1">
      <alignment horizontal="left" vertical="center"/>
    </xf>
    <xf numFmtId="0" fontId="3" fillId="67" borderId="16" xfId="0" applyNumberFormat="1" applyFont="1" applyFill="1" applyBorder="1" applyAlignment="1">
      <alignment horizontal="center" vertical="center" wrapText="1"/>
    </xf>
    <xf numFmtId="0" fontId="3" fillId="67" borderId="13" xfId="0" applyNumberFormat="1" applyFont="1" applyFill="1" applyBorder="1" applyAlignment="1">
      <alignment vertical="center"/>
    </xf>
    <xf numFmtId="0" fontId="3" fillId="67" borderId="15" xfId="0" applyNumberFormat="1" applyFont="1" applyFill="1" applyBorder="1" applyAlignment="1">
      <alignment horizontal="center" vertical="center" wrapText="1"/>
    </xf>
    <xf numFmtId="0" fontId="3" fillId="67" borderId="20" xfId="0" applyNumberFormat="1" applyFont="1" applyFill="1" applyBorder="1" applyAlignment="1">
      <alignment horizontal="center" vertical="center" wrapText="1"/>
    </xf>
    <xf numFmtId="0" fontId="3" fillId="67" borderId="50" xfId="0" applyNumberFormat="1" applyFont="1" applyFill="1" applyBorder="1" applyAlignment="1">
      <alignment horizontal="left" vertical="center" wrapText="1"/>
    </xf>
    <xf numFmtId="0" fontId="3" fillId="67" borderId="23" xfId="0" applyNumberFormat="1" applyFont="1" applyFill="1" applyBorder="1" applyAlignment="1">
      <alignment horizontal="center" vertical="center" wrapText="1"/>
    </xf>
    <xf numFmtId="0" fontId="3" fillId="67" borderId="13" xfId="0" applyNumberFormat="1" applyFont="1" applyFill="1" applyBorder="1" applyAlignment="1">
      <alignment horizontal="center" vertical="center" wrapText="1"/>
    </xf>
    <xf numFmtId="167" fontId="2" fillId="0" borderId="3" xfId="1" applyFont="1" applyFill="1" applyBorder="1" applyAlignment="1">
      <alignment horizontal="center" vertical="center" wrapText="1"/>
    </xf>
    <xf numFmtId="167" fontId="3" fillId="60" borderId="3" xfId="1" applyFont="1" applyFill="1" applyBorder="1" applyAlignment="1">
      <alignment horizontal="center" vertical="center" wrapText="1"/>
    </xf>
    <xf numFmtId="0" fontId="3" fillId="67" borderId="16" xfId="0" applyNumberFormat="1" applyFont="1" applyFill="1" applyBorder="1" applyAlignment="1">
      <alignment horizontal="justify" vertical="center"/>
    </xf>
    <xf numFmtId="171" fontId="2" fillId="0" borderId="20" xfId="0" applyFont="1" applyBorder="1" applyAlignment="1">
      <alignment horizontal="justify" vertical="center" wrapText="1"/>
    </xf>
    <xf numFmtId="167" fontId="2" fillId="0" borderId="17" xfId="1" applyFont="1" applyFill="1" applyBorder="1" applyAlignment="1">
      <alignment horizontal="left" vertical="center"/>
    </xf>
    <xf numFmtId="0" fontId="3" fillId="61" borderId="15" xfId="0" applyNumberFormat="1" applyFont="1" applyFill="1" applyBorder="1" applyAlignment="1">
      <alignment horizontal="left" vertical="center"/>
    </xf>
    <xf numFmtId="0" fontId="3" fillId="61" borderId="18" xfId="0" applyNumberFormat="1" applyFont="1" applyFill="1" applyBorder="1" applyAlignment="1">
      <alignment horizontal="center" vertical="center"/>
    </xf>
    <xf numFmtId="171" fontId="3" fillId="61" borderId="16" xfId="0" applyFont="1" applyFill="1" applyBorder="1" applyAlignment="1">
      <alignment horizontal="center" vertical="center"/>
    </xf>
    <xf numFmtId="0" fontId="3" fillId="61" borderId="15" xfId="0" applyNumberFormat="1" applyFont="1" applyFill="1" applyBorder="1" applyAlignment="1">
      <alignment horizontal="center" vertical="center"/>
    </xf>
    <xf numFmtId="0" fontId="2" fillId="0" borderId="0" xfId="0" applyNumberFormat="1" applyFont="1" applyAlignment="1">
      <alignment horizontal="justify" vertical="center" wrapText="1"/>
    </xf>
    <xf numFmtId="171" fontId="4" fillId="69" borderId="3" xfId="0" applyFont="1" applyFill="1" applyBorder="1" applyAlignment="1">
      <alignment horizontal="center" vertical="center" wrapText="1"/>
    </xf>
    <xf numFmtId="171" fontId="3" fillId="0" borderId="0" xfId="0" applyFont="1" applyAlignment="1">
      <alignment horizontal="center" vertical="center"/>
    </xf>
    <xf numFmtId="1" fontId="8" fillId="0" borderId="3" xfId="4" applyNumberFormat="1" applyFont="1" applyFill="1" applyBorder="1">
      <alignment horizontal="center" vertical="center" wrapText="1"/>
    </xf>
    <xf numFmtId="167" fontId="8" fillId="0" borderId="3" xfId="1" applyFont="1" applyFill="1" applyBorder="1" applyAlignment="1">
      <alignment horizontal="justify" vertical="center"/>
    </xf>
    <xf numFmtId="167" fontId="8" fillId="0" borderId="3" xfId="1" applyFont="1" applyFill="1" applyBorder="1" applyAlignment="1">
      <alignment horizontal="right" vertical="center"/>
    </xf>
    <xf numFmtId="0" fontId="8" fillId="0" borderId="3" xfId="7" applyFont="1" applyFill="1" applyBorder="1">
      <alignment horizontal="center" vertical="center" wrapText="1"/>
    </xf>
    <xf numFmtId="2" fontId="8" fillId="0" borderId="3" xfId="4" applyNumberFormat="1" applyFont="1" applyFill="1" applyBorder="1">
      <alignment horizontal="center" vertical="center" wrapText="1"/>
    </xf>
    <xf numFmtId="0" fontId="8" fillId="0" borderId="3" xfId="4" applyNumberFormat="1" applyFont="1" applyFill="1" applyBorder="1" applyAlignment="1">
      <alignment horizontal="justify" vertical="center" wrapText="1"/>
    </xf>
    <xf numFmtId="167" fontId="8" fillId="0" borderId="3" xfId="1" applyFont="1" applyFill="1" applyBorder="1" applyAlignment="1">
      <alignment horizontal="right" vertical="center" wrapText="1"/>
    </xf>
    <xf numFmtId="167" fontId="8" fillId="0" borderId="3" xfId="1" applyFont="1" applyFill="1" applyBorder="1" applyAlignment="1">
      <alignment horizontal="center" vertical="center" wrapText="1"/>
    </xf>
    <xf numFmtId="0" fontId="8" fillId="0" borderId="3" xfId="4" applyNumberFormat="1" applyFont="1" applyFill="1" applyBorder="1">
      <alignment horizontal="center" vertical="center" wrapText="1"/>
    </xf>
    <xf numFmtId="167" fontId="8" fillId="0" borderId="3" xfId="1" applyFont="1" applyFill="1" applyBorder="1" applyAlignment="1">
      <alignment vertical="center"/>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justify" vertical="center" wrapText="1"/>
    </xf>
    <xf numFmtId="171" fontId="8" fillId="0" borderId="3" xfId="0" applyFont="1" applyFill="1" applyBorder="1" applyAlignment="1">
      <alignment horizontal="justify" vertical="center" wrapText="1"/>
    </xf>
    <xf numFmtId="0" fontId="8" fillId="0" borderId="3" xfId="5" applyFont="1" applyFill="1" applyBorder="1" applyAlignment="1">
      <alignment horizontal="justify" vertical="center" wrapText="1"/>
    </xf>
    <xf numFmtId="171" fontId="8" fillId="0" borderId="3" xfId="0" applyFont="1" applyFill="1" applyBorder="1" applyAlignment="1">
      <alignment horizontal="center" vertical="center" wrapText="1"/>
    </xf>
    <xf numFmtId="1" fontId="8" fillId="0" borderId="3" xfId="5" applyNumberFormat="1" applyFont="1" applyFill="1" applyBorder="1" applyAlignment="1">
      <alignment horizontal="center" vertical="center" wrapText="1"/>
    </xf>
    <xf numFmtId="0" fontId="8" fillId="0" borderId="3" xfId="5"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3" fontId="8" fillId="0" borderId="3" xfId="0" applyNumberFormat="1" applyFont="1" applyFill="1" applyBorder="1" applyAlignment="1">
      <alignment horizontal="justify" vertical="center" wrapText="1"/>
    </xf>
    <xf numFmtId="167" fontId="8" fillId="0" borderId="3" xfId="1" applyFont="1" applyFill="1" applyBorder="1" applyAlignment="1">
      <alignment horizontal="center" vertical="center"/>
    </xf>
    <xf numFmtId="43" fontId="8" fillId="0" borderId="3" xfId="0" applyNumberFormat="1" applyFont="1" applyFill="1" applyBorder="1" applyAlignment="1">
      <alignment horizontal="justify" vertical="center" wrapText="1"/>
    </xf>
    <xf numFmtId="171" fontId="8" fillId="0" borderId="0" xfId="0" applyFont="1" applyFill="1" applyAlignment="1">
      <alignment vertical="center"/>
    </xf>
    <xf numFmtId="171" fontId="8" fillId="0" borderId="0" xfId="0" applyFont="1" applyFill="1"/>
    <xf numFmtId="0" fontId="8" fillId="0" borderId="44" xfId="0" applyNumberFormat="1" applyFont="1" applyFill="1" applyBorder="1" applyAlignment="1">
      <alignment horizontal="center" vertical="center" wrapText="1"/>
    </xf>
    <xf numFmtId="0" fontId="8" fillId="0" borderId="44" xfId="0" applyNumberFormat="1" applyFont="1" applyFill="1" applyBorder="1" applyAlignment="1">
      <alignment horizontal="justify" vertical="center" wrapText="1"/>
    </xf>
    <xf numFmtId="0" fontId="8" fillId="0" borderId="44" xfId="5" applyFont="1" applyFill="1" applyBorder="1" applyAlignment="1">
      <alignment horizontal="justify" vertical="center" wrapText="1"/>
    </xf>
    <xf numFmtId="0" fontId="8" fillId="0" borderId="44" xfId="5" applyFont="1" applyFill="1" applyBorder="1" applyAlignment="1">
      <alignment horizontal="center" vertical="center" wrapText="1"/>
    </xf>
    <xf numFmtId="1" fontId="8" fillId="0" borderId="44" xfId="0" applyNumberFormat="1" applyFont="1" applyFill="1" applyBorder="1" applyAlignment="1">
      <alignment horizontal="center" vertical="center" wrapText="1"/>
    </xf>
    <xf numFmtId="3" fontId="8" fillId="0" borderId="44" xfId="0" applyNumberFormat="1" applyFont="1" applyFill="1" applyBorder="1" applyAlignment="1">
      <alignment horizontal="justify" vertical="center" wrapText="1"/>
    </xf>
    <xf numFmtId="167" fontId="8" fillId="0" borderId="44" xfId="1" applyFont="1" applyFill="1" applyBorder="1" applyAlignment="1">
      <alignment horizontal="justify" vertical="center"/>
    </xf>
    <xf numFmtId="167" fontId="8" fillId="0" borderId="44" xfId="1" applyFont="1" applyFill="1" applyBorder="1" applyAlignment="1">
      <alignment horizontal="center" vertical="center"/>
    </xf>
    <xf numFmtId="167" fontId="8" fillId="0" borderId="44" xfId="1" applyFont="1" applyFill="1" applyBorder="1" applyAlignment="1">
      <alignment vertical="center"/>
    </xf>
    <xf numFmtId="43" fontId="8" fillId="0" borderId="44" xfId="0" applyNumberFormat="1" applyFont="1" applyFill="1" applyBorder="1" applyAlignment="1">
      <alignment horizontal="justify" vertical="center" wrapText="1"/>
    </xf>
    <xf numFmtId="171" fontId="4" fillId="68" borderId="15" xfId="0" applyFont="1" applyFill="1" applyBorder="1" applyAlignment="1">
      <alignment horizontal="center" vertical="center"/>
    </xf>
    <xf numFmtId="167" fontId="4" fillId="68" borderId="13" xfId="1" applyFont="1" applyFill="1" applyBorder="1" applyAlignment="1">
      <alignment vertical="center"/>
    </xf>
    <xf numFmtId="10" fontId="53" fillId="2" borderId="3" xfId="0" applyNumberFormat="1" applyFont="1" applyFill="1" applyBorder="1" applyAlignment="1" applyProtection="1">
      <alignment horizontal="center" vertical="center"/>
      <protection locked="0"/>
    </xf>
    <xf numFmtId="10" fontId="52" fillId="2" borderId="52" xfId="0" applyNumberFormat="1" applyFont="1" applyFill="1" applyBorder="1" applyAlignment="1" applyProtection="1">
      <alignment horizontal="center" vertical="center"/>
      <protection locked="0"/>
    </xf>
    <xf numFmtId="10" fontId="52" fillId="2" borderId="3" xfId="0" applyNumberFormat="1" applyFont="1" applyFill="1" applyBorder="1" applyAlignment="1" applyProtection="1">
      <alignment horizontal="center" vertical="center"/>
      <protection locked="0"/>
    </xf>
    <xf numFmtId="173" fontId="4" fillId="60" borderId="3" xfId="3" applyNumberFormat="1" applyFont="1" applyFill="1" applyBorder="1" applyAlignment="1">
      <alignment horizontal="center" vertical="center" wrapText="1"/>
    </xf>
    <xf numFmtId="0" fontId="26" fillId="0" borderId="0" xfId="92" applyFont="1"/>
    <xf numFmtId="0" fontId="26" fillId="0" borderId="0" xfId="92" applyFont="1" applyFill="1"/>
    <xf numFmtId="0" fontId="26" fillId="0" borderId="3" xfId="92" applyFont="1" applyBorder="1" applyAlignment="1">
      <alignment horizontal="left" vertical="center"/>
    </xf>
    <xf numFmtId="43" fontId="8" fillId="0" borderId="3" xfId="101" applyNumberFormat="1" applyFont="1" applyBorder="1" applyAlignment="1">
      <alignment horizontal="right" vertical="center"/>
    </xf>
    <xf numFmtId="9" fontId="8" fillId="0" borderId="3" xfId="94" applyFont="1" applyBorder="1" applyAlignment="1">
      <alignment horizontal="center" vertical="center"/>
    </xf>
    <xf numFmtId="43" fontId="8" fillId="0" borderId="3" xfId="101" applyNumberFormat="1" applyFont="1" applyFill="1" applyBorder="1" applyAlignment="1">
      <alignment horizontal="right" vertical="center"/>
    </xf>
    <xf numFmtId="9" fontId="8" fillId="0" borderId="3" xfId="94" applyNumberFormat="1" applyFont="1" applyBorder="1" applyAlignment="1">
      <alignment horizontal="center" vertical="center"/>
    </xf>
    <xf numFmtId="9" fontId="4" fillId="0" borderId="3" xfId="92" applyNumberFormat="1" applyFont="1" applyFill="1" applyBorder="1" applyAlignment="1" applyProtection="1">
      <alignment horizontal="center" vertical="center"/>
      <protection locked="0"/>
    </xf>
    <xf numFmtId="43" fontId="8" fillId="0" borderId="3" xfId="387" applyNumberFormat="1" applyFont="1" applyFill="1" applyBorder="1" applyAlignment="1">
      <alignment horizontal="right" vertical="center"/>
    </xf>
    <xf numFmtId="43" fontId="8" fillId="0" borderId="3" xfId="387" applyNumberFormat="1" applyFont="1" applyBorder="1" applyAlignment="1">
      <alignment horizontal="center" vertical="center"/>
    </xf>
    <xf numFmtId="9" fontId="8" fillId="0" borderId="3" xfId="387" applyNumberFormat="1" applyFont="1" applyBorder="1" applyAlignment="1">
      <alignment horizontal="center" vertical="center"/>
    </xf>
    <xf numFmtId="43" fontId="26" fillId="0" borderId="3" xfId="101" applyNumberFormat="1" applyFont="1" applyBorder="1" applyAlignment="1">
      <alignment vertical="center"/>
    </xf>
    <xf numFmtId="9" fontId="26" fillId="0" borderId="3" xfId="94" applyNumberFormat="1" applyFont="1" applyBorder="1" applyAlignment="1">
      <alignment horizontal="center" vertical="center"/>
    </xf>
    <xf numFmtId="0" fontId="26" fillId="0" borderId="0" xfId="92" applyFont="1" applyAlignment="1">
      <alignment vertical="center"/>
    </xf>
    <xf numFmtId="43" fontId="26" fillId="0" borderId="3" xfId="101" applyNumberFormat="1" applyFont="1" applyFill="1" applyBorder="1" applyAlignment="1">
      <alignment vertical="center"/>
    </xf>
    <xf numFmtId="0" fontId="26" fillId="0" borderId="3" xfId="92" applyFont="1" applyBorder="1" applyAlignment="1">
      <alignment horizontal="left" vertical="center" wrapText="1"/>
    </xf>
    <xf numFmtId="43" fontId="8" fillId="0" borderId="3" xfId="92" applyNumberFormat="1" applyFont="1" applyBorder="1" applyAlignment="1">
      <alignment horizontal="right" vertical="center"/>
    </xf>
    <xf numFmtId="0" fontId="8" fillId="0" borderId="0" xfId="92" applyFont="1" applyAlignment="1">
      <alignment vertical="center"/>
    </xf>
    <xf numFmtId="0" fontId="4" fillId="60" borderId="0" xfId="92" applyFont="1" applyFill="1" applyAlignment="1">
      <alignment horizontal="left" vertical="center"/>
    </xf>
    <xf numFmtId="43" fontId="4" fillId="60" borderId="3" xfId="101" applyNumberFormat="1" applyFont="1" applyFill="1" applyBorder="1" applyAlignment="1">
      <alignment vertical="center"/>
    </xf>
    <xf numFmtId="9" fontId="4" fillId="60" borderId="3" xfId="94" applyFont="1" applyFill="1" applyBorder="1" applyAlignment="1">
      <alignment horizontal="center" vertical="center"/>
    </xf>
    <xf numFmtId="9" fontId="4" fillId="60" borderId="3" xfId="94" applyNumberFormat="1" applyFont="1" applyFill="1" applyBorder="1" applyAlignment="1">
      <alignment horizontal="center" vertical="center"/>
    </xf>
    <xf numFmtId="9" fontId="4" fillId="60" borderId="3" xfId="387" applyNumberFormat="1" applyFont="1" applyFill="1" applyBorder="1" applyAlignment="1">
      <alignment horizontal="center" vertical="center"/>
    </xf>
    <xf numFmtId="0" fontId="51" fillId="0" borderId="0" xfId="92" applyFont="1" applyFill="1" applyAlignment="1">
      <alignment vertical="center"/>
    </xf>
    <xf numFmtId="43" fontId="8" fillId="0" borderId="3" xfId="94" applyNumberFormat="1" applyFont="1" applyBorder="1" applyAlignment="1">
      <alignment horizontal="center" vertical="center"/>
    </xf>
    <xf numFmtId="173" fontId="26" fillId="0" borderId="0" xfId="101" applyNumberFormat="1" applyFont="1"/>
    <xf numFmtId="0" fontId="4" fillId="60" borderId="9" xfId="92" applyFont="1" applyFill="1" applyBorder="1" applyAlignment="1">
      <alignment horizontal="left" vertical="center"/>
    </xf>
    <xf numFmtId="9" fontId="4" fillId="60" borderId="3" xfId="92" applyNumberFormat="1" applyFont="1" applyFill="1" applyBorder="1" applyAlignment="1" applyProtection="1">
      <alignment horizontal="center" vertical="center"/>
      <protection locked="0"/>
    </xf>
    <xf numFmtId="0" fontId="26" fillId="0" borderId="0" xfId="92" applyFont="1" applyAlignment="1">
      <alignment horizontal="left"/>
    </xf>
    <xf numFmtId="173" fontId="8" fillId="0" borderId="0" xfId="101" applyNumberFormat="1" applyFont="1" applyFill="1" applyBorder="1" applyAlignment="1">
      <alignment horizontal="center" vertical="center" wrapText="1"/>
    </xf>
    <xf numFmtId="173" fontId="8" fillId="0" borderId="0" xfId="101" applyNumberFormat="1" applyFont="1" applyFill="1" applyBorder="1"/>
    <xf numFmtId="9" fontId="8" fillId="0" borderId="0" xfId="101" applyNumberFormat="1" applyFont="1" applyFill="1" applyBorder="1"/>
    <xf numFmtId="9" fontId="26" fillId="0" borderId="0" xfId="101" applyNumberFormat="1" applyFont="1"/>
    <xf numFmtId="9" fontId="26" fillId="0" borderId="0" xfId="92" applyNumberFormat="1" applyFont="1"/>
    <xf numFmtId="0" fontId="53" fillId="0" borderId="0" xfId="92" applyFont="1" applyFill="1" applyBorder="1" applyAlignment="1">
      <alignment horizontal="left" vertical="center"/>
    </xf>
    <xf numFmtId="43" fontId="53" fillId="0" borderId="0" xfId="101" applyNumberFormat="1" applyFont="1" applyFill="1" applyBorder="1" applyAlignment="1">
      <alignment vertical="center"/>
    </xf>
    <xf numFmtId="9" fontId="53" fillId="0" borderId="0" xfId="94" applyFont="1" applyFill="1" applyBorder="1" applyAlignment="1">
      <alignment horizontal="center" vertical="center"/>
    </xf>
    <xf numFmtId="9" fontId="53" fillId="0" borderId="0" xfId="94" applyNumberFormat="1" applyFont="1" applyFill="1" applyBorder="1" applyAlignment="1">
      <alignment horizontal="center" vertical="center"/>
    </xf>
    <xf numFmtId="9" fontId="53" fillId="0" borderId="0" xfId="387" applyNumberFormat="1" applyFont="1" applyFill="1" applyBorder="1" applyAlignment="1">
      <alignment horizontal="center" vertical="center"/>
    </xf>
    <xf numFmtId="173" fontId="53" fillId="0" borderId="0" xfId="101" applyNumberFormat="1" applyFont="1" applyFill="1"/>
    <xf numFmtId="9" fontId="23" fillId="2" borderId="0" xfId="387" applyFont="1" applyFill="1" applyBorder="1" applyAlignment="1">
      <alignment horizontal="center"/>
    </xf>
    <xf numFmtId="43" fontId="26" fillId="0" borderId="0" xfId="101" applyNumberFormat="1" applyFont="1"/>
    <xf numFmtId="0" fontId="9" fillId="2" borderId="0" xfId="92" applyFont="1" applyFill="1" applyBorder="1"/>
    <xf numFmtId="0" fontId="9" fillId="2" borderId="0" xfId="92" applyFont="1" applyFill="1" applyBorder="1" applyAlignment="1">
      <alignment horizontal="center"/>
    </xf>
    <xf numFmtId="173" fontId="8" fillId="0" borderId="0" xfId="101" applyNumberFormat="1" applyFont="1"/>
    <xf numFmtId="9" fontId="56" fillId="2" borderId="0" xfId="387" applyFont="1" applyFill="1" applyBorder="1" applyAlignment="1">
      <alignment horizontal="center" vertical="center"/>
    </xf>
    <xf numFmtId="0" fontId="23" fillId="2" borderId="0" xfId="92" applyFont="1" applyFill="1" applyBorder="1"/>
    <xf numFmtId="173" fontId="56" fillId="2" borderId="0" xfId="101" applyNumberFormat="1" applyFont="1" applyFill="1" applyBorder="1"/>
    <xf numFmtId="10" fontId="56" fillId="2" borderId="0" xfId="387" applyNumberFormat="1" applyFont="1" applyFill="1" applyBorder="1" applyAlignment="1">
      <alignment horizontal="center" vertical="center"/>
    </xf>
    <xf numFmtId="10" fontId="56" fillId="2" borderId="0" xfId="387" applyNumberFormat="1" applyFont="1" applyFill="1" applyBorder="1" applyAlignment="1">
      <alignment horizontal="center"/>
    </xf>
    <xf numFmtId="43" fontId="23" fillId="2" borderId="0" xfId="92" applyNumberFormat="1" applyFont="1" applyFill="1" applyBorder="1" applyAlignment="1">
      <alignment horizontal="left"/>
    </xf>
    <xf numFmtId="0" fontId="8" fillId="0" borderId="0" xfId="92" applyFont="1"/>
    <xf numFmtId="10" fontId="8" fillId="0" borderId="0" xfId="387" applyNumberFormat="1" applyFont="1" applyFill="1" applyBorder="1"/>
    <xf numFmtId="0" fontId="8" fillId="0" borderId="0" xfId="92" applyFont="1" applyAlignment="1">
      <alignment horizontal="left"/>
    </xf>
    <xf numFmtId="173" fontId="55" fillId="75" borderId="9" xfId="101" applyNumberFormat="1" applyFont="1" applyFill="1" applyBorder="1" applyAlignment="1">
      <alignment vertical="center" wrapText="1"/>
    </xf>
    <xf numFmtId="173" fontId="55" fillId="75" borderId="3" xfId="101" applyNumberFormat="1" applyFont="1" applyFill="1" applyBorder="1" applyAlignment="1">
      <alignment horizontal="center" vertical="center" wrapText="1"/>
    </xf>
    <xf numFmtId="43" fontId="55" fillId="75" borderId="3" xfId="101" applyNumberFormat="1" applyFont="1" applyFill="1" applyBorder="1" applyAlignment="1">
      <alignment horizontal="center" vertical="center" wrapText="1"/>
    </xf>
    <xf numFmtId="0" fontId="55" fillId="75" borderId="9" xfId="92" applyFont="1" applyFill="1" applyBorder="1" applyAlignment="1">
      <alignment horizontal="left" vertical="center"/>
    </xf>
    <xf numFmtId="43" fontId="55" fillId="75" borderId="3" xfId="101" applyNumberFormat="1" applyFont="1" applyFill="1" applyBorder="1" applyAlignment="1">
      <alignment vertical="center"/>
    </xf>
    <xf numFmtId="9" fontId="55" fillId="75" borderId="3" xfId="94" applyFont="1" applyFill="1" applyBorder="1" applyAlignment="1">
      <alignment horizontal="center" vertical="center"/>
    </xf>
    <xf numFmtId="9" fontId="55" fillId="75" borderId="3" xfId="94" applyNumberFormat="1" applyFont="1" applyFill="1" applyBorder="1" applyAlignment="1">
      <alignment horizontal="center" vertical="center"/>
    </xf>
    <xf numFmtId="9" fontId="4" fillId="75" borderId="3" xfId="92" applyNumberFormat="1" applyFont="1" applyFill="1" applyBorder="1" applyAlignment="1" applyProtection="1">
      <alignment horizontal="center" vertical="center"/>
      <protection locked="0"/>
    </xf>
    <xf numFmtId="9" fontId="55" fillId="75" borderId="3" xfId="387" applyNumberFormat="1" applyFont="1" applyFill="1" applyBorder="1" applyAlignment="1">
      <alignment horizontal="center" vertical="center"/>
    </xf>
    <xf numFmtId="0" fontId="57" fillId="0" borderId="0" xfId="92" applyFont="1" applyFill="1" applyBorder="1"/>
    <xf numFmtId="0" fontId="57" fillId="0" borderId="0" xfId="92" applyFont="1" applyFill="1" applyBorder="1" applyAlignment="1">
      <alignment horizontal="center"/>
    </xf>
    <xf numFmtId="9" fontId="58" fillId="0" borderId="0" xfId="387" applyFont="1" applyFill="1" applyBorder="1" applyAlignment="1">
      <alignment horizontal="center"/>
    </xf>
    <xf numFmtId="9" fontId="58" fillId="2" borderId="0" xfId="387" applyFont="1" applyFill="1" applyBorder="1" applyAlignment="1">
      <alignment horizontal="center"/>
    </xf>
    <xf numFmtId="0" fontId="58" fillId="0" borderId="0" xfId="92" applyFont="1" applyFill="1" applyBorder="1"/>
    <xf numFmtId="173" fontId="2" fillId="0" borderId="0" xfId="101" applyNumberFormat="1" applyFont="1" applyFill="1" applyBorder="1"/>
    <xf numFmtId="9" fontId="2" fillId="0" borderId="0" xfId="387" applyFont="1" applyFill="1" applyBorder="1" applyAlignment="1">
      <alignment horizontal="center" vertical="center"/>
    </xf>
    <xf numFmtId="9" fontId="2" fillId="2" borderId="0" xfId="387" applyFont="1" applyFill="1" applyBorder="1" applyAlignment="1">
      <alignment horizontal="center" vertical="center"/>
    </xf>
    <xf numFmtId="9" fontId="2" fillId="0" borderId="0" xfId="387" applyNumberFormat="1" applyFont="1" applyFill="1" applyBorder="1" applyAlignment="1">
      <alignment horizontal="center" vertical="center"/>
    </xf>
    <xf numFmtId="9" fontId="2" fillId="0" borderId="0" xfId="387" applyNumberFormat="1" applyFont="1" applyFill="1" applyBorder="1" applyAlignment="1">
      <alignment horizontal="center"/>
    </xf>
    <xf numFmtId="43" fontId="58" fillId="0" borderId="0" xfId="92" applyNumberFormat="1" applyFont="1" applyFill="1" applyBorder="1" applyAlignment="1">
      <alignment horizontal="left"/>
    </xf>
    <xf numFmtId="0" fontId="8" fillId="0" borderId="0" xfId="92" applyFont="1" applyFill="1" applyAlignment="1">
      <alignment horizontal="left"/>
    </xf>
    <xf numFmtId="173" fontId="8" fillId="0" borderId="0" xfId="101" applyNumberFormat="1" applyFont="1" applyFill="1"/>
    <xf numFmtId="0" fontId="8" fillId="0" borderId="0" xfId="92" applyFont="1" applyFill="1" applyBorder="1" applyAlignment="1">
      <alignment horizontal="left"/>
    </xf>
    <xf numFmtId="0" fontId="4" fillId="60" borderId="3" xfId="92" applyFont="1" applyFill="1" applyBorder="1" applyAlignment="1">
      <alignment horizontal="left" vertical="center"/>
    </xf>
    <xf numFmtId="173" fontId="55" fillId="75" borderId="9" xfId="101" applyNumberFormat="1" applyFont="1" applyFill="1" applyBorder="1" applyAlignment="1">
      <alignment horizontal="center" vertical="center" wrapText="1"/>
    </xf>
    <xf numFmtId="0" fontId="0" fillId="0" borderId="3" xfId="0" applyNumberFormat="1" applyBorder="1" applyAlignment="1">
      <alignment horizontal="center"/>
    </xf>
    <xf numFmtId="0" fontId="0" fillId="0" borderId="3" xfId="0" applyNumberFormat="1" applyBorder="1" applyAlignment="1">
      <alignment horizontal="center" vertical="center"/>
    </xf>
    <xf numFmtId="0" fontId="22" fillId="60" borderId="3" xfId="0" applyNumberFormat="1" applyFont="1" applyFill="1" applyBorder="1" applyAlignment="1">
      <alignment horizontal="center" vertical="center"/>
    </xf>
    <xf numFmtId="43" fontId="8" fillId="0" borderId="3" xfId="92" applyNumberFormat="1" applyFont="1" applyFill="1" applyBorder="1" applyAlignment="1">
      <alignment horizontal="right" vertical="center"/>
    </xf>
    <xf numFmtId="43" fontId="8" fillId="0" borderId="3" xfId="101" applyNumberFormat="1" applyFont="1" applyFill="1" applyBorder="1" applyAlignment="1">
      <alignment vertical="center"/>
    </xf>
    <xf numFmtId="0" fontId="2" fillId="0" borderId="0" xfId="0" applyNumberFormat="1" applyFont="1" applyBorder="1" applyAlignment="1">
      <alignment horizontal="center" vertical="center"/>
    </xf>
    <xf numFmtId="2" fontId="8" fillId="0" borderId="3" xfId="5" applyNumberFormat="1" applyFont="1" applyFill="1" applyBorder="1" applyAlignment="1">
      <alignment horizontal="center" vertical="center" wrapText="1"/>
    </xf>
    <xf numFmtId="181" fontId="8" fillId="0" borderId="3" xfId="5" applyNumberFormat="1" applyFont="1" applyFill="1" applyBorder="1" applyAlignment="1">
      <alignment horizontal="center" vertical="center" wrapText="1"/>
    </xf>
    <xf numFmtId="171" fontId="3" fillId="0" borderId="5" xfId="0" applyFont="1" applyBorder="1" applyAlignment="1">
      <alignment horizontal="center" vertical="center" wrapText="1"/>
    </xf>
    <xf numFmtId="171" fontId="3" fillId="0" borderId="6" xfId="0" applyFont="1" applyBorder="1" applyAlignment="1">
      <alignment horizontal="center" vertical="center" wrapText="1"/>
    </xf>
    <xf numFmtId="171" fontId="8" fillId="0" borderId="3" xfId="0" applyFont="1" applyFill="1" applyBorder="1" applyAlignment="1">
      <alignment horizontal="left" vertical="center" wrapText="1"/>
    </xf>
    <xf numFmtId="43" fontId="8" fillId="0" borderId="3" xfId="0" applyNumberFormat="1" applyFont="1" applyFill="1" applyBorder="1" applyAlignment="1">
      <alignment vertical="center"/>
    </xf>
    <xf numFmtId="167" fontId="8" fillId="0" borderId="0" xfId="0" applyNumberFormat="1" applyFont="1" applyFill="1"/>
    <xf numFmtId="49" fontId="8" fillId="0" borderId="3" xfId="0" applyNumberFormat="1" applyFont="1" applyFill="1" applyBorder="1" applyAlignment="1">
      <alignment horizontal="justify" vertical="center" wrapText="1"/>
    </xf>
    <xf numFmtId="1" fontId="8" fillId="0" borderId="3" xfId="0" applyNumberFormat="1" applyFont="1" applyFill="1" applyBorder="1" applyAlignment="1">
      <alignment horizontal="justify" vertical="center" wrapText="1"/>
    </xf>
    <xf numFmtId="1" fontId="8" fillId="0" borderId="3" xfId="0" applyNumberFormat="1" applyFont="1" applyFill="1" applyBorder="1" applyAlignment="1">
      <alignment horizontal="center" vertical="center"/>
    </xf>
    <xf numFmtId="2" fontId="8" fillId="0" borderId="3" xfId="0" applyNumberFormat="1" applyFont="1" applyFill="1" applyBorder="1" applyAlignment="1">
      <alignment horizontal="center" vertical="center" wrapText="1"/>
    </xf>
    <xf numFmtId="171" fontId="4" fillId="0" borderId="3" xfId="0" applyFont="1" applyBorder="1" applyAlignment="1">
      <alignment horizontal="center" vertical="center"/>
    </xf>
    <xf numFmtId="172" fontId="8"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3" fontId="4" fillId="3" borderId="3" xfId="0" applyNumberFormat="1" applyFont="1" applyFill="1" applyBorder="1" applyAlignment="1">
      <alignment horizontal="center" vertical="center" wrapText="1"/>
    </xf>
    <xf numFmtId="4" fontId="8" fillId="0" borderId="3" xfId="0" applyNumberFormat="1" applyFont="1" applyFill="1" applyBorder="1" applyAlignment="1">
      <alignment horizontal="justify" vertical="center" wrapText="1"/>
    </xf>
    <xf numFmtId="1" fontId="8" fillId="0" borderId="3" xfId="0" applyNumberFormat="1" applyFont="1" applyFill="1" applyBorder="1" applyAlignment="1">
      <alignment horizontal="justify" wrapText="1"/>
    </xf>
    <xf numFmtId="1" fontId="8" fillId="0" borderId="3" xfId="0" applyNumberFormat="1" applyFont="1" applyFill="1" applyBorder="1" applyAlignment="1">
      <alignment vertical="center" wrapText="1"/>
    </xf>
    <xf numFmtId="49" fontId="8" fillId="0" borderId="3" xfId="0" applyNumberFormat="1" applyFont="1" applyFill="1" applyBorder="1" applyAlignment="1">
      <alignment horizontal="center" vertical="center" wrapText="1"/>
    </xf>
    <xf numFmtId="1" fontId="8" fillId="0" borderId="3" xfId="0" applyNumberFormat="1" applyFont="1" applyFill="1" applyBorder="1" applyAlignment="1">
      <alignment wrapText="1"/>
    </xf>
    <xf numFmtId="167" fontId="8" fillId="0" borderId="3" xfId="1" applyFont="1" applyFill="1" applyBorder="1"/>
    <xf numFmtId="0" fontId="8" fillId="0" borderId="3" xfId="0" applyNumberFormat="1" applyFont="1" applyFill="1" applyBorder="1" applyAlignment="1" applyProtection="1">
      <alignment horizontal="justify" vertical="center" wrapText="1"/>
      <protection locked="0"/>
    </xf>
    <xf numFmtId="0" fontId="8" fillId="0" borderId="3" xfId="0" applyNumberFormat="1" applyFont="1" applyFill="1" applyBorder="1" applyAlignment="1" applyProtection="1">
      <alignment horizontal="center" vertical="center" wrapText="1"/>
      <protection locked="0"/>
    </xf>
    <xf numFmtId="167" fontId="4" fillId="0" borderId="3" xfId="1" applyFont="1" applyFill="1" applyBorder="1" applyAlignment="1">
      <alignment horizontal="left" vertical="center"/>
    </xf>
    <xf numFmtId="167" fontId="8" fillId="0" borderId="3" xfId="1" applyFont="1" applyFill="1" applyBorder="1" applyAlignment="1">
      <alignment horizontal="left" vertical="center"/>
    </xf>
    <xf numFmtId="1" fontId="8" fillId="0" borderId="3" xfId="1" applyNumberFormat="1" applyFont="1" applyFill="1" applyBorder="1" applyAlignment="1">
      <alignment horizontal="center" vertical="center" wrapText="1"/>
    </xf>
    <xf numFmtId="0" fontId="8" fillId="0" borderId="3" xfId="7" applyFont="1" applyFill="1" applyBorder="1" applyAlignment="1">
      <alignment horizontal="justify" vertical="center" wrapText="1"/>
    </xf>
    <xf numFmtId="167" fontId="4" fillId="0" borderId="3" xfId="1" applyFont="1" applyFill="1" applyBorder="1" applyAlignment="1">
      <alignment vertical="center"/>
    </xf>
    <xf numFmtId="0" fontId="8" fillId="0" borderId="3" xfId="6" applyNumberFormat="1" applyFont="1" applyFill="1" applyBorder="1" applyAlignment="1">
      <alignment horizontal="center" vertical="center" wrapText="1"/>
    </xf>
    <xf numFmtId="3" fontId="64" fillId="0" borderId="0" xfId="0" applyNumberFormat="1" applyFont="1" applyFill="1" applyAlignment="1">
      <alignment horizontal="center" vertical="center"/>
    </xf>
    <xf numFmtId="4" fontId="64" fillId="0" borderId="0" xfId="0" applyNumberFormat="1" applyFont="1" applyFill="1" applyAlignment="1">
      <alignment horizontal="center" vertical="center"/>
    </xf>
    <xf numFmtId="171" fontId="8" fillId="0" borderId="3" xfId="4" applyFont="1" applyFill="1" applyBorder="1" applyAlignment="1">
      <alignment horizontal="justify" vertical="center" wrapText="1"/>
    </xf>
    <xf numFmtId="171" fontId="8" fillId="0" borderId="13" xfId="0" applyFont="1" applyFill="1" applyBorder="1" applyAlignment="1">
      <alignment horizontal="justify" vertical="center" wrapText="1"/>
    </xf>
    <xf numFmtId="180" fontId="8" fillId="0" borderId="23" xfId="0" applyNumberFormat="1" applyFont="1" applyFill="1" applyBorder="1" applyAlignment="1">
      <alignment horizontal="center" vertical="center"/>
    </xf>
    <xf numFmtId="180" fontId="8" fillId="0" borderId="22" xfId="0" applyNumberFormat="1" applyFont="1" applyFill="1" applyBorder="1" applyAlignment="1">
      <alignment horizontal="center" vertical="center"/>
    </xf>
    <xf numFmtId="171" fontId="8" fillId="0" borderId="0" xfId="0" applyFont="1" applyFill="1" applyAlignment="1">
      <alignment horizontal="center" vertical="center"/>
    </xf>
    <xf numFmtId="3" fontId="8" fillId="0" borderId="3" xfId="0" applyNumberFormat="1" applyFont="1" applyFill="1" applyBorder="1" applyAlignment="1">
      <alignment horizontal="center" vertical="center" wrapText="1"/>
    </xf>
    <xf numFmtId="167" fontId="8" fillId="0" borderId="3" xfId="1" applyFont="1" applyFill="1" applyBorder="1" applyAlignment="1">
      <alignment horizontal="justify" vertical="center" wrapText="1"/>
    </xf>
    <xf numFmtId="167" fontId="8" fillId="0" borderId="3" xfId="1" applyFont="1" applyFill="1" applyBorder="1" applyAlignment="1">
      <alignment horizontal="left" vertical="center" wrapText="1"/>
    </xf>
    <xf numFmtId="0" fontId="8" fillId="0" borderId="3" xfId="0" applyNumberFormat="1" applyFont="1" applyFill="1" applyBorder="1" applyAlignment="1">
      <alignment horizontal="center" vertical="center"/>
    </xf>
    <xf numFmtId="1" fontId="8" fillId="0" borderId="3" xfId="11" applyNumberFormat="1" applyFont="1" applyFill="1" applyBorder="1" applyAlignment="1">
      <alignment horizontal="center" vertical="center"/>
    </xf>
    <xf numFmtId="167" fontId="8" fillId="0" borderId="3" xfId="1" applyFont="1" applyFill="1" applyBorder="1" applyAlignment="1">
      <alignment vertical="center" wrapText="1"/>
    </xf>
    <xf numFmtId="0" fontId="8" fillId="0" borderId="3" xfId="1" applyNumberFormat="1" applyFont="1" applyFill="1" applyBorder="1" applyAlignment="1">
      <alignment horizontal="center" vertical="center" wrapText="1"/>
    </xf>
    <xf numFmtId="3" fontId="8" fillId="0" borderId="3" xfId="5" applyNumberFormat="1" applyFont="1" applyFill="1" applyBorder="1" applyAlignment="1">
      <alignment horizontal="center" vertical="center" wrapText="1"/>
    </xf>
    <xf numFmtId="174" fontId="8" fillId="0" borderId="3" xfId="1" applyNumberFormat="1" applyFont="1" applyFill="1" applyBorder="1" applyAlignment="1">
      <alignment horizontal="center" vertical="center" wrapText="1"/>
    </xf>
    <xf numFmtId="175" fontId="8" fillId="0" borderId="3" xfId="2" applyNumberFormat="1" applyFont="1" applyFill="1" applyBorder="1" applyAlignment="1">
      <alignment horizontal="justify" vertical="center" wrapText="1"/>
    </xf>
    <xf numFmtId="171" fontId="8" fillId="0" borderId="3" xfId="0" applyFont="1" applyFill="1" applyBorder="1" applyAlignment="1">
      <alignment horizontal="center" vertical="center"/>
    </xf>
    <xf numFmtId="0" fontId="8" fillId="0" borderId="3" xfId="4" applyNumberFormat="1" applyFont="1" applyFill="1" applyBorder="1" applyAlignment="1">
      <alignment horizontal="center" vertical="center"/>
    </xf>
    <xf numFmtId="167" fontId="8" fillId="0" borderId="19" xfId="1" applyFont="1" applyFill="1" applyBorder="1"/>
    <xf numFmtId="167" fontId="8" fillId="0" borderId="0" xfId="1" applyFont="1" applyFill="1" applyBorder="1"/>
    <xf numFmtId="167" fontId="8" fillId="0" borderId="7" xfId="1" applyFont="1" applyFill="1" applyBorder="1" applyAlignment="1">
      <alignment horizontal="center" vertical="center"/>
    </xf>
    <xf numFmtId="0" fontId="8" fillId="0" borderId="44" xfId="4" applyNumberFormat="1" applyFont="1" applyFill="1" applyBorder="1">
      <alignment horizontal="center" vertical="center" wrapText="1"/>
    </xf>
    <xf numFmtId="0" fontId="8" fillId="0" borderId="44" xfId="7" applyFont="1" applyFill="1" applyBorder="1">
      <alignment horizontal="center" vertical="center" wrapText="1"/>
    </xf>
    <xf numFmtId="0" fontId="8" fillId="0" borderId="44" xfId="4" applyNumberFormat="1" applyFont="1" applyFill="1" applyBorder="1" applyAlignment="1">
      <alignment horizontal="justify" vertical="center" wrapText="1"/>
    </xf>
    <xf numFmtId="175" fontId="8" fillId="0" borderId="44" xfId="2" applyNumberFormat="1" applyFont="1" applyFill="1" applyBorder="1" applyAlignment="1">
      <alignment horizontal="justify" vertical="center" wrapText="1"/>
    </xf>
    <xf numFmtId="171" fontId="4" fillId="0" borderId="0" xfId="0" applyFont="1" applyFill="1" applyAlignment="1">
      <alignment vertical="center"/>
    </xf>
    <xf numFmtId="0" fontId="8" fillId="0" borderId="3" xfId="5" applyFont="1" applyFill="1" applyBorder="1" applyAlignment="1">
      <alignment horizontal="center" vertical="center"/>
    </xf>
    <xf numFmtId="2" fontId="8" fillId="0" borderId="3" xfId="5" applyNumberFormat="1" applyFont="1" applyFill="1" applyBorder="1" applyAlignment="1">
      <alignment horizontal="center" vertical="center"/>
    </xf>
    <xf numFmtId="1" fontId="8" fillId="0" borderId="13" xfId="0" applyNumberFormat="1" applyFont="1" applyFill="1" applyBorder="1" applyAlignment="1">
      <alignment horizontal="justify" vertical="center" wrapText="1"/>
    </xf>
    <xf numFmtId="2" fontId="4" fillId="0" borderId="3" xfId="1" applyNumberFormat="1" applyFont="1" applyFill="1" applyBorder="1" applyAlignment="1">
      <alignment vertical="center"/>
    </xf>
    <xf numFmtId="180" fontId="8" fillId="0" borderId="3" xfId="1" applyNumberFormat="1" applyFont="1" applyFill="1" applyBorder="1" applyAlignment="1">
      <alignment horizontal="right" vertical="center" wrapText="1"/>
    </xf>
    <xf numFmtId="2" fontId="8" fillId="0" borderId="3" xfId="1" applyNumberFormat="1" applyFont="1" applyFill="1" applyBorder="1" applyAlignment="1">
      <alignment vertical="center"/>
    </xf>
    <xf numFmtId="2" fontId="8" fillId="0" borderId="0" xfId="0" applyNumberFormat="1" applyFont="1" applyFill="1"/>
    <xf numFmtId="0" fontId="8" fillId="0" borderId="3" xfId="6" applyNumberFormat="1" applyFont="1" applyFill="1" applyBorder="1" applyAlignment="1">
      <alignment horizontal="justify" vertical="center" wrapText="1"/>
    </xf>
    <xf numFmtId="0" fontId="8" fillId="0" borderId="3" xfId="7" applyFont="1" applyFill="1" applyBorder="1" applyAlignment="1">
      <alignment horizontal="center" vertical="center" wrapText="1"/>
    </xf>
    <xf numFmtId="49" fontId="8" fillId="0" borderId="3" xfId="5" applyNumberFormat="1" applyFont="1" applyFill="1" applyBorder="1" applyAlignment="1">
      <alignment horizontal="justify" vertical="center" wrapText="1"/>
    </xf>
    <xf numFmtId="49" fontId="8" fillId="0" borderId="3" xfId="7" applyNumberFormat="1" applyFont="1" applyFill="1" applyBorder="1" applyAlignment="1">
      <alignment horizontal="justify" vertical="center" wrapText="1"/>
    </xf>
    <xf numFmtId="171" fontId="8" fillId="0" borderId="0" xfId="0" applyFont="1" applyFill="1" applyAlignment="1">
      <alignment horizontal="left" vertical="center" wrapText="1"/>
    </xf>
    <xf numFmtId="165" fontId="8" fillId="0" borderId="3" xfId="388" applyFont="1" applyFill="1" applyBorder="1" applyAlignment="1">
      <alignment horizontal="center" vertical="center" wrapText="1"/>
    </xf>
    <xf numFmtId="0" fontId="8" fillId="0" borderId="9" xfId="0" applyNumberFormat="1" applyFont="1" applyFill="1" applyBorder="1" applyAlignment="1">
      <alignment horizontal="justify" vertical="center" wrapText="1"/>
    </xf>
    <xf numFmtId="0" fontId="8" fillId="0" borderId="9" xfId="0" applyNumberFormat="1"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9" xfId="5" applyFont="1" applyFill="1" applyBorder="1" applyAlignment="1">
      <alignment horizontal="justify" vertical="center" wrapText="1"/>
    </xf>
    <xf numFmtId="171" fontId="8" fillId="0" borderId="9" xfId="0"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3" fontId="8" fillId="0" borderId="9" xfId="0" applyNumberFormat="1" applyFont="1" applyFill="1" applyBorder="1" applyAlignment="1">
      <alignment horizontal="justify" vertical="center" wrapText="1"/>
    </xf>
    <xf numFmtId="167" fontId="8" fillId="0" borderId="9" xfId="1" applyFont="1" applyFill="1" applyBorder="1" applyAlignment="1">
      <alignment horizontal="justify" vertical="center"/>
    </xf>
    <xf numFmtId="167" fontId="8" fillId="0" borderId="9" xfId="1" applyFont="1" applyFill="1" applyBorder="1" applyAlignment="1">
      <alignment vertical="center"/>
    </xf>
    <xf numFmtId="43" fontId="8" fillId="0" borderId="9" xfId="0" applyNumberFormat="1" applyFont="1" applyFill="1" applyBorder="1" applyAlignment="1">
      <alignment horizontal="justify" vertical="center" wrapText="1"/>
    </xf>
    <xf numFmtId="0" fontId="8" fillId="0" borderId="12" xfId="0" applyNumberFormat="1" applyFont="1" applyFill="1" applyBorder="1" applyAlignment="1">
      <alignment horizontal="center" vertical="center" wrapText="1"/>
    </xf>
    <xf numFmtId="0" fontId="8" fillId="0" borderId="11" xfId="0" applyNumberFormat="1" applyFont="1" applyFill="1" applyBorder="1" applyAlignment="1">
      <alignment horizontal="justify" vertical="center" wrapText="1"/>
    </xf>
    <xf numFmtId="0" fontId="8" fillId="0" borderId="11" xfId="0"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11" xfId="5" applyFont="1" applyFill="1" applyBorder="1" applyAlignment="1">
      <alignment horizontal="justify" vertical="center" wrapText="1"/>
    </xf>
    <xf numFmtId="171" fontId="8" fillId="0" borderId="11" xfId="0"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3" fontId="8" fillId="0" borderId="11" xfId="0" applyNumberFormat="1" applyFont="1" applyFill="1" applyBorder="1" applyAlignment="1">
      <alignment horizontal="justify" vertical="center" wrapText="1"/>
    </xf>
    <xf numFmtId="167" fontId="8" fillId="0" borderId="11" xfId="1" applyFont="1" applyFill="1" applyBorder="1" applyAlignment="1">
      <alignment horizontal="justify" vertical="center"/>
    </xf>
    <xf numFmtId="167" fontId="8" fillId="0" borderId="11" xfId="1" applyFont="1" applyFill="1" applyBorder="1" applyAlignment="1">
      <alignment vertical="center"/>
    </xf>
    <xf numFmtId="43" fontId="8" fillId="0" borderId="11" xfId="0" applyNumberFormat="1" applyFont="1" applyFill="1" applyBorder="1" applyAlignment="1">
      <alignment horizontal="justify" vertical="center" wrapText="1"/>
    </xf>
    <xf numFmtId="0" fontId="8" fillId="0" borderId="11" xfId="7" applyFont="1" applyFill="1" applyBorder="1">
      <alignment horizontal="center" vertical="center" wrapText="1"/>
    </xf>
    <xf numFmtId="171" fontId="8" fillId="0" borderId="11" xfId="0" applyFont="1" applyFill="1" applyBorder="1" applyAlignment="1">
      <alignment horizontal="justify" vertical="center" wrapText="1"/>
    </xf>
    <xf numFmtId="167" fontId="8" fillId="0" borderId="22" xfId="1" applyFont="1" applyFill="1" applyBorder="1" applyAlignment="1">
      <alignment vertical="center"/>
    </xf>
    <xf numFmtId="167" fontId="8" fillId="0" borderId="6" xfId="1" applyFont="1" applyFill="1" applyBorder="1" applyAlignment="1">
      <alignment vertical="center"/>
    </xf>
    <xf numFmtId="171" fontId="8" fillId="0" borderId="0" xfId="0" applyFont="1" applyFill="1" applyAlignment="1">
      <alignment vertical="center" wrapText="1"/>
    </xf>
    <xf numFmtId="167" fontId="8" fillId="0" borderId="46" xfId="1" applyFont="1" applyFill="1" applyBorder="1" applyAlignment="1">
      <alignment horizontal="justify" vertical="center"/>
    </xf>
    <xf numFmtId="167" fontId="8" fillId="0" borderId="46" xfId="1" applyFont="1" applyFill="1" applyBorder="1" applyAlignment="1">
      <alignment vertical="center"/>
    </xf>
    <xf numFmtId="43" fontId="8" fillId="0" borderId="46" xfId="0" applyNumberFormat="1" applyFont="1" applyFill="1" applyBorder="1" applyAlignment="1">
      <alignment horizontal="justify" vertical="center" wrapText="1"/>
    </xf>
    <xf numFmtId="0" fontId="8" fillId="0" borderId="3" xfId="1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protection locked="0"/>
    </xf>
    <xf numFmtId="171" fontId="8" fillId="68" borderId="18" xfId="0" applyFont="1" applyFill="1" applyBorder="1" applyAlignment="1">
      <alignment horizontal="justify" vertical="center" wrapText="1"/>
    </xf>
    <xf numFmtId="0" fontId="8" fillId="68" borderId="18" xfId="0" applyNumberFormat="1" applyFont="1" applyFill="1" applyBorder="1" applyAlignment="1">
      <alignment horizontal="left" vertical="center"/>
    </xf>
    <xf numFmtId="0" fontId="8" fillId="68" borderId="18" xfId="0" applyNumberFormat="1" applyFont="1" applyFill="1" applyBorder="1" applyAlignment="1">
      <alignment horizontal="justify" vertical="center" wrapText="1"/>
    </xf>
    <xf numFmtId="0" fontId="8" fillId="68" borderId="18" xfId="0" applyNumberFormat="1" applyFont="1" applyFill="1" applyBorder="1" applyAlignment="1">
      <alignment horizontal="center" vertical="center" wrapText="1"/>
    </xf>
    <xf numFmtId="0" fontId="8" fillId="68" borderId="18" xfId="0" applyNumberFormat="1" applyFont="1" applyFill="1" applyBorder="1" applyAlignment="1">
      <alignment horizontal="center" vertical="center"/>
    </xf>
    <xf numFmtId="171" fontId="8" fillId="68" borderId="18" xfId="0" applyFont="1" applyFill="1" applyBorder="1" applyAlignment="1">
      <alignment horizontal="center" vertical="center"/>
    </xf>
    <xf numFmtId="179" fontId="8" fillId="68" borderId="18" xfId="1" applyNumberFormat="1" applyFont="1" applyFill="1" applyBorder="1" applyAlignment="1">
      <alignment horizontal="center" vertical="center"/>
    </xf>
    <xf numFmtId="171" fontId="8" fillId="68" borderId="13" xfId="0" applyFont="1" applyFill="1" applyBorder="1" applyAlignment="1">
      <alignment horizontal="center" vertical="center"/>
    </xf>
    <xf numFmtId="171" fontId="2" fillId="0" borderId="0" xfId="0" applyFont="1" applyAlignment="1">
      <alignment horizontal="center" vertical="center" wrapText="1"/>
    </xf>
    <xf numFmtId="0" fontId="2" fillId="0" borderId="0" xfId="0" applyNumberFormat="1" applyFont="1" applyAlignment="1">
      <alignment horizontal="left" vertical="center"/>
    </xf>
    <xf numFmtId="171" fontId="2" fillId="0" borderId="0" xfId="0" applyFont="1" applyAlignment="1">
      <alignment horizontal="center" vertical="center"/>
    </xf>
    <xf numFmtId="179" fontId="2" fillId="0" borderId="0" xfId="1" applyNumberFormat="1" applyFont="1" applyFill="1" applyAlignment="1">
      <alignment horizontal="center" vertical="center"/>
    </xf>
    <xf numFmtId="174" fontId="2" fillId="0" borderId="0" xfId="6" applyNumberFormat="1" applyFont="1" applyAlignment="1">
      <alignment horizontal="center"/>
    </xf>
    <xf numFmtId="171" fontId="2" fillId="2" borderId="0" xfId="0" applyFont="1" applyFill="1" applyAlignment="1">
      <alignment horizontal="center" vertical="center"/>
    </xf>
    <xf numFmtId="171" fontId="4" fillId="0" borderId="9" xfId="0" applyFont="1" applyBorder="1" applyAlignment="1">
      <alignment vertical="center"/>
    </xf>
    <xf numFmtId="171" fontId="8" fillId="0" borderId="9" xfId="0" applyFont="1" applyBorder="1" applyAlignment="1">
      <alignment horizontal="left" vertical="center"/>
    </xf>
    <xf numFmtId="171" fontId="8" fillId="0" borderId="9" xfId="0" applyFont="1" applyBorder="1" applyAlignment="1">
      <alignment vertical="center"/>
    </xf>
    <xf numFmtId="171" fontId="8" fillId="0" borderId="0" xfId="0" applyFont="1" applyBorder="1" applyAlignment="1">
      <alignment vertical="center"/>
    </xf>
    <xf numFmtId="171" fontId="4" fillId="0" borderId="8" xfId="0" applyFont="1" applyBorder="1" applyAlignment="1">
      <alignment vertical="center"/>
    </xf>
    <xf numFmtId="171" fontId="3" fillId="62" borderId="11" xfId="0" applyFont="1" applyFill="1" applyBorder="1" applyAlignment="1">
      <alignment horizontal="center" vertical="center" wrapText="1"/>
    </xf>
    <xf numFmtId="171" fontId="8" fillId="0" borderId="2" xfId="0" applyFont="1" applyBorder="1" applyAlignment="1">
      <alignment horizontal="left" vertical="center"/>
    </xf>
    <xf numFmtId="171" fontId="8" fillId="0" borderId="47" xfId="0" applyFont="1" applyBorder="1" applyAlignment="1">
      <alignment horizontal="left" vertical="center"/>
    </xf>
    <xf numFmtId="171" fontId="8" fillId="0" borderId="46" xfId="0" applyFont="1" applyBorder="1" applyAlignment="1">
      <alignment vertical="center"/>
    </xf>
    <xf numFmtId="171" fontId="4" fillId="0" borderId="6" xfId="0" applyFont="1" applyBorder="1" applyAlignment="1">
      <alignment vertical="center"/>
    </xf>
    <xf numFmtId="171" fontId="4" fillId="0" borderId="11" xfId="0" applyFont="1" applyBorder="1" applyAlignment="1">
      <alignment vertical="center"/>
    </xf>
    <xf numFmtId="0" fontId="3" fillId="62" borderId="2" xfId="0" applyNumberFormat="1" applyFont="1" applyFill="1" applyBorder="1" applyAlignment="1">
      <alignment horizontal="center" vertical="center" wrapText="1"/>
    </xf>
    <xf numFmtId="0" fontId="3" fillId="62" borderId="3" xfId="0" applyNumberFormat="1" applyFont="1" applyFill="1" applyBorder="1" applyAlignment="1">
      <alignment horizontal="center" vertical="center" wrapText="1"/>
    </xf>
    <xf numFmtId="173" fontId="3" fillId="62" borderId="3" xfId="3" applyNumberFormat="1" applyFont="1" applyFill="1" applyBorder="1" applyAlignment="1">
      <alignment horizontal="center" vertical="center" wrapText="1"/>
    </xf>
    <xf numFmtId="10" fontId="2" fillId="2" borderId="3" xfId="0" applyNumberFormat="1" applyFont="1" applyFill="1" applyBorder="1" applyAlignment="1" applyProtection="1">
      <alignment horizontal="center" vertical="center"/>
      <protection locked="0"/>
    </xf>
    <xf numFmtId="10" fontId="3" fillId="2" borderId="52" xfId="0" applyNumberFormat="1" applyFont="1" applyFill="1" applyBorder="1" applyAlignment="1" applyProtection="1">
      <alignment horizontal="center" vertical="center"/>
      <protection locked="0"/>
    </xf>
    <xf numFmtId="171" fontId="65" fillId="62" borderId="52" xfId="0" applyFont="1" applyFill="1" applyBorder="1" applyAlignment="1">
      <alignment horizontal="center" vertical="center" wrapText="1"/>
    </xf>
    <xf numFmtId="171" fontId="65" fillId="62" borderId="57" xfId="0" applyFont="1" applyFill="1" applyBorder="1" applyAlignment="1">
      <alignment horizontal="center" vertical="center" wrapText="1"/>
    </xf>
    <xf numFmtId="171" fontId="65" fillId="62" borderId="49" xfId="0" applyFont="1" applyFill="1" applyBorder="1" applyAlignment="1">
      <alignment horizontal="center" vertical="center" wrapText="1"/>
    </xf>
    <xf numFmtId="173" fontId="3" fillId="62" borderId="52" xfId="3" applyNumberFormat="1" applyFont="1" applyFill="1" applyBorder="1" applyAlignment="1">
      <alignment horizontal="center" vertical="center" wrapText="1"/>
    </xf>
    <xf numFmtId="171" fontId="65" fillId="62" borderId="59" xfId="0" applyFont="1" applyFill="1" applyBorder="1" applyAlignment="1">
      <alignment horizontal="center" vertical="center" wrapText="1"/>
    </xf>
    <xf numFmtId="167" fontId="65" fillId="63" borderId="48" xfId="1" applyFont="1" applyFill="1" applyBorder="1" applyAlignment="1">
      <alignment vertical="center" wrapText="1"/>
    </xf>
    <xf numFmtId="167" fontId="65" fillId="63" borderId="52" xfId="1" applyFont="1" applyFill="1" applyBorder="1" applyAlignment="1">
      <alignment vertical="center" wrapText="1"/>
    </xf>
    <xf numFmtId="10" fontId="2" fillId="2" borderId="52" xfId="0" applyNumberFormat="1" applyFont="1" applyFill="1" applyBorder="1" applyAlignment="1" applyProtection="1">
      <alignment horizontal="center" vertical="center"/>
      <protection locked="0"/>
    </xf>
    <xf numFmtId="167" fontId="65" fillId="63" borderId="59" xfId="1" applyFont="1" applyFill="1" applyBorder="1" applyAlignment="1">
      <alignment vertical="center" wrapText="1"/>
    </xf>
    <xf numFmtId="0" fontId="65" fillId="67" borderId="70" xfId="0" applyNumberFormat="1" applyFont="1" applyFill="1" applyBorder="1" applyAlignment="1">
      <alignment horizontal="center" vertical="center" wrapText="1"/>
    </xf>
    <xf numFmtId="167" fontId="65" fillId="67" borderId="11" xfId="1" applyFont="1" applyFill="1" applyBorder="1" applyAlignment="1">
      <alignment vertical="center" wrapText="1"/>
    </xf>
    <xf numFmtId="167" fontId="65" fillId="67" borderId="12" xfId="1" applyFont="1" applyFill="1" applyBorder="1" applyAlignment="1">
      <alignment vertical="center" wrapText="1"/>
    </xf>
    <xf numFmtId="10" fontId="2" fillId="2" borderId="12" xfId="0" applyNumberFormat="1" applyFont="1" applyFill="1" applyBorder="1" applyAlignment="1" applyProtection="1">
      <alignment horizontal="center" vertical="center"/>
      <protection locked="0"/>
    </xf>
    <xf numFmtId="167" fontId="65" fillId="67" borderId="69" xfId="1" applyFont="1" applyFill="1" applyBorder="1" applyAlignment="1">
      <alignment vertical="center" wrapText="1"/>
    </xf>
    <xf numFmtId="0" fontId="6" fillId="0" borderId="70" xfId="0" applyNumberFormat="1" applyFont="1" applyBorder="1" applyAlignment="1">
      <alignment horizontal="center" vertical="center"/>
    </xf>
    <xf numFmtId="1" fontId="66" fillId="64" borderId="12" xfId="1" applyNumberFormat="1" applyFont="1" applyFill="1" applyBorder="1" applyAlignment="1">
      <alignment horizontal="center" vertical="center" wrapText="1"/>
    </xf>
    <xf numFmtId="171" fontId="66" fillId="64" borderId="12" xfId="0" applyFont="1" applyFill="1" applyBorder="1" applyAlignment="1">
      <alignment horizontal="justify" vertical="center" wrapText="1"/>
    </xf>
    <xf numFmtId="167" fontId="66" fillId="0" borderId="9" xfId="1" applyFont="1" applyBorder="1" applyAlignment="1">
      <alignment vertical="center"/>
    </xf>
    <xf numFmtId="167" fontId="66" fillId="0" borderId="3" xfId="1" applyFont="1" applyBorder="1" applyAlignment="1">
      <alignment vertical="center"/>
    </xf>
    <xf numFmtId="167" fontId="66" fillId="0" borderId="71" xfId="1" applyFont="1" applyBorder="1" applyAlignment="1">
      <alignment vertical="center"/>
    </xf>
    <xf numFmtId="0" fontId="6" fillId="0" borderId="72" xfId="0" applyNumberFormat="1" applyFont="1" applyBorder="1" applyAlignment="1">
      <alignment horizontal="center" vertical="center"/>
    </xf>
    <xf numFmtId="1" fontId="66" fillId="64" borderId="3" xfId="1" applyNumberFormat="1" applyFont="1" applyFill="1" applyBorder="1" applyAlignment="1">
      <alignment horizontal="center" vertical="center" wrapText="1"/>
    </xf>
    <xf numFmtId="171" fontId="66" fillId="64" borderId="3" xfId="0" applyFont="1" applyFill="1" applyBorder="1" applyAlignment="1">
      <alignment horizontal="justify" vertical="center" wrapText="1"/>
    </xf>
    <xf numFmtId="1" fontId="66" fillId="0" borderId="3" xfId="1" applyNumberFormat="1" applyFont="1" applyBorder="1" applyAlignment="1">
      <alignment horizontal="center" vertical="center" wrapText="1"/>
    </xf>
    <xf numFmtId="171" fontId="66" fillId="0" borderId="3" xfId="0" applyFont="1" applyBorder="1" applyAlignment="1">
      <alignment horizontal="justify" vertical="center" wrapText="1"/>
    </xf>
    <xf numFmtId="167" fontId="66" fillId="0" borderId="69" xfId="1" applyFont="1" applyBorder="1" applyAlignment="1">
      <alignment vertical="center"/>
    </xf>
    <xf numFmtId="0" fontId="6" fillId="0" borderId="73" xfId="0" applyNumberFormat="1" applyFont="1" applyBorder="1" applyAlignment="1">
      <alignment horizontal="center" vertical="center"/>
    </xf>
    <xf numFmtId="1" fontId="66" fillId="0" borderId="45" xfId="1" applyNumberFormat="1" applyFont="1" applyBorder="1" applyAlignment="1">
      <alignment horizontal="center" vertical="center" wrapText="1"/>
    </xf>
    <xf numFmtId="171" fontId="66" fillId="0" borderId="65" xfId="0" applyFont="1" applyBorder="1" applyAlignment="1">
      <alignment horizontal="justify" vertical="center" wrapText="1"/>
    </xf>
    <xf numFmtId="167" fontId="66" fillId="0" borderId="47" xfId="1" applyFont="1" applyBorder="1" applyAlignment="1">
      <alignment vertical="center"/>
    </xf>
    <xf numFmtId="167" fontId="66" fillId="0" borderId="44" xfId="1" applyFont="1" applyBorder="1" applyAlignment="1">
      <alignment vertical="center"/>
    </xf>
    <xf numFmtId="10" fontId="2" fillId="2" borderId="44" xfId="0" applyNumberFormat="1" applyFont="1" applyFill="1" applyBorder="1" applyAlignment="1" applyProtection="1">
      <alignment horizontal="center" vertical="center"/>
      <protection locked="0"/>
    </xf>
    <xf numFmtId="167" fontId="66" fillId="0" borderId="74" xfId="1" applyFont="1" applyBorder="1" applyAlignment="1">
      <alignment vertical="center"/>
    </xf>
    <xf numFmtId="167" fontId="65" fillId="63" borderId="48" xfId="1" applyFont="1" applyFill="1" applyBorder="1" applyAlignment="1">
      <alignment vertical="center"/>
    </xf>
    <xf numFmtId="167" fontId="65" fillId="63" borderId="52" xfId="1" applyFont="1" applyFill="1" applyBorder="1" applyAlignment="1">
      <alignment vertical="center"/>
    </xf>
    <xf numFmtId="167" fontId="65" fillId="63" borderId="59" xfId="1" applyFont="1" applyFill="1" applyBorder="1" applyAlignment="1">
      <alignment vertical="center"/>
    </xf>
    <xf numFmtId="0" fontId="65" fillId="67" borderId="68" xfId="0" applyNumberFormat="1" applyFont="1" applyFill="1" applyBorder="1" applyAlignment="1">
      <alignment horizontal="center" vertical="center" wrapText="1"/>
    </xf>
    <xf numFmtId="1" fontId="66" fillId="0" borderId="12" xfId="1" applyNumberFormat="1" applyFont="1" applyBorder="1" applyAlignment="1">
      <alignment horizontal="center" vertical="center" wrapText="1"/>
    </xf>
    <xf numFmtId="1" fontId="66" fillId="0" borderId="44" xfId="1" applyNumberFormat="1" applyFont="1" applyBorder="1" applyAlignment="1">
      <alignment horizontal="center" vertical="center" wrapText="1"/>
    </xf>
    <xf numFmtId="171" fontId="66" fillId="64" borderId="44" xfId="0" applyFont="1" applyFill="1" applyBorder="1" applyAlignment="1">
      <alignment horizontal="justify" vertical="center" wrapText="1"/>
    </xf>
    <xf numFmtId="167" fontId="65" fillId="63" borderId="75" xfId="1" applyFont="1" applyFill="1" applyBorder="1" applyAlignment="1">
      <alignment vertical="center"/>
    </xf>
    <xf numFmtId="171" fontId="66" fillId="0" borderId="12" xfId="0" applyFont="1" applyBorder="1" applyAlignment="1">
      <alignment horizontal="justify" vertical="center" wrapText="1"/>
    </xf>
    <xf numFmtId="0" fontId="6" fillId="0" borderId="76" xfId="0" applyNumberFormat="1" applyFont="1" applyBorder="1" applyAlignment="1">
      <alignment horizontal="center" vertical="center"/>
    </xf>
    <xf numFmtId="171" fontId="66" fillId="0" borderId="44" xfId="0" applyFont="1" applyBorder="1" applyAlignment="1">
      <alignment horizontal="justify" vertical="center" wrapText="1"/>
    </xf>
    <xf numFmtId="167" fontId="66" fillId="0" borderId="9" xfId="1" applyFont="1" applyFill="1" applyBorder="1" applyAlignment="1">
      <alignment vertical="center"/>
    </xf>
    <xf numFmtId="0" fontId="65" fillId="67" borderId="72" xfId="0" applyNumberFormat="1" applyFont="1" applyFill="1" applyBorder="1" applyAlignment="1">
      <alignment horizontal="center" vertical="center" wrapText="1"/>
    </xf>
    <xf numFmtId="167" fontId="65" fillId="67" borderId="3" xfId="1" applyFont="1" applyFill="1" applyBorder="1" applyAlignment="1">
      <alignment vertical="center" wrapText="1"/>
    </xf>
    <xf numFmtId="167" fontId="65" fillId="67" borderId="80" xfId="1" applyFont="1" applyFill="1" applyBorder="1" applyAlignment="1">
      <alignment vertical="center" wrapText="1"/>
    </xf>
    <xf numFmtId="167" fontId="66" fillId="0" borderId="47" xfId="1" applyFont="1" applyFill="1" applyBorder="1" applyAlignment="1">
      <alignment vertical="center"/>
    </xf>
    <xf numFmtId="167" fontId="66" fillId="0" borderId="3" xfId="1" applyFont="1" applyFill="1" applyBorder="1" applyAlignment="1">
      <alignment vertical="center"/>
    </xf>
    <xf numFmtId="167" fontId="66" fillId="0" borderId="71" xfId="1" applyFont="1" applyFill="1" applyBorder="1" applyAlignment="1">
      <alignment vertical="center"/>
    </xf>
    <xf numFmtId="167" fontId="66" fillId="0" borderId="44" xfId="1" applyFont="1" applyFill="1" applyBorder="1" applyAlignment="1">
      <alignment vertical="center"/>
    </xf>
    <xf numFmtId="49" fontId="66" fillId="64" borderId="12" xfId="0" applyNumberFormat="1" applyFont="1" applyFill="1" applyBorder="1" applyAlignment="1">
      <alignment horizontal="justify" vertical="center" wrapText="1"/>
    </xf>
    <xf numFmtId="167" fontId="66" fillId="0" borderId="78" xfId="1" applyFont="1" applyBorder="1" applyAlignment="1">
      <alignment vertical="center"/>
    </xf>
    <xf numFmtId="1" fontId="66" fillId="0" borderId="23" xfId="1" applyNumberFormat="1" applyFont="1" applyBorder="1" applyAlignment="1">
      <alignment horizontal="center" vertical="center" wrapText="1"/>
    </xf>
    <xf numFmtId="171" fontId="66" fillId="64" borderId="19" xfId="0" applyFont="1" applyFill="1" applyBorder="1" applyAlignment="1">
      <alignment horizontal="justify" vertical="center" wrapText="1"/>
    </xf>
    <xf numFmtId="167" fontId="66" fillId="0" borderId="56" xfId="1" applyFont="1" applyFill="1" applyBorder="1" applyAlignment="1">
      <alignment vertical="center"/>
    </xf>
    <xf numFmtId="1" fontId="66" fillId="0" borderId="16" xfId="1" applyNumberFormat="1" applyFont="1" applyBorder="1" applyAlignment="1">
      <alignment horizontal="center" vertical="center" wrapText="1"/>
    </xf>
    <xf numFmtId="171" fontId="66" fillId="0" borderId="13" xfId="0" applyFont="1" applyBorder="1" applyAlignment="1">
      <alignment horizontal="justify" vertical="center" wrapText="1"/>
    </xf>
    <xf numFmtId="171" fontId="66" fillId="64" borderId="13" xfId="0" applyFont="1" applyFill="1" applyBorder="1" applyAlignment="1">
      <alignment horizontal="justify" vertical="center" wrapText="1"/>
    </xf>
    <xf numFmtId="167" fontId="66" fillId="0" borderId="56" xfId="1" applyFont="1" applyBorder="1" applyAlignment="1">
      <alignment vertical="center"/>
    </xf>
    <xf numFmtId="1" fontId="66" fillId="0" borderId="20" xfId="1" applyNumberFormat="1" applyFont="1" applyBorder="1" applyAlignment="1">
      <alignment horizontal="center" vertical="center" wrapText="1"/>
    </xf>
    <xf numFmtId="171" fontId="66" fillId="64" borderId="17" xfId="0" applyFont="1" applyFill="1" applyBorder="1" applyAlignment="1">
      <alignment horizontal="justify" vertical="center" wrapText="1"/>
    </xf>
    <xf numFmtId="167" fontId="66" fillId="0" borderId="81" xfId="1" applyFont="1" applyBorder="1" applyAlignment="1">
      <alignment vertical="center"/>
    </xf>
    <xf numFmtId="171" fontId="66" fillId="0" borderId="19" xfId="0" applyFont="1" applyBorder="1" applyAlignment="1">
      <alignment horizontal="justify" vertical="center" wrapText="1"/>
    </xf>
    <xf numFmtId="171" fontId="66" fillId="0" borderId="17" xfId="0" applyFont="1" applyBorder="1" applyAlignment="1">
      <alignment horizontal="justify" vertical="center" wrapText="1"/>
    </xf>
    <xf numFmtId="0" fontId="6" fillId="0" borderId="77" xfId="0" applyNumberFormat="1" applyFont="1" applyBorder="1" applyAlignment="1">
      <alignment horizontal="center" vertical="center"/>
    </xf>
    <xf numFmtId="1" fontId="66" fillId="0" borderId="58" xfId="1" applyNumberFormat="1" applyFont="1" applyBorder="1" applyAlignment="1">
      <alignment horizontal="center" vertical="center" wrapText="1"/>
    </xf>
    <xf numFmtId="171" fontId="66" fillId="0" borderId="16" xfId="0" applyFont="1" applyBorder="1" applyAlignment="1">
      <alignment horizontal="justify" vertical="center" wrapText="1"/>
    </xf>
    <xf numFmtId="0" fontId="6" fillId="0" borderId="3" xfId="0" applyNumberFormat="1" applyFont="1" applyBorder="1" applyAlignment="1">
      <alignment horizontal="center" vertical="center"/>
    </xf>
    <xf numFmtId="171" fontId="66" fillId="0" borderId="20" xfId="0" applyFont="1" applyBorder="1" applyAlignment="1">
      <alignment horizontal="justify" vertical="center" wrapText="1"/>
    </xf>
    <xf numFmtId="171" fontId="66" fillId="0" borderId="53" xfId="0" applyFont="1" applyBorder="1" applyAlignment="1">
      <alignment horizontal="justify" vertical="center" wrapText="1"/>
    </xf>
    <xf numFmtId="167" fontId="66" fillId="0" borderId="79" xfId="1" applyFont="1" applyBorder="1" applyAlignment="1">
      <alignment vertical="center"/>
    </xf>
    <xf numFmtId="167" fontId="66" fillId="0" borderId="65" xfId="1" applyFont="1" applyBorder="1" applyAlignment="1">
      <alignment vertical="center"/>
    </xf>
    <xf numFmtId="167" fontId="65" fillId="65" borderId="61" xfId="1" applyFont="1" applyFill="1" applyBorder="1" applyAlignment="1">
      <alignment vertical="center"/>
    </xf>
    <xf numFmtId="167" fontId="65" fillId="65" borderId="52" xfId="1" applyFont="1" applyFill="1" applyBorder="1" applyAlignment="1">
      <alignment vertical="center"/>
    </xf>
    <xf numFmtId="167" fontId="65" fillId="65" borderId="59" xfId="1" applyFont="1" applyFill="1" applyBorder="1" applyAlignment="1">
      <alignment vertical="center"/>
    </xf>
    <xf numFmtId="0" fontId="6" fillId="0" borderId="0" xfId="0" applyNumberFormat="1" applyFont="1" applyBorder="1" applyAlignment="1">
      <alignment horizontal="center" vertical="center"/>
    </xf>
    <xf numFmtId="171" fontId="6" fillId="0" borderId="0" xfId="0" applyFont="1" applyAlignment="1">
      <alignment horizontal="right"/>
    </xf>
    <xf numFmtId="167" fontId="6" fillId="0" borderId="0" xfId="1" applyFont="1"/>
    <xf numFmtId="171" fontId="6" fillId="0" borderId="0" xfId="0" applyFont="1" applyAlignment="1">
      <alignment horizontal="center"/>
    </xf>
    <xf numFmtId="171" fontId="54" fillId="0" borderId="0" xfId="0" applyFont="1" applyAlignment="1">
      <alignment horizontal="center"/>
    </xf>
    <xf numFmtId="167" fontId="6" fillId="0" borderId="0" xfId="1" applyFont="1" applyAlignment="1">
      <alignment horizontal="center"/>
    </xf>
    <xf numFmtId="171" fontId="6" fillId="0" borderId="0" xfId="0" applyFont="1" applyAlignment="1">
      <alignment horizontal="center" vertical="top"/>
    </xf>
    <xf numFmtId="171" fontId="67" fillId="0" borderId="0" xfId="0" applyFont="1"/>
    <xf numFmtId="0" fontId="4" fillId="60" borderId="47" xfId="0" applyNumberFormat="1" applyFont="1" applyFill="1" applyBorder="1" applyAlignment="1">
      <alignment horizontal="center" vertical="center" wrapText="1"/>
    </xf>
    <xf numFmtId="0" fontId="4" fillId="60" borderId="11" xfId="0" applyNumberFormat="1" applyFont="1" applyFill="1" applyBorder="1" applyAlignment="1">
      <alignment horizontal="center" vertical="center" wrapText="1"/>
    </xf>
    <xf numFmtId="171" fontId="4" fillId="60" borderId="44" xfId="0" applyFont="1" applyFill="1" applyBorder="1" applyAlignment="1">
      <alignment horizontal="center" vertical="center" wrapText="1"/>
    </xf>
    <xf numFmtId="171" fontId="4" fillId="60" borderId="12" xfId="0" applyFont="1" applyFill="1" applyBorder="1" applyAlignment="1">
      <alignment horizontal="center" vertical="center" wrapText="1"/>
    </xf>
    <xf numFmtId="0" fontId="4" fillId="59" borderId="44" xfId="0" applyNumberFormat="1" applyFont="1" applyFill="1" applyBorder="1" applyAlignment="1">
      <alignment horizontal="center" vertical="center" wrapText="1"/>
    </xf>
    <xf numFmtId="0" fontId="4" fillId="59" borderId="12" xfId="0" applyNumberFormat="1" applyFont="1" applyFill="1" applyBorder="1" applyAlignment="1">
      <alignment horizontal="center" vertical="center" wrapText="1"/>
    </xf>
    <xf numFmtId="0" fontId="4" fillId="60" borderId="44" xfId="0" applyNumberFormat="1" applyFont="1" applyFill="1" applyBorder="1" applyAlignment="1">
      <alignment horizontal="center" vertical="center" wrapText="1"/>
    </xf>
    <xf numFmtId="0" fontId="4" fillId="60" borderId="12" xfId="0" applyNumberFormat="1" applyFont="1" applyFill="1" applyBorder="1" applyAlignment="1">
      <alignment horizontal="center" vertical="center" wrapText="1"/>
    </xf>
    <xf numFmtId="171" fontId="4" fillId="60" borderId="3" xfId="0" applyFont="1" applyFill="1" applyBorder="1" applyAlignment="1">
      <alignment horizontal="center" vertical="center" wrapText="1"/>
    </xf>
    <xf numFmtId="171" fontId="3" fillId="0" borderId="7" xfId="0" applyFont="1" applyBorder="1" applyAlignment="1">
      <alignment horizontal="center" vertical="center"/>
    </xf>
    <xf numFmtId="171" fontId="3" fillId="0" borderId="8" xfId="0" applyFont="1" applyBorder="1" applyAlignment="1">
      <alignment horizontal="center" vertical="center"/>
    </xf>
    <xf numFmtId="0" fontId="3" fillId="62" borderId="7" xfId="0" applyNumberFormat="1" applyFont="1" applyFill="1" applyBorder="1" applyAlignment="1">
      <alignment horizontal="center" vertical="center" wrapText="1"/>
    </xf>
    <xf numFmtId="0" fontId="3" fillId="62" borderId="9" xfId="0" applyNumberFormat="1" applyFont="1" applyFill="1" applyBorder="1" applyAlignment="1">
      <alignment horizontal="center" vertical="center" wrapText="1"/>
    </xf>
    <xf numFmtId="171" fontId="3" fillId="62" borderId="12" xfId="0" applyFont="1" applyFill="1" applyBorder="1" applyAlignment="1">
      <alignment horizontal="center" vertical="center" wrapText="1"/>
    </xf>
    <xf numFmtId="171" fontId="3" fillId="62" borderId="5" xfId="0" applyFont="1" applyFill="1" applyBorder="1" applyAlignment="1">
      <alignment horizontal="center" vertical="center" wrapText="1"/>
    </xf>
    <xf numFmtId="171" fontId="3" fillId="62" borderId="6" xfId="0" applyFont="1" applyFill="1" applyBorder="1" applyAlignment="1">
      <alignment horizontal="center" vertical="center" wrapText="1"/>
    </xf>
    <xf numFmtId="171" fontId="3" fillId="62" borderId="11" xfId="0" applyFont="1" applyFill="1" applyBorder="1" applyAlignment="1">
      <alignment horizontal="center" vertical="center" wrapText="1"/>
    </xf>
    <xf numFmtId="173" fontId="3" fillId="62" borderId="4" xfId="3" applyNumberFormat="1" applyFont="1" applyFill="1" applyBorder="1" applyAlignment="1">
      <alignment horizontal="center" vertical="center" wrapText="1"/>
    </xf>
    <xf numFmtId="173" fontId="3" fillId="62" borderId="0" xfId="3" applyNumberFormat="1" applyFont="1" applyFill="1" applyBorder="1" applyAlignment="1">
      <alignment horizontal="center" vertical="center" wrapText="1"/>
    </xf>
    <xf numFmtId="173" fontId="3" fillId="62" borderId="46" xfId="3" applyNumberFormat="1" applyFont="1" applyFill="1" applyBorder="1" applyAlignment="1">
      <alignment horizontal="center" vertical="center" wrapText="1"/>
    </xf>
    <xf numFmtId="171" fontId="3" fillId="0" borderId="5" xfId="0" applyFont="1" applyBorder="1" applyAlignment="1">
      <alignment horizontal="center" vertical="center" wrapText="1"/>
    </xf>
    <xf numFmtId="171" fontId="3" fillId="0" borderId="6" xfId="0" applyFont="1" applyBorder="1" applyAlignment="1">
      <alignment horizontal="center" vertical="center" wrapText="1"/>
    </xf>
    <xf numFmtId="171" fontId="50" fillId="0" borderId="1" xfId="0" applyFont="1" applyBorder="1" applyAlignment="1">
      <alignment horizontal="center" vertical="center" wrapText="1"/>
    </xf>
    <xf numFmtId="171" fontId="50" fillId="0" borderId="2" xfId="0" applyFont="1" applyBorder="1" applyAlignment="1">
      <alignment horizontal="center" vertical="center" wrapText="1"/>
    </xf>
    <xf numFmtId="171" fontId="50" fillId="0" borderId="4" xfId="0" applyFont="1" applyBorder="1" applyAlignment="1">
      <alignment horizontal="center" vertical="center" wrapText="1"/>
    </xf>
    <xf numFmtId="171" fontId="50" fillId="0" borderId="0" xfId="0" applyFont="1" applyBorder="1" applyAlignment="1">
      <alignment horizontal="center" vertical="center" wrapText="1"/>
    </xf>
    <xf numFmtId="0" fontId="4" fillId="59" borderId="45" xfId="0" applyNumberFormat="1" applyFont="1" applyFill="1" applyBorder="1" applyAlignment="1">
      <alignment horizontal="center" vertical="center" wrapText="1"/>
    </xf>
    <xf numFmtId="171" fontId="4" fillId="62" borderId="1" xfId="0" applyFont="1" applyFill="1" applyBorder="1" applyAlignment="1">
      <alignment horizontal="center" vertical="center" wrapText="1"/>
    </xf>
    <xf numFmtId="171" fontId="4" fillId="62" borderId="2" xfId="0" applyFont="1" applyFill="1" applyBorder="1" applyAlignment="1">
      <alignment horizontal="center" vertical="center" wrapText="1"/>
    </xf>
    <xf numFmtId="171" fontId="4" fillId="62" borderId="47" xfId="0" applyFont="1" applyFill="1" applyBorder="1" applyAlignment="1">
      <alignment horizontal="center" vertical="center" wrapText="1"/>
    </xf>
    <xf numFmtId="171" fontId="4" fillId="62" borderId="5" xfId="0" applyFont="1" applyFill="1" applyBorder="1" applyAlignment="1">
      <alignment horizontal="center" vertical="center" wrapText="1"/>
    </xf>
    <xf numFmtId="171" fontId="4" fillId="62" borderId="6" xfId="0" applyFont="1" applyFill="1" applyBorder="1" applyAlignment="1">
      <alignment horizontal="center" vertical="center" wrapText="1"/>
    </xf>
    <xf numFmtId="171" fontId="4" fillId="62" borderId="11" xfId="0" applyFont="1" applyFill="1" applyBorder="1" applyAlignment="1">
      <alignment horizontal="center" vertical="center" wrapText="1"/>
    </xf>
    <xf numFmtId="179" fontId="4" fillId="60" borderId="44" xfId="0" applyNumberFormat="1" applyFont="1" applyFill="1" applyBorder="1" applyAlignment="1">
      <alignment horizontal="center" vertical="center" wrapText="1"/>
    </xf>
    <xf numFmtId="179" fontId="4" fillId="60" borderId="12" xfId="0" applyNumberFormat="1" applyFont="1" applyFill="1" applyBorder="1" applyAlignment="1">
      <alignment horizontal="center" vertical="center" wrapText="1"/>
    </xf>
    <xf numFmtId="0" fontId="2" fillId="73" borderId="72" xfId="389" applyNumberFormat="1" applyFont="1" applyFill="1" applyBorder="1" applyAlignment="1">
      <alignment horizontal="left" vertical="center" wrapText="1"/>
    </xf>
    <xf numFmtId="0" fontId="2" fillId="73" borderId="3" xfId="389" applyNumberFormat="1" applyFont="1" applyFill="1" applyBorder="1" applyAlignment="1">
      <alignment horizontal="left" vertical="center" wrapText="1"/>
    </xf>
    <xf numFmtId="0" fontId="2" fillId="74" borderId="72" xfId="389" applyNumberFormat="1" applyFont="1" applyFill="1" applyBorder="1" applyAlignment="1">
      <alignment horizontal="left" vertical="center" wrapText="1"/>
    </xf>
    <xf numFmtId="0" fontId="2" fillId="74" borderId="3" xfId="389" applyNumberFormat="1" applyFont="1" applyFill="1" applyBorder="1" applyAlignment="1">
      <alignment horizontal="left" vertical="center" wrapText="1"/>
    </xf>
    <xf numFmtId="0" fontId="2" fillId="70" borderId="72" xfId="389" applyNumberFormat="1" applyFont="1" applyFill="1" applyBorder="1" applyAlignment="1">
      <alignment horizontal="left" vertical="center" wrapText="1"/>
    </xf>
    <xf numFmtId="0" fontId="2" fillId="70" borderId="3" xfId="389" applyNumberFormat="1" applyFont="1" applyFill="1" applyBorder="1" applyAlignment="1">
      <alignment horizontal="left" vertical="center" wrapText="1"/>
    </xf>
    <xf numFmtId="171" fontId="3" fillId="62" borderId="7" xfId="0" applyFont="1" applyFill="1" applyBorder="1" applyAlignment="1">
      <alignment horizontal="center" vertical="center" wrapText="1"/>
    </xf>
    <xf numFmtId="171" fontId="3" fillId="62" borderId="9" xfId="0" applyFont="1" applyFill="1" applyBorder="1" applyAlignment="1">
      <alignment horizontal="center" vertical="center" wrapText="1"/>
    </xf>
    <xf numFmtId="171" fontId="3" fillId="0" borderId="1" xfId="0" applyFont="1" applyBorder="1" applyAlignment="1">
      <alignment horizontal="center" vertical="center" wrapText="1"/>
    </xf>
    <xf numFmtId="171" fontId="3" fillId="0" borderId="2" xfId="0" applyFont="1" applyBorder="1" applyAlignment="1">
      <alignment horizontal="center" vertical="center" wrapText="1"/>
    </xf>
    <xf numFmtId="171" fontId="3" fillId="0" borderId="47" xfId="0" applyFont="1" applyBorder="1" applyAlignment="1">
      <alignment horizontal="center" vertical="center" wrapText="1"/>
    </xf>
    <xf numFmtId="171" fontId="3" fillId="0" borderId="4" xfId="0" applyFont="1" applyBorder="1" applyAlignment="1">
      <alignment horizontal="center" vertical="center" wrapText="1"/>
    </xf>
    <xf numFmtId="171" fontId="3" fillId="0" borderId="0" xfId="0" applyFont="1" applyBorder="1" applyAlignment="1">
      <alignment horizontal="center" vertical="center" wrapText="1"/>
    </xf>
    <xf numFmtId="171" fontId="3" fillId="0" borderId="46" xfId="0" applyFont="1" applyBorder="1" applyAlignment="1">
      <alignment horizontal="center" vertical="center" wrapText="1"/>
    </xf>
    <xf numFmtId="171" fontId="3" fillId="0" borderId="11" xfId="0" applyFont="1" applyBorder="1" applyAlignment="1">
      <alignment horizontal="center" vertical="center" wrapText="1"/>
    </xf>
    <xf numFmtId="0" fontId="3" fillId="0" borderId="68" xfId="389" applyNumberFormat="1" applyFont="1" applyBorder="1" applyAlignment="1">
      <alignment horizontal="center" vertical="center" wrapText="1"/>
    </xf>
    <xf numFmtId="0" fontId="3" fillId="0" borderId="82" xfId="389" applyNumberFormat="1" applyFont="1" applyBorder="1" applyAlignment="1">
      <alignment horizontal="center" vertical="center" wrapText="1"/>
    </xf>
    <xf numFmtId="0" fontId="2" fillId="71" borderId="72" xfId="389" applyNumberFormat="1" applyFont="1" applyFill="1" applyBorder="1" applyAlignment="1">
      <alignment horizontal="left" vertical="center" wrapText="1"/>
    </xf>
    <xf numFmtId="0" fontId="2" fillId="71" borderId="3" xfId="389" applyNumberFormat="1" applyFont="1" applyFill="1" applyBorder="1" applyAlignment="1">
      <alignment horizontal="left" vertical="center" wrapText="1"/>
    </xf>
    <xf numFmtId="0" fontId="2" fillId="72" borderId="72" xfId="389" applyNumberFormat="1" applyFont="1" applyFill="1" applyBorder="1" applyAlignment="1">
      <alignment horizontal="left" vertical="center" wrapText="1"/>
    </xf>
    <xf numFmtId="0" fontId="2" fillId="72" borderId="3" xfId="389" applyNumberFormat="1" applyFont="1" applyFill="1" applyBorder="1" applyAlignment="1">
      <alignment horizontal="left" vertical="center" wrapText="1"/>
    </xf>
    <xf numFmtId="0" fontId="2" fillId="74" borderId="4" xfId="389" applyNumberFormat="1" applyFont="1" applyFill="1" applyBorder="1" applyAlignment="1">
      <alignment horizontal="left" vertical="center" wrapText="1"/>
    </xf>
    <xf numFmtId="0" fontId="2" fillId="74" borderId="46" xfId="389" applyNumberFormat="1" applyFont="1" applyFill="1" applyBorder="1" applyAlignment="1">
      <alignment horizontal="left" vertical="center" wrapText="1"/>
    </xf>
    <xf numFmtId="0" fontId="2" fillId="70" borderId="5" xfId="389" applyNumberFormat="1" applyFont="1" applyFill="1" applyBorder="1" applyAlignment="1">
      <alignment horizontal="left" vertical="center" wrapText="1"/>
    </xf>
    <xf numFmtId="0" fontId="2" fillId="70" borderId="11" xfId="389" applyNumberFormat="1" applyFont="1" applyFill="1" applyBorder="1" applyAlignment="1">
      <alignment horizontal="left" vertical="center" wrapText="1"/>
    </xf>
    <xf numFmtId="171" fontId="3" fillId="0" borderId="1" xfId="0" applyFont="1" applyFill="1" applyBorder="1" applyAlignment="1">
      <alignment horizontal="center" vertical="center" wrapText="1"/>
    </xf>
    <xf numFmtId="171" fontId="3" fillId="0" borderId="2" xfId="0" applyFont="1" applyFill="1" applyBorder="1" applyAlignment="1">
      <alignment horizontal="center" vertical="center" wrapText="1"/>
    </xf>
    <xf numFmtId="171" fontId="3" fillId="0" borderId="47" xfId="0" applyFont="1" applyFill="1" applyBorder="1" applyAlignment="1">
      <alignment horizontal="center" vertical="center" wrapText="1"/>
    </xf>
    <xf numFmtId="171" fontId="3" fillId="0" borderId="4" xfId="0" applyFont="1" applyFill="1" applyBorder="1" applyAlignment="1">
      <alignment horizontal="center" vertical="center" wrapText="1"/>
    </xf>
    <xf numFmtId="171" fontId="3" fillId="0" borderId="0" xfId="0" applyFont="1" applyFill="1" applyBorder="1" applyAlignment="1">
      <alignment horizontal="center" vertical="center" wrapText="1"/>
    </xf>
    <xf numFmtId="171" fontId="3" fillId="0" borderId="46" xfId="0" applyFont="1" applyFill="1" applyBorder="1" applyAlignment="1">
      <alignment horizontal="center" vertical="center" wrapText="1"/>
    </xf>
    <xf numFmtId="171" fontId="3" fillId="0" borderId="5" xfId="0" applyFont="1" applyFill="1" applyBorder="1" applyAlignment="1">
      <alignment horizontal="center" vertical="center" wrapText="1"/>
    </xf>
    <xf numFmtId="171" fontId="3" fillId="0" borderId="6" xfId="0" applyFont="1" applyFill="1" applyBorder="1" applyAlignment="1">
      <alignment horizontal="center" vertical="center" wrapText="1"/>
    </xf>
    <xf numFmtId="171" fontId="3" fillId="0" borderId="11" xfId="0" applyFont="1" applyFill="1" applyBorder="1" applyAlignment="1">
      <alignment horizontal="center" vertical="center" wrapText="1"/>
    </xf>
    <xf numFmtId="0" fontId="3" fillId="0" borderId="1" xfId="389" applyNumberFormat="1" applyFont="1" applyBorder="1" applyAlignment="1">
      <alignment horizontal="left" vertical="center" wrapText="1"/>
    </xf>
    <xf numFmtId="0" fontId="3" fillId="0" borderId="47" xfId="389" applyNumberFormat="1" applyFont="1" applyBorder="1" applyAlignment="1">
      <alignment horizontal="left" vertical="center" wrapText="1"/>
    </xf>
    <xf numFmtId="0" fontId="2" fillId="71" borderId="4" xfId="389" applyNumberFormat="1" applyFont="1" applyFill="1" applyBorder="1" applyAlignment="1">
      <alignment horizontal="left" vertical="center" wrapText="1"/>
    </xf>
    <xf numFmtId="0" fontId="2" fillId="71" borderId="46" xfId="389" applyNumberFormat="1" applyFont="1" applyFill="1" applyBorder="1" applyAlignment="1">
      <alignment horizontal="left" vertical="center" wrapText="1"/>
    </xf>
    <xf numFmtId="0" fontId="2" fillId="72" borderId="4" xfId="389" applyNumberFormat="1" applyFont="1" applyFill="1" applyBorder="1" applyAlignment="1">
      <alignment horizontal="left" vertical="center" wrapText="1"/>
    </xf>
    <xf numFmtId="0" fontId="2" fillId="72" borderId="46" xfId="389" applyNumberFormat="1" applyFont="1" applyFill="1" applyBorder="1" applyAlignment="1">
      <alignment horizontal="left" vertical="center" wrapText="1"/>
    </xf>
    <xf numFmtId="0" fontId="2" fillId="73" borderId="4" xfId="389" applyNumberFormat="1" applyFont="1" applyFill="1" applyBorder="1" applyAlignment="1">
      <alignment horizontal="left" vertical="center" wrapText="1"/>
    </xf>
    <xf numFmtId="0" fontId="2" fillId="73" borderId="46" xfId="389" applyNumberFormat="1" applyFont="1" applyFill="1" applyBorder="1" applyAlignment="1">
      <alignment horizontal="left" vertical="center" wrapText="1"/>
    </xf>
    <xf numFmtId="171" fontId="65" fillId="67" borderId="3" xfId="0" applyFont="1" applyFill="1" applyBorder="1" applyAlignment="1">
      <alignment horizontal="left" vertical="center" wrapText="1"/>
    </xf>
    <xf numFmtId="171" fontId="65" fillId="67" borderId="67" xfId="0" applyFont="1" applyFill="1" applyBorder="1" applyAlignment="1">
      <alignment horizontal="left" vertical="center" wrapText="1"/>
    </xf>
    <xf numFmtId="171" fontId="65" fillId="67" borderId="66" xfId="0" applyFont="1" applyFill="1" applyBorder="1" applyAlignment="1">
      <alignment horizontal="left" vertical="center" wrapText="1"/>
    </xf>
    <xf numFmtId="171" fontId="65" fillId="63" borderId="60" xfId="0" applyFont="1" applyFill="1" applyBorder="1" applyAlignment="1">
      <alignment horizontal="center" vertical="center" wrapText="1"/>
    </xf>
    <xf numFmtId="171" fontId="65" fillId="63" borderId="63" xfId="0" applyFont="1" applyFill="1" applyBorder="1" applyAlignment="1">
      <alignment horizontal="center" vertical="center" wrapText="1"/>
    </xf>
    <xf numFmtId="171" fontId="65" fillId="63" borderId="64" xfId="0" applyFont="1" applyFill="1" applyBorder="1" applyAlignment="1">
      <alignment horizontal="center" vertical="center" wrapText="1"/>
    </xf>
    <xf numFmtId="171" fontId="65" fillId="63" borderId="48" xfId="0" applyFont="1" applyFill="1" applyBorder="1" applyAlignment="1">
      <alignment horizontal="center" vertical="center" wrapText="1"/>
    </xf>
    <xf numFmtId="171" fontId="65" fillId="63" borderId="49" xfId="0" applyFont="1" applyFill="1" applyBorder="1" applyAlignment="1">
      <alignment horizontal="center" vertical="center" wrapText="1"/>
    </xf>
    <xf numFmtId="171" fontId="65" fillId="63" borderId="59" xfId="0" applyFont="1" applyFill="1" applyBorder="1" applyAlignment="1">
      <alignment horizontal="center" vertical="center" wrapText="1"/>
    </xf>
    <xf numFmtId="171" fontId="6" fillId="0" borderId="0" xfId="0" applyFont="1" applyAlignment="1">
      <alignment horizontal="center"/>
    </xf>
    <xf numFmtId="171" fontId="65" fillId="67" borderId="12" xfId="0" applyFont="1" applyFill="1" applyBorder="1" applyAlignment="1">
      <alignment horizontal="left" vertical="center" wrapText="1"/>
    </xf>
    <xf numFmtId="171" fontId="6" fillId="0" borderId="0" xfId="0" applyFont="1" applyAlignment="1">
      <alignment horizontal="left" vertical="center" wrapText="1"/>
    </xf>
    <xf numFmtId="171" fontId="6" fillId="0" borderId="0" xfId="0" applyFont="1" applyAlignment="1">
      <alignment horizontal="left" vertical="center"/>
    </xf>
    <xf numFmtId="171" fontId="65" fillId="62" borderId="48" xfId="0" applyFont="1" applyFill="1" applyBorder="1" applyAlignment="1">
      <alignment horizontal="center" vertical="center" wrapText="1"/>
    </xf>
    <xf numFmtId="171" fontId="65" fillId="62" borderId="49" xfId="0" applyFont="1" applyFill="1" applyBorder="1" applyAlignment="1">
      <alignment horizontal="center" vertical="center" wrapText="1"/>
    </xf>
    <xf numFmtId="171" fontId="65" fillId="62" borderId="62" xfId="0" applyFont="1" applyFill="1" applyBorder="1" applyAlignment="1">
      <alignment horizontal="center" vertical="center" wrapText="1"/>
    </xf>
    <xf numFmtId="171" fontId="66" fillId="0" borderId="0" xfId="0" applyFont="1" applyAlignment="1">
      <alignment horizontal="left" vertical="center" wrapText="1"/>
    </xf>
    <xf numFmtId="171" fontId="65" fillId="0" borderId="83" xfId="0" applyFont="1" applyBorder="1" applyAlignment="1">
      <alignment horizontal="center" vertical="center" wrapText="1"/>
    </xf>
    <xf numFmtId="171" fontId="65" fillId="0" borderId="84" xfId="0" applyFont="1" applyBorder="1" applyAlignment="1">
      <alignment horizontal="center" vertical="center" wrapText="1"/>
    </xf>
    <xf numFmtId="0" fontId="54" fillId="0" borderId="8" xfId="92" applyFont="1" applyBorder="1" applyAlignment="1">
      <alignment horizontal="center" vertical="center" wrapText="1"/>
    </xf>
    <xf numFmtId="0" fontId="54" fillId="0" borderId="9" xfId="92" applyFont="1" applyBorder="1" applyAlignment="1">
      <alignment horizontal="center" vertical="center" wrapText="1"/>
    </xf>
    <xf numFmtId="171" fontId="22" fillId="0" borderId="3" xfId="0" applyFont="1" applyBorder="1" applyAlignment="1">
      <alignment horizontal="center" wrapText="1"/>
    </xf>
    <xf numFmtId="171" fontId="22" fillId="0" borderId="3" xfId="0" applyFont="1" applyBorder="1" applyAlignment="1">
      <alignment horizontal="center"/>
    </xf>
  </cellXfs>
  <cellStyles count="401">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 4" xfId="393"/>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2" xfId="3"/>
    <cellStyle name="Millares 2 2" xfId="6"/>
    <cellStyle name="Millares 2 2 2" xfId="10"/>
    <cellStyle name="Millares 2 2 2 2" xfId="93"/>
    <cellStyle name="Millares 2 2 2 2 2" xfId="157"/>
    <cellStyle name="Millares 2 2 2 2 3" xfId="394"/>
    <cellStyle name="Millares 2 2 3" xfId="395"/>
    <cellStyle name="Millares 2 3" xfId="346"/>
    <cellStyle name="Millares 2 4" xfId="101"/>
    <cellStyle name="Millares 2 4 2" xfId="164"/>
    <cellStyle name="Millares 3" xfId="113"/>
    <cellStyle name="Millares 3 2" xfId="122"/>
    <cellStyle name="Millares 3 3" xfId="119"/>
    <cellStyle name="Millares 4" xfId="118"/>
    <cellStyle name="Millares 5" xfId="400"/>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17" xfId="391"/>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9"/>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8"/>
    <cellStyle name="Normal 88" xfId="390"/>
    <cellStyle name="Normal 9" xfId="97"/>
    <cellStyle name="Normal 9 2" xfId="60"/>
    <cellStyle name="Normal 9 3" xfId="281"/>
    <cellStyle name="Normal 90" xfId="399"/>
    <cellStyle name="Notas" xfId="30" builtinId="10" customBuiltin="1"/>
    <cellStyle name="Notas 2" xfId="201"/>
    <cellStyle name="Notas 2 2" xfId="374"/>
    <cellStyle name="Notas 3" xfId="375"/>
    <cellStyle name="Porcentaje" xfId="387" builtinId="5"/>
    <cellStyle name="Porcentaje 2" xfId="396"/>
    <cellStyle name="Porcentaje 2 2" xfId="94"/>
    <cellStyle name="Porcentaje 2 2 2" xfId="96"/>
    <cellStyle name="Porcentaje 2 2 2 2" xfId="397"/>
    <cellStyle name="Porcentaje 2 2 3" xfId="392"/>
    <cellStyle name="Porcentaje 2 3" xfId="12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548">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baseline="0">
                <a:latin typeface="Arial" panose="020B0604020202020204" pitchFamily="34" charset="0"/>
                <a:cs typeface="Arial" panose="020B0604020202020204" pitchFamily="34" charset="0"/>
              </a:rPr>
              <a:t>Estado de Ejecución  Sector Central</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31 de marzo de 2023</a:t>
            </a:r>
            <a:endParaRPr lang="es-CO" sz="1200" b="1">
              <a:latin typeface="Arial" panose="020B0604020202020204" pitchFamily="34" charset="0"/>
              <a:cs typeface="Arial" panose="020B0604020202020204" pitchFamily="34" charset="0"/>
            </a:endParaRPr>
          </a:p>
        </c:rich>
      </c:tx>
      <c:layout>
        <c:manualLayout>
          <c:xMode val="edge"/>
          <c:yMode val="edge"/>
          <c:x val="0.30090106814323747"/>
          <c:y val="8.6644234240379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UNIDADES'!$B$24</c:f>
              <c:strCache>
                <c:ptCount val="1"/>
                <c:pt idx="0">
                  <c:v>Recurso </c:v>
                </c:pt>
              </c:strCache>
            </c:strRef>
          </c:tx>
          <c:spPr>
            <a:solidFill>
              <a:srgbClr val="002060"/>
            </a:solidFill>
            <a:ln>
              <a:noFill/>
            </a:ln>
            <a:effectLst/>
          </c:spPr>
          <c:invertIfNegative val="0"/>
          <c:dPt>
            <c:idx val="1"/>
            <c:invertIfNegative val="0"/>
            <c:bubble3D val="0"/>
            <c:spPr>
              <a:solidFill>
                <a:srgbClr val="C00000"/>
              </a:solidFill>
              <a:ln>
                <a:noFill/>
              </a:ln>
              <a:effectLst/>
            </c:spPr>
            <c:extLst xmlns:c16r2="http://schemas.microsoft.com/office/drawing/2015/06/chart">
              <c:ext xmlns:c16="http://schemas.microsoft.com/office/drawing/2014/chart" uri="{C3380CC4-5D6E-409C-BE32-E72D297353CC}">
                <c16:uniqueId val="{00000001-2A34-4330-A785-656337F18964}"/>
              </c:ext>
            </c:extLst>
          </c:dPt>
          <c:dPt>
            <c:idx val="2"/>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3-2A34-4330-A785-656337F18964}"/>
              </c:ext>
            </c:extLst>
          </c:dPt>
          <c:dPt>
            <c:idx val="3"/>
            <c:invertIfNegative val="0"/>
            <c:bubble3D val="0"/>
            <c:spPr>
              <a:solidFill>
                <a:schemeClr val="accent4">
                  <a:lumMod val="75000"/>
                </a:schemeClr>
              </a:solidFill>
              <a:ln>
                <a:noFill/>
              </a:ln>
              <a:effectLst/>
            </c:spPr>
            <c:extLst xmlns:c16r2="http://schemas.microsoft.com/office/drawing/2015/06/chart">
              <c:ext xmlns:c16="http://schemas.microsoft.com/office/drawing/2014/chart" uri="{C3380CC4-5D6E-409C-BE32-E72D297353CC}">
                <c16:uniqueId val="{00000005-2A34-4330-A785-656337F18964}"/>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7-2A34-4330-A785-656337F18964}"/>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9-2A34-4330-A785-656337F18964}"/>
              </c:ext>
            </c:extLst>
          </c:dPt>
          <c:cat>
            <c:strRef>
              <c:f>'CONSOLIDADO UNIDADES'!$A$25:$A$30</c:f>
              <c:strCache>
                <c:ptCount val="6"/>
                <c:pt idx="0">
                  <c:v>Apropiación Definitiva</c:v>
                </c:pt>
                <c:pt idx="1">
                  <c:v>Disponibilidades </c:v>
                </c:pt>
                <c:pt idx="2">
                  <c:v>Compromisos</c:v>
                </c:pt>
                <c:pt idx="3">
                  <c:v>Obligaciones</c:v>
                </c:pt>
                <c:pt idx="4">
                  <c:v>Pagos </c:v>
                </c:pt>
                <c:pt idx="5">
                  <c:v>Disponible</c:v>
                </c:pt>
              </c:strCache>
            </c:strRef>
          </c:cat>
          <c:val>
            <c:numRef>
              <c:f>'CONSOLIDADO UNIDADES'!$B$25:$B$30</c:f>
              <c:numCache>
                <c:formatCode>_(* #,##0_);_(* \(#,##0\);_(* "-"??_);_(@_)</c:formatCode>
                <c:ptCount val="6"/>
                <c:pt idx="0">
                  <c:v>406043234113.46997</c:v>
                </c:pt>
                <c:pt idx="1">
                  <c:v>165279247807.48999</c:v>
                </c:pt>
                <c:pt idx="2">
                  <c:v>116985631153.91</c:v>
                </c:pt>
                <c:pt idx="3">
                  <c:v>53381739244.400002</c:v>
                </c:pt>
                <c:pt idx="4">
                  <c:v>53381739244.400002</c:v>
                </c:pt>
                <c:pt idx="5">
                  <c:v>240763986305.97998</c:v>
                </c:pt>
              </c:numCache>
            </c:numRef>
          </c:val>
          <c:extLst xmlns:c16r2="http://schemas.microsoft.com/office/drawing/2015/06/chart">
            <c:ext xmlns:c16="http://schemas.microsoft.com/office/drawing/2014/chart" uri="{C3380CC4-5D6E-409C-BE32-E72D297353CC}">
              <c16:uniqueId val="{0000000A-2A34-4330-A785-656337F18964}"/>
            </c:ext>
          </c:extLst>
        </c:ser>
        <c:ser>
          <c:idx val="1"/>
          <c:order val="1"/>
          <c:tx>
            <c:strRef>
              <c:f>'CONSOLIDADO UNIDADES'!$C$24</c:f>
              <c:strCache>
                <c:ptCount val="1"/>
                <c:pt idx="0">
                  <c:v>%</c:v>
                </c:pt>
              </c:strCache>
            </c:strRef>
          </c:tx>
          <c:spPr>
            <a:solidFill>
              <a:schemeClr val="accent2"/>
            </a:solidFill>
            <a:ln>
              <a:noFill/>
            </a:ln>
            <a:effectLst/>
          </c:spPr>
          <c:invertIfNegative val="0"/>
          <c:cat>
            <c:strRef>
              <c:f>'CONSOLIDADO UNIDADES'!$A$25:$A$30</c:f>
              <c:strCache>
                <c:ptCount val="6"/>
                <c:pt idx="0">
                  <c:v>Apropiación Definitiva</c:v>
                </c:pt>
                <c:pt idx="1">
                  <c:v>Disponibilidades </c:v>
                </c:pt>
                <c:pt idx="2">
                  <c:v>Compromisos</c:v>
                </c:pt>
                <c:pt idx="3">
                  <c:v>Obligaciones</c:v>
                </c:pt>
                <c:pt idx="4">
                  <c:v>Pagos </c:v>
                </c:pt>
                <c:pt idx="5">
                  <c:v>Disponible</c:v>
                </c:pt>
              </c:strCache>
            </c:strRef>
          </c:cat>
          <c:val>
            <c:numRef>
              <c:f>'CONSOLIDADO UNIDADES'!$C$25:$C$30</c:f>
              <c:numCache>
                <c:formatCode>0%</c:formatCode>
                <c:ptCount val="6"/>
                <c:pt idx="0">
                  <c:v>1</c:v>
                </c:pt>
                <c:pt idx="1">
                  <c:v>0.40704839761300449</c:v>
                </c:pt>
                <c:pt idx="2">
                  <c:v>0.28811126827252592</c:v>
                </c:pt>
                <c:pt idx="3">
                  <c:v>0.13146811659342245</c:v>
                </c:pt>
                <c:pt idx="4">
                  <c:v>0.13146811659342245</c:v>
                </c:pt>
                <c:pt idx="5">
                  <c:v>0.59295160238699551</c:v>
                </c:pt>
              </c:numCache>
            </c:numRef>
          </c:val>
          <c:extLst xmlns:c16r2="http://schemas.microsoft.com/office/drawing/2015/06/chart">
            <c:ext xmlns:c16="http://schemas.microsoft.com/office/drawing/2014/chart" uri="{C3380CC4-5D6E-409C-BE32-E72D297353CC}">
              <c16:uniqueId val="{0000000B-2A34-4330-A785-656337F18964}"/>
            </c:ext>
          </c:extLst>
        </c:ser>
        <c:dLbls>
          <c:showLegendKey val="0"/>
          <c:showVal val="0"/>
          <c:showCatName val="0"/>
          <c:showSerName val="0"/>
          <c:showPercent val="0"/>
          <c:showBubbleSize val="0"/>
        </c:dLbls>
        <c:gapWidth val="219"/>
        <c:overlap val="-27"/>
        <c:axId val="344934384"/>
        <c:axId val="344933824"/>
      </c:barChart>
      <c:catAx>
        <c:axId val="34493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4933824"/>
        <c:crosses val="autoZero"/>
        <c:auto val="1"/>
        <c:lblAlgn val="ctr"/>
        <c:lblOffset val="100"/>
        <c:noMultiLvlLbl val="0"/>
      </c:catAx>
      <c:valAx>
        <c:axId val="34493382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49343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Estado de Ejecución Entes</a:t>
            </a:r>
            <a:r>
              <a:rPr lang="es-CO" sz="1200" b="1" baseline="0">
                <a:latin typeface="Arial" panose="020B0604020202020204" pitchFamily="34" charset="0"/>
                <a:cs typeface="Arial" panose="020B0604020202020204" pitchFamily="34" charset="0"/>
              </a:rPr>
              <a:t> Descentralizados</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31 de marzo 2023</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'CONSOLIDADO UNIDADES'!$B$33</c:f>
              <c:strCache>
                <c:ptCount val="1"/>
                <c:pt idx="0">
                  <c:v>Recurso </c:v>
                </c:pt>
              </c:strCache>
            </c:strRef>
          </c:tx>
          <c:spPr>
            <a:solidFill>
              <a:schemeClr val="accent1"/>
            </a:solidFill>
            <a:ln>
              <a:noFill/>
            </a:ln>
            <a:effectLst/>
          </c:spPr>
          <c:invertIfNegative val="0"/>
          <c:dPt>
            <c:idx val="0"/>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1-ADCE-4021-8630-82965FDA27B9}"/>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ADCE-4021-8630-82965FDA27B9}"/>
              </c:ext>
            </c:extLst>
          </c:dPt>
          <c:cat>
            <c:strRef>
              <c:f>'CONSOLIDADO UNIDADES'!$A$34:$A$39</c:f>
              <c:strCache>
                <c:ptCount val="6"/>
                <c:pt idx="0">
                  <c:v>Apropiación Definitiva</c:v>
                </c:pt>
                <c:pt idx="1">
                  <c:v>Disponibilidades </c:v>
                </c:pt>
                <c:pt idx="2">
                  <c:v>Compromisos</c:v>
                </c:pt>
                <c:pt idx="3">
                  <c:v>Obligaciones</c:v>
                </c:pt>
                <c:pt idx="4">
                  <c:v>Pagos </c:v>
                </c:pt>
                <c:pt idx="5">
                  <c:v>Disponible</c:v>
                </c:pt>
              </c:strCache>
            </c:strRef>
          </c:cat>
          <c:val>
            <c:numRef>
              <c:f>'CONSOLIDADO UNIDADES'!$B$34:$B$39</c:f>
              <c:numCache>
                <c:formatCode>_(* #,##0_);_(* \(#,##0\);_(* "-"??_);_(@_)</c:formatCode>
                <c:ptCount val="6"/>
                <c:pt idx="0">
                  <c:v>13883917200.619999</c:v>
                </c:pt>
                <c:pt idx="1">
                  <c:v>4553333846.75</c:v>
                </c:pt>
                <c:pt idx="2">
                  <c:v>3197807628</c:v>
                </c:pt>
                <c:pt idx="3">
                  <c:v>660691718</c:v>
                </c:pt>
                <c:pt idx="4">
                  <c:v>660691718</c:v>
                </c:pt>
                <c:pt idx="5">
                  <c:v>9330583353.8699989</c:v>
                </c:pt>
              </c:numCache>
            </c:numRef>
          </c:val>
          <c:extLst xmlns:c16r2="http://schemas.microsoft.com/office/drawing/2015/06/chart">
            <c:ext xmlns:c16="http://schemas.microsoft.com/office/drawing/2014/chart" uri="{C3380CC4-5D6E-409C-BE32-E72D297353CC}">
              <c16:uniqueId val="{00000004-ADCE-4021-8630-82965FDA27B9}"/>
            </c:ext>
          </c:extLst>
        </c:ser>
        <c:ser>
          <c:idx val="1"/>
          <c:order val="1"/>
          <c:tx>
            <c:strRef>
              <c:f>'CONSOLIDADO UNIDADES'!$C$33</c:f>
              <c:strCache>
                <c:ptCount val="1"/>
                <c:pt idx="0">
                  <c:v>%</c:v>
                </c:pt>
              </c:strCache>
            </c:strRef>
          </c:tx>
          <c:spPr>
            <a:solidFill>
              <a:schemeClr val="accent2"/>
            </a:solidFill>
            <a:ln>
              <a:noFill/>
            </a:ln>
            <a:effectLst/>
          </c:spPr>
          <c:invertIfNegative val="0"/>
          <c:cat>
            <c:strRef>
              <c:f>'CONSOLIDADO UNIDADES'!$A$34:$A$39</c:f>
              <c:strCache>
                <c:ptCount val="6"/>
                <c:pt idx="0">
                  <c:v>Apropiación Definitiva</c:v>
                </c:pt>
                <c:pt idx="1">
                  <c:v>Disponibilidades </c:v>
                </c:pt>
                <c:pt idx="2">
                  <c:v>Compromisos</c:v>
                </c:pt>
                <c:pt idx="3">
                  <c:v>Obligaciones</c:v>
                </c:pt>
                <c:pt idx="4">
                  <c:v>Pagos </c:v>
                </c:pt>
                <c:pt idx="5">
                  <c:v>Disponible</c:v>
                </c:pt>
              </c:strCache>
            </c:strRef>
          </c:cat>
          <c:val>
            <c:numRef>
              <c:f>'CONSOLIDADO UNIDADES'!$C$34:$C$39</c:f>
              <c:numCache>
                <c:formatCode>0%</c:formatCode>
                <c:ptCount val="6"/>
                <c:pt idx="0">
                  <c:v>1</c:v>
                </c:pt>
                <c:pt idx="1">
                  <c:v>0.32795743311885112</c:v>
                </c:pt>
                <c:pt idx="2">
                  <c:v>0.23032459656682475</c:v>
                </c:pt>
                <c:pt idx="3">
                  <c:v>4.7586837954528872E-2</c:v>
                </c:pt>
                <c:pt idx="4">
                  <c:v>4.7586837954528872E-2</c:v>
                </c:pt>
                <c:pt idx="5">
                  <c:v>0.67204256688114883</c:v>
                </c:pt>
              </c:numCache>
            </c:numRef>
          </c:val>
          <c:extLst xmlns:c16r2="http://schemas.microsoft.com/office/drawing/2015/06/chart">
            <c:ext xmlns:c16="http://schemas.microsoft.com/office/drawing/2014/chart" uri="{C3380CC4-5D6E-409C-BE32-E72D297353CC}">
              <c16:uniqueId val="{00000005-ADCE-4021-8630-82965FDA27B9}"/>
            </c:ext>
          </c:extLst>
        </c:ser>
        <c:dLbls>
          <c:showLegendKey val="0"/>
          <c:showVal val="0"/>
          <c:showCatName val="0"/>
          <c:showSerName val="0"/>
          <c:showPercent val="0"/>
          <c:showBubbleSize val="0"/>
        </c:dLbls>
        <c:gapWidth val="219"/>
        <c:overlap val="-27"/>
        <c:axId val="359596016"/>
        <c:axId val="359596576"/>
      </c:barChart>
      <c:catAx>
        <c:axId val="35959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9596576"/>
        <c:crosses val="autoZero"/>
        <c:auto val="1"/>
        <c:lblAlgn val="ctr"/>
        <c:lblOffset val="100"/>
        <c:noMultiLvlLbl val="0"/>
      </c:catAx>
      <c:valAx>
        <c:axId val="35959657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9596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i="0" baseline="0">
                <a:effectLst/>
                <a:latin typeface="Arial" panose="020B0604020202020204" pitchFamily="34" charset="0"/>
                <a:cs typeface="Arial" panose="020B0604020202020204" pitchFamily="34" charset="0"/>
              </a:rPr>
              <a:t>Estado de Ejecución Departamento Quindio</a:t>
            </a:r>
            <a:endParaRPr lang="es-CO" sz="1200" b="1">
              <a:effectLst/>
              <a:latin typeface="Arial" panose="020B0604020202020204" pitchFamily="34" charset="0"/>
              <a:cs typeface="Arial" panose="020B0604020202020204" pitchFamily="34" charset="0"/>
            </a:endParaRPr>
          </a:p>
          <a:p>
            <a:pPr>
              <a:defRPr sz="1200" b="1">
                <a:latin typeface="Arial" panose="020B0604020202020204" pitchFamily="34" charset="0"/>
                <a:cs typeface="Arial" panose="020B0604020202020204" pitchFamily="34" charset="0"/>
              </a:defRPr>
            </a:pPr>
            <a:r>
              <a:rPr lang="es-CO" sz="1200" b="1" i="0" baseline="0">
                <a:effectLst/>
                <a:latin typeface="Arial" panose="020B0604020202020204" pitchFamily="34" charset="0"/>
                <a:cs typeface="Arial" panose="020B0604020202020204" pitchFamily="34" charset="0"/>
              </a:rPr>
              <a:t>Gastos de Inversión con corte al 31 de marzo de 2023</a:t>
            </a:r>
            <a:endParaRPr lang="es-CO" sz="1200" b="1">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'CONSOLIDADO UNIDADES'!$B$47</c:f>
              <c:strCache>
                <c:ptCount val="1"/>
                <c:pt idx="0">
                  <c:v>Recurso </c:v>
                </c:pt>
              </c:strCache>
            </c:strRef>
          </c:tx>
          <c:spPr>
            <a:solidFill>
              <a:schemeClr val="accent1"/>
            </a:solidFill>
            <a:ln>
              <a:noFill/>
            </a:ln>
            <a:effectLst/>
          </c:spPr>
          <c:invertIfNegative val="0"/>
          <c:dPt>
            <c:idx val="0"/>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1-C9A8-4FE7-ACBF-7223D1864A1A}"/>
              </c:ext>
            </c:extLst>
          </c:dPt>
          <c:dPt>
            <c:idx val="1"/>
            <c:invertIfNegative val="0"/>
            <c:bubble3D val="0"/>
            <c:spPr>
              <a:solidFill>
                <a:srgbClr val="C00000"/>
              </a:solidFill>
              <a:ln>
                <a:noFill/>
              </a:ln>
              <a:effectLst/>
            </c:spPr>
            <c:extLst xmlns:c16r2="http://schemas.microsoft.com/office/drawing/2015/06/chart">
              <c:ext xmlns:c16="http://schemas.microsoft.com/office/drawing/2014/chart" uri="{C3380CC4-5D6E-409C-BE32-E72D297353CC}">
                <c16:uniqueId val="{00000003-C9A8-4FE7-ACBF-7223D1864A1A}"/>
              </c:ext>
            </c:extLst>
          </c:dPt>
          <c:dPt>
            <c:idx val="2"/>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5-C9A8-4FE7-ACBF-7223D1864A1A}"/>
              </c:ext>
            </c:extLst>
          </c:dPt>
          <c:dPt>
            <c:idx val="3"/>
            <c:invertIfNegative val="0"/>
            <c:bubble3D val="0"/>
            <c:spPr>
              <a:solidFill>
                <a:schemeClr val="accent4">
                  <a:lumMod val="75000"/>
                </a:schemeClr>
              </a:solidFill>
              <a:ln>
                <a:noFill/>
              </a:ln>
              <a:effectLst/>
            </c:spPr>
            <c:extLst xmlns:c16r2="http://schemas.microsoft.com/office/drawing/2015/06/chart">
              <c:ext xmlns:c16="http://schemas.microsoft.com/office/drawing/2014/chart" uri="{C3380CC4-5D6E-409C-BE32-E72D297353CC}">
                <c16:uniqueId val="{00000007-C9A8-4FE7-ACBF-7223D1864A1A}"/>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9-C9A8-4FE7-ACBF-7223D1864A1A}"/>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B-C9A8-4FE7-ACBF-7223D1864A1A}"/>
              </c:ext>
            </c:extLst>
          </c:dPt>
          <c:cat>
            <c:strRef>
              <c:f>'CONSOLIDADO UNIDADES'!$A$48:$A$53</c:f>
              <c:strCache>
                <c:ptCount val="6"/>
                <c:pt idx="0">
                  <c:v>Apropiación Definitiva</c:v>
                </c:pt>
                <c:pt idx="1">
                  <c:v>Disponibilidades </c:v>
                </c:pt>
                <c:pt idx="2">
                  <c:v>Compromisos</c:v>
                </c:pt>
                <c:pt idx="3">
                  <c:v>Obligaciones</c:v>
                </c:pt>
                <c:pt idx="4">
                  <c:v>Pagos </c:v>
                </c:pt>
                <c:pt idx="5">
                  <c:v>Disponible</c:v>
                </c:pt>
              </c:strCache>
            </c:strRef>
          </c:cat>
          <c:val>
            <c:numRef>
              <c:f>'CONSOLIDADO UNIDADES'!$B$48:$B$53</c:f>
              <c:numCache>
                <c:formatCode>_(* #,##0_);_(* \(#,##0\);_(* "-"??_);_(@_)</c:formatCode>
                <c:ptCount val="6"/>
                <c:pt idx="0">
                  <c:v>419927151314.08997</c:v>
                </c:pt>
                <c:pt idx="1">
                  <c:v>169832581654.23999</c:v>
                </c:pt>
                <c:pt idx="2">
                  <c:v>120183438781.91</c:v>
                </c:pt>
                <c:pt idx="3">
                  <c:v>54042430962.400002</c:v>
                </c:pt>
                <c:pt idx="4">
                  <c:v>54042430962.400002</c:v>
                </c:pt>
                <c:pt idx="5">
                  <c:v>250094569659.84998</c:v>
                </c:pt>
              </c:numCache>
            </c:numRef>
          </c:val>
          <c:extLst xmlns:c16r2="http://schemas.microsoft.com/office/drawing/2015/06/chart">
            <c:ext xmlns:c16="http://schemas.microsoft.com/office/drawing/2014/chart" uri="{C3380CC4-5D6E-409C-BE32-E72D297353CC}">
              <c16:uniqueId val="{0000000C-C9A8-4FE7-ACBF-7223D1864A1A}"/>
            </c:ext>
          </c:extLst>
        </c:ser>
        <c:ser>
          <c:idx val="1"/>
          <c:order val="1"/>
          <c:tx>
            <c:strRef>
              <c:f>'CONSOLIDADO UNIDADES'!$C$47</c:f>
              <c:strCache>
                <c:ptCount val="1"/>
                <c:pt idx="0">
                  <c:v>%</c:v>
                </c:pt>
              </c:strCache>
            </c:strRef>
          </c:tx>
          <c:spPr>
            <a:solidFill>
              <a:schemeClr val="accent2"/>
            </a:solidFill>
            <a:ln>
              <a:noFill/>
            </a:ln>
            <a:effectLst/>
          </c:spPr>
          <c:invertIfNegative val="0"/>
          <c:cat>
            <c:strRef>
              <c:f>'CONSOLIDADO UNIDADES'!$A$48:$A$53</c:f>
              <c:strCache>
                <c:ptCount val="6"/>
                <c:pt idx="0">
                  <c:v>Apropiación Definitiva</c:v>
                </c:pt>
                <c:pt idx="1">
                  <c:v>Disponibilidades </c:v>
                </c:pt>
                <c:pt idx="2">
                  <c:v>Compromisos</c:v>
                </c:pt>
                <c:pt idx="3">
                  <c:v>Obligaciones</c:v>
                </c:pt>
                <c:pt idx="4">
                  <c:v>Pagos </c:v>
                </c:pt>
                <c:pt idx="5">
                  <c:v>Disponible</c:v>
                </c:pt>
              </c:strCache>
            </c:strRef>
          </c:cat>
          <c:val>
            <c:numRef>
              <c:f>'CONSOLIDADO UNIDADES'!$C$48:$C$53</c:f>
              <c:numCache>
                <c:formatCode>0%</c:formatCode>
                <c:ptCount val="6"/>
                <c:pt idx="0">
                  <c:v>1</c:v>
                </c:pt>
                <c:pt idx="1">
                  <c:v>0.40443343833038198</c:v>
                </c:pt>
                <c:pt idx="2">
                  <c:v>0.28620068601379206</c:v>
                </c:pt>
                <c:pt idx="3">
                  <c:v>0.12869477668515475</c:v>
                </c:pt>
                <c:pt idx="4">
                  <c:v>0.12869477668515475</c:v>
                </c:pt>
                <c:pt idx="5">
                  <c:v>0.59556656166961797</c:v>
                </c:pt>
              </c:numCache>
            </c:numRef>
          </c:val>
          <c:extLst xmlns:c16r2="http://schemas.microsoft.com/office/drawing/2015/06/chart">
            <c:ext xmlns:c16="http://schemas.microsoft.com/office/drawing/2014/chart" uri="{C3380CC4-5D6E-409C-BE32-E72D297353CC}">
              <c16:uniqueId val="{0000000D-C9A8-4FE7-ACBF-7223D1864A1A}"/>
            </c:ext>
          </c:extLst>
        </c:ser>
        <c:dLbls>
          <c:showLegendKey val="0"/>
          <c:showVal val="0"/>
          <c:showCatName val="0"/>
          <c:showSerName val="0"/>
          <c:showPercent val="0"/>
          <c:showBubbleSize val="0"/>
        </c:dLbls>
        <c:gapWidth val="219"/>
        <c:overlap val="-27"/>
        <c:axId val="846300432"/>
        <c:axId val="846299312"/>
      </c:barChart>
      <c:catAx>
        <c:axId val="84630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6299312"/>
        <c:crosses val="autoZero"/>
        <c:auto val="1"/>
        <c:lblAlgn val="ctr"/>
        <c:lblOffset val="100"/>
        <c:noMultiLvlLbl val="0"/>
      </c:catAx>
      <c:valAx>
        <c:axId val="84629931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63004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effectLst/>
              </a:rPr>
              <a:t>COMPARATIVO  PRESUPUESTO Vs. REGISTROS PRESUPUESTALES </a:t>
            </a:r>
            <a:endParaRPr lang="es-CO">
              <a:effectLst/>
            </a:endParaRPr>
          </a:p>
          <a:p>
            <a:pPr>
              <a:defRPr/>
            </a:pPr>
            <a:r>
              <a:rPr lang="es-CO" sz="1800" b="1">
                <a:effectLst/>
              </a:rPr>
              <a:t>PLAN OPERATIVO ANUAL DE INVERSIONES POAI   CON CORTE AL 31 DE MARZO DE 2023 </a:t>
            </a:r>
          </a:p>
          <a:p>
            <a:pPr>
              <a:defRPr/>
            </a:pPr>
            <a:r>
              <a:rPr lang="es-CO" sz="1800" b="1">
                <a:effectLst/>
              </a:rPr>
              <a:t>POR UNIDADES EJECUTORAS</a:t>
            </a:r>
            <a:endParaRPr lang="es-CO">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'CONSOLIDADO UNIDADES'!$C$2</c:f>
              <c:strCache>
                <c:ptCount val="1"/>
                <c:pt idx="0">
                  <c:v>% AP</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UNIDADES'!$A$3:$A$22</c15:sqref>
                  </c15:fullRef>
                </c:ext>
              </c:extLst>
              <c:f>('CONSOLIDADO UNIDADES'!$A$3:$A$15,'CONSOLIDADO UNIDADES'!$A$17:$A$19,'CONSOLIDADO UNIDADES'!$A$22)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UNIDADES'!$C$3:$C$22</c15:sqref>
                  </c15:fullRef>
                </c:ext>
              </c:extLst>
              <c:f>('CONSOLIDADO UNIDADES'!$C$3:$C$15,'CONSOLIDADO UNIDADES'!$C$17:$C$19,'CONSOLIDADO UNIDADES'!$C$22)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xmlns:c16r2="http://schemas.microsoft.com/office/drawing/2015/06/chart">
            <c:ext xmlns:c16="http://schemas.microsoft.com/office/drawing/2014/chart" uri="{C3380CC4-5D6E-409C-BE32-E72D297353CC}">
              <c16:uniqueId val="{00000000-C3E7-4F40-9D5B-AF38B62F11A9}"/>
            </c:ext>
          </c:extLst>
        </c:ser>
        <c:ser>
          <c:idx val="2"/>
          <c:order val="2"/>
          <c:tx>
            <c:strRef>
              <c:f>'CONSOLIDADO UNIDADES'!$G$2</c:f>
              <c:strCache>
                <c:ptCount val="1"/>
                <c:pt idx="0">
                  <c:v>% RP
COMPROM
APROP DEF</c:v>
                </c:pt>
              </c:strCache>
            </c:strRef>
          </c:tx>
          <c:spPr>
            <a:solidFill>
              <a:srgbClr val="FFC000"/>
            </a:solidFill>
            <a:ln>
              <a:noFill/>
            </a:ln>
            <a:effectLst/>
          </c:spPr>
          <c:invertIfNegative val="0"/>
          <c:dLbls>
            <c:dLbl>
              <c:idx val="0"/>
              <c:layout>
                <c:manualLayout>
                  <c:x val="3.3096929178304886E-3"/>
                  <c:y val="-4.20136445099827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E7-4F40-9D5B-AF38B62F11A9}"/>
                </c:ext>
                <c:ext xmlns:c15="http://schemas.microsoft.com/office/drawing/2012/chart" uri="{CE6537A1-D6FC-4f65-9D91-7224C49458BB}">
                  <c15:layout/>
                </c:ext>
              </c:extLst>
            </c:dLbl>
            <c:dLbl>
              <c:idx val="9"/>
              <c:layout>
                <c:manualLayout>
                  <c:x val="3.3096929178304886E-3"/>
                  <c:y val="-3.57115978334854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E7-4F40-9D5B-AF38B62F11A9}"/>
                </c:ext>
                <c:ext xmlns:c15="http://schemas.microsoft.com/office/drawing/2012/chart" uri="{CE6537A1-D6FC-4f65-9D91-7224C49458BB}">
                  <c15:layout/>
                </c:ext>
              </c:extLst>
            </c:dLbl>
            <c:dLbl>
              <c:idx val="13"/>
              <c:layout>
                <c:manualLayout>
                  <c:x val="6.6193858356610579E-3"/>
                  <c:y val="-3.7812280058984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E7-4F40-9D5B-AF38B62F11A9}"/>
                </c:ext>
                <c:ext xmlns:c15="http://schemas.microsoft.com/office/drawing/2012/chart" uri="{CE6537A1-D6FC-4f65-9D91-7224C49458BB}">
                  <c15:layout/>
                </c:ext>
              </c:extLst>
            </c:dLbl>
            <c:dLbl>
              <c:idx val="14"/>
              <c:layout>
                <c:manualLayout>
                  <c:x val="1.1032309726101627E-3"/>
                  <c:y val="-3.36109156079863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E7-4F40-9D5B-AF38B62F11A9}"/>
                </c:ext>
                <c:ext xmlns:c15="http://schemas.microsoft.com/office/drawing/2012/chart" uri="{CE6537A1-D6FC-4f65-9D91-7224C49458BB}">
                  <c15:layout/>
                </c:ext>
              </c:extLst>
            </c:dLbl>
            <c:dLbl>
              <c:idx val="15"/>
              <c:layout>
                <c:manualLayout>
                  <c:x val="1.1032309726101629E-2"/>
                  <c:y val="-4.20136445099827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E7-4F40-9D5B-AF38B62F11A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UNIDADES'!$A$3:$A$22</c15:sqref>
                  </c15:fullRef>
                </c:ext>
              </c:extLst>
              <c:f>('CONSOLIDADO UNIDADES'!$A$3:$A$15,'CONSOLIDADO UNIDADES'!$A$17:$A$19,'CONSOLIDADO UNIDADES'!$A$22)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UNIDADES'!$G$3:$G$22</c15:sqref>
                  </c15:fullRef>
                </c:ext>
              </c:extLst>
              <c:f>('CONSOLIDADO UNIDADES'!$G$3:$G$15,'CONSOLIDADO UNIDADES'!$G$17:$G$19,'CONSOLIDADO UNIDADES'!$G$22)</c:f>
              <c:numCache>
                <c:formatCode>0%</c:formatCode>
                <c:ptCount val="17"/>
                <c:pt idx="0">
                  <c:v>0.44436481738043987</c:v>
                </c:pt>
                <c:pt idx="1">
                  <c:v>0.29613408734195973</c:v>
                </c:pt>
                <c:pt idx="2">
                  <c:v>0.53758880507146023</c:v>
                </c:pt>
                <c:pt idx="3">
                  <c:v>6.050331017750931E-2</c:v>
                </c:pt>
                <c:pt idx="4">
                  <c:v>0.1687046561642252</c:v>
                </c:pt>
                <c:pt idx="5">
                  <c:v>0.14672351652781823</c:v>
                </c:pt>
                <c:pt idx="6">
                  <c:v>0.35825581201108914</c:v>
                </c:pt>
                <c:pt idx="7">
                  <c:v>0.12967193687412354</c:v>
                </c:pt>
                <c:pt idx="8">
                  <c:v>0.30477230310447362</c:v>
                </c:pt>
                <c:pt idx="9">
                  <c:v>0.27425741764098821</c:v>
                </c:pt>
                <c:pt idx="10">
                  <c:v>0.22699752459716518</c:v>
                </c:pt>
                <c:pt idx="11">
                  <c:v>0.73483740596554836</c:v>
                </c:pt>
                <c:pt idx="12">
                  <c:v>0.45726003262255516</c:v>
                </c:pt>
                <c:pt idx="13">
                  <c:v>0.2532720839696756</c:v>
                </c:pt>
                <c:pt idx="14">
                  <c:v>0.17482433627776836</c:v>
                </c:pt>
                <c:pt idx="15">
                  <c:v>0.51289532352974565</c:v>
                </c:pt>
                <c:pt idx="16">
                  <c:v>0.28620068601379206</c:v>
                </c:pt>
              </c:numCache>
            </c:numRef>
          </c:val>
          <c:extLst xmlns:c16r2="http://schemas.microsoft.com/office/drawing/2015/06/chart">
            <c:ext xmlns:c16="http://schemas.microsoft.com/office/drawing/2014/chart" uri="{C3380CC4-5D6E-409C-BE32-E72D297353CC}">
              <c16:uniqueId val="{00000006-C3E7-4F40-9D5B-AF38B62F11A9}"/>
            </c:ext>
          </c:extLst>
        </c:ser>
        <c:dLbls>
          <c:dLblPos val="outEnd"/>
          <c:showLegendKey val="0"/>
          <c:showVal val="1"/>
          <c:showCatName val="0"/>
          <c:showSerName val="0"/>
          <c:showPercent val="0"/>
          <c:showBubbleSize val="0"/>
        </c:dLbls>
        <c:gapWidth val="219"/>
        <c:overlap val="-27"/>
        <c:axId val="325735984"/>
        <c:axId val="325736544"/>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'CONSOLIDADO UNIDADES'!$E$2</c15:sqref>
                        </c15:formulaRef>
                      </c:ext>
                    </c:extLst>
                    <c:strCache>
                      <c:ptCount val="1"/>
                      <c:pt idx="0">
                        <c:v>% CD
DISPON
/APRO DEF</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'CONSOLIDADO UNIDADES'!$A$3:$A$22</c15:sqref>
                        </c15:fullRef>
                        <c15:formulaRef>
                          <c15:sqref>('CONSOLIDADO UNIDADES'!$A$3:$A$15,'CONSOLIDADO UNIDADES'!$A$17:$A$19,'CONSOLIDADO UNIDADES'!$A$22)</c15:sqref>
                        </c15:formulaRef>
                      </c:ext>
                    </c:extLst>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uri="{02D57815-91ED-43cb-92C2-25804820EDAC}">
                        <c15:fullRef>
                          <c15:sqref>'CONSOLIDADO UNIDADES'!$E$3:$E$22</c15:sqref>
                        </c15:fullRef>
                        <c15:formulaRef>
                          <c15:sqref>('CONSOLIDADO UNIDADES'!$E$3:$E$15,'CONSOLIDADO UNIDADES'!$E$17:$E$19,'CONSOLIDADO UNIDADES'!$E$22)</c15:sqref>
                        </c15:formulaRef>
                      </c:ext>
                    </c:extLst>
                    <c:numCache>
                      <c:formatCode>0%</c:formatCode>
                      <c:ptCount val="17"/>
                      <c:pt idx="0">
                        <c:v>0.45217276355336555</c:v>
                      </c:pt>
                      <c:pt idx="1">
                        <c:v>0.33809332487324567</c:v>
                      </c:pt>
                      <c:pt idx="2">
                        <c:v>0.65925312299275174</c:v>
                      </c:pt>
                      <c:pt idx="3">
                        <c:v>0.43423133686605614</c:v>
                      </c:pt>
                      <c:pt idx="4">
                        <c:v>0.4991674049782564</c:v>
                      </c:pt>
                      <c:pt idx="5">
                        <c:v>0.64348365004756469</c:v>
                      </c:pt>
                      <c:pt idx="6">
                        <c:v>0.6340941109817666</c:v>
                      </c:pt>
                      <c:pt idx="7">
                        <c:v>0.30796309527102306</c:v>
                      </c:pt>
                      <c:pt idx="8">
                        <c:v>0.72034838336614937</c:v>
                      </c:pt>
                      <c:pt idx="9">
                        <c:v>0.29430346411796671</c:v>
                      </c:pt>
                      <c:pt idx="10">
                        <c:v>0.30783641160310732</c:v>
                      </c:pt>
                      <c:pt idx="11">
                        <c:v>0.74276443210380061</c:v>
                      </c:pt>
                      <c:pt idx="12">
                        <c:v>0.63815480104350764</c:v>
                      </c:pt>
                      <c:pt idx="13">
                        <c:v>0.39887007464762458</c:v>
                      </c:pt>
                      <c:pt idx="14">
                        <c:v>0.17482433627776836</c:v>
                      </c:pt>
                      <c:pt idx="15">
                        <c:v>0.51289532352974565</c:v>
                      </c:pt>
                      <c:pt idx="16">
                        <c:v>0.40443343833038198</c:v>
                      </c:pt>
                    </c:numCache>
                  </c:numRef>
                </c:val>
                <c:extLst xmlns:c16r2="http://schemas.microsoft.com/office/drawing/2015/06/chart">
                  <c:ext xmlns:c16="http://schemas.microsoft.com/office/drawing/2014/chart" uri="{C3380CC4-5D6E-409C-BE32-E72D297353CC}">
                    <c16:uniqueId val="{00000007-C3E7-4F40-9D5B-AF38B62F11A9}"/>
                  </c:ext>
                </c:extLst>
              </c15:ser>
            </c15:filteredBarSeries>
          </c:ext>
        </c:extLst>
      </c:barChart>
      <c:catAx>
        <c:axId val="32573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736544"/>
        <c:crosses val="autoZero"/>
        <c:auto val="1"/>
        <c:lblAlgn val="ctr"/>
        <c:lblOffset val="100"/>
        <c:noMultiLvlLbl val="0"/>
      </c:catAx>
      <c:valAx>
        <c:axId val="3257365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735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370683</xdr:colOff>
      <xdr:row>0</xdr:row>
      <xdr:rowOff>404813</xdr:rowOff>
    </xdr:from>
    <xdr:ext cx="1010444" cy="821531"/>
    <xdr:pic>
      <xdr:nvPicPr>
        <xdr:cNvPr id="4" name="Imagen 1" descr="C:\Users\AUXPLANEACION03\Desktop\Gobernacion_del_quindio.jpg">
          <a:extLst>
            <a:ext uri="{FF2B5EF4-FFF2-40B4-BE49-F238E27FC236}">
              <a16:creationId xmlns:a16="http://schemas.microsoft.com/office/drawing/2014/main" xmlns=""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683" y="404813"/>
          <a:ext cx="1010444" cy="82153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276225</xdr:colOff>
      <xdr:row>25</xdr:row>
      <xdr:rowOff>80358</xdr:rowOff>
    </xdr:from>
    <xdr:to>
      <xdr:col>12</xdr:col>
      <xdr:colOff>900792</xdr:colOff>
      <xdr:row>42</xdr:row>
      <xdr:rowOff>57152</xdr:rowOff>
    </xdr:to>
    <xdr:graphicFrame macro="">
      <xdr:nvGraphicFramePr>
        <xdr:cNvPr id="2" name="Gráfico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326571</xdr:colOff>
      <xdr:row>42</xdr:row>
      <xdr:rowOff>159202</xdr:rowOff>
    </xdr:from>
    <xdr:to>
      <xdr:col>12</xdr:col>
      <xdr:colOff>1455964</xdr:colOff>
      <xdr:row>58</xdr:row>
      <xdr:rowOff>27214</xdr:rowOff>
    </xdr:to>
    <xdr:graphicFrame macro="">
      <xdr:nvGraphicFramePr>
        <xdr:cNvPr id="3" name="Gráfico 2">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340179</xdr:colOff>
      <xdr:row>60</xdr:row>
      <xdr:rowOff>145596</xdr:rowOff>
    </xdr:from>
    <xdr:to>
      <xdr:col>13</xdr:col>
      <xdr:colOff>40821</xdr:colOff>
      <xdr:row>80</xdr:row>
      <xdr:rowOff>40822</xdr:rowOff>
    </xdr:to>
    <xdr:graphicFrame macro="">
      <xdr:nvGraphicFramePr>
        <xdr:cNvPr id="4" name="Gráfico 3">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54429</xdr:colOff>
      <xdr:row>0</xdr:row>
      <xdr:rowOff>853166</xdr:rowOff>
    </xdr:from>
    <xdr:to>
      <xdr:col>31</xdr:col>
      <xdr:colOff>353785</xdr:colOff>
      <xdr:row>30</xdr:row>
      <xdr:rowOff>81643</xdr:rowOff>
    </xdr:to>
    <xdr:graphicFrame macro="">
      <xdr:nvGraphicFramePr>
        <xdr:cNvPr id="5" name="Gráfico 4">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2023/Ejecuciones%202023/MARZO%202023/AVANCE%20POAI%20MARZ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MARZO"/>
      <sheetName val="CONSOLIDADO SECRETARIAS"/>
      <sheetName val="REGISTROS"/>
    </sheetNames>
    <sheetDataSet>
      <sheetData sheetId="0">
        <row r="1046">
          <cell r="Y1046">
            <v>13438989039</v>
          </cell>
        </row>
        <row r="1235">
          <cell r="Y1235">
            <v>2320305106.4299998</v>
          </cell>
        </row>
        <row r="1435">
          <cell r="Y1435">
            <v>546216330</v>
          </cell>
        </row>
        <row r="1518">
          <cell r="Y1518">
            <v>808474500</v>
          </cell>
        </row>
        <row r="1663">
          <cell r="Y1663">
            <v>590912074</v>
          </cell>
        </row>
        <row r="1840">
          <cell r="Y1840">
            <v>3183367768</v>
          </cell>
        </row>
        <row r="1995">
          <cell r="Y1995">
            <v>32906345352.189999</v>
          </cell>
        </row>
        <row r="2177">
          <cell r="Y2177">
            <v>4521709196.21</v>
          </cell>
        </row>
        <row r="2333">
          <cell r="Y2333">
            <v>8235379975.04</v>
          </cell>
        </row>
        <row r="2391">
          <cell r="Y2391">
            <v>35074003113</v>
          </cell>
        </row>
        <row r="2414">
          <cell r="Y2414">
            <v>2075063901.0999999</v>
          </cell>
        </row>
        <row r="2435">
          <cell r="Y2435">
            <v>1827361016</v>
          </cell>
        </row>
        <row r="2593">
          <cell r="Y2593">
            <v>76573333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BY306"/>
  <sheetViews>
    <sheetView showGridLines="0" tabSelected="1" topLeftCell="Q1" zoomScale="70" zoomScaleNormal="70" workbookViewId="0">
      <selection activeCell="X22" sqref="X22"/>
    </sheetView>
  </sheetViews>
  <sheetFormatPr baseColWidth="10" defaultColWidth="11.42578125" defaultRowHeight="15"/>
  <cols>
    <col min="1" max="1" width="11.85546875" style="361" customWidth="1"/>
    <col min="2" max="2" width="18" style="8" customWidth="1"/>
    <col min="3" max="3" width="10.42578125" style="362" customWidth="1"/>
    <col min="4" max="4" width="26" style="126" customWidth="1"/>
    <col min="5" max="5" width="12.5703125" style="7" customWidth="1"/>
    <col min="6" max="6" width="17.85546875" style="126" customWidth="1"/>
    <col min="7" max="7" width="14.5703125" style="7" customWidth="1"/>
    <col min="8" max="8" width="43" style="8" customWidth="1"/>
    <col min="9" max="9" width="17" style="8" customWidth="1"/>
    <col min="10" max="10" width="35.7109375" style="8" customWidth="1"/>
    <col min="11" max="11" width="52" style="126" customWidth="1"/>
    <col min="12" max="12" width="14.42578125" style="7" customWidth="1"/>
    <col min="13" max="13" width="36.42578125" style="126" customWidth="1"/>
    <col min="14" max="14" width="19.7109375" style="5" customWidth="1"/>
    <col min="15" max="15" width="32.85546875" style="126" customWidth="1"/>
    <col min="16" max="16" width="12.7109375" style="126" customWidth="1"/>
    <col min="17" max="17" width="35.85546875" style="8" customWidth="1"/>
    <col min="18" max="18" width="20.42578125" style="7" customWidth="1"/>
    <col min="19" max="19" width="41.28515625" style="8" customWidth="1"/>
    <col min="20" max="20" width="16.42578125" style="363" customWidth="1"/>
    <col min="21" max="24" width="16.42578125" style="7" customWidth="1"/>
    <col min="25" max="25" width="17" style="364" customWidth="1"/>
    <col min="26" max="26" width="50.5703125" style="8" customWidth="1"/>
    <col min="27" max="27" width="66.28515625" style="8" customWidth="1"/>
    <col min="28" max="39" width="23.42578125" style="1" customWidth="1"/>
    <col min="40" max="40" width="26" style="2" customWidth="1"/>
    <col min="41" max="42" width="23.42578125" style="2" customWidth="1"/>
    <col min="43" max="45" width="23.42578125" style="1" customWidth="1"/>
    <col min="46" max="48" width="23.42578125" style="365" customWidth="1"/>
    <col min="49" max="54" width="23.42578125" style="1" customWidth="1"/>
    <col min="55" max="55" width="26.28515625" style="1" customWidth="1"/>
    <col min="56" max="57" width="23.42578125" style="1" customWidth="1"/>
    <col min="58" max="58" width="27.42578125" style="2" customWidth="1"/>
    <col min="59" max="59" width="27.7109375" style="2" customWidth="1"/>
    <col min="60" max="60" width="23.42578125" style="2" customWidth="1"/>
    <col min="61" max="61" width="29.85546875" style="366" customWidth="1"/>
    <col min="62" max="62" width="11.42578125" style="1"/>
    <col min="63" max="63" width="30.7109375" style="1" customWidth="1"/>
    <col min="64" max="16384" width="11.42578125" style="1"/>
  </cols>
  <sheetData>
    <row r="1" spans="1:62" ht="38.25" customHeight="1">
      <c r="A1" s="8"/>
      <c r="C1" s="477" t="s">
        <v>16</v>
      </c>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371"/>
      <c r="BG1" s="367"/>
      <c r="BH1" s="367" t="s">
        <v>17</v>
      </c>
      <c r="BI1" s="264" t="s">
        <v>1473</v>
      </c>
    </row>
    <row r="2" spans="1:62" ht="38.25" customHeight="1">
      <c r="A2" s="8"/>
      <c r="C2" s="490" t="s">
        <v>1469</v>
      </c>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373"/>
      <c r="BG2" s="374"/>
      <c r="BH2" s="368" t="s">
        <v>18</v>
      </c>
      <c r="BI2" s="265">
        <v>4</v>
      </c>
    </row>
    <row r="3" spans="1:62" ht="38.25" customHeight="1">
      <c r="A3" s="8"/>
      <c r="C3" s="492" t="s">
        <v>1470</v>
      </c>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370"/>
      <c r="BG3" s="375"/>
      <c r="BH3" s="369" t="s">
        <v>19</v>
      </c>
      <c r="BI3" s="266">
        <v>44718</v>
      </c>
    </row>
    <row r="4" spans="1:62" ht="38.25" customHeight="1">
      <c r="A4" s="8"/>
      <c r="C4" s="488" t="s">
        <v>1471</v>
      </c>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376"/>
      <c r="BG4" s="377"/>
      <c r="BH4" s="367" t="s">
        <v>20</v>
      </c>
      <c r="BI4" s="267" t="s">
        <v>21</v>
      </c>
    </row>
    <row r="5" spans="1:62" s="128" customFormat="1" ht="38.25" customHeight="1">
      <c r="A5" s="479" t="s">
        <v>22</v>
      </c>
      <c r="B5" s="480"/>
      <c r="C5" s="481" t="s">
        <v>23</v>
      </c>
      <c r="D5" s="481"/>
      <c r="E5" s="481" t="s">
        <v>24</v>
      </c>
      <c r="F5" s="481"/>
      <c r="G5" s="482" t="s">
        <v>25</v>
      </c>
      <c r="H5" s="483"/>
      <c r="I5" s="483"/>
      <c r="J5" s="483"/>
      <c r="K5" s="484"/>
      <c r="L5" s="482" t="s">
        <v>26</v>
      </c>
      <c r="M5" s="483"/>
      <c r="N5" s="483"/>
      <c r="O5" s="484"/>
      <c r="P5" s="482" t="s">
        <v>27</v>
      </c>
      <c r="Q5" s="483"/>
      <c r="R5" s="483"/>
      <c r="S5" s="484"/>
      <c r="T5" s="482" t="s">
        <v>28</v>
      </c>
      <c r="U5" s="483"/>
      <c r="V5" s="483"/>
      <c r="W5" s="484"/>
      <c r="X5" s="372"/>
      <c r="Y5" s="481" t="s">
        <v>29</v>
      </c>
      <c r="Z5" s="481"/>
      <c r="AA5" s="481"/>
      <c r="AB5" s="485" t="s">
        <v>1474</v>
      </c>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7"/>
      <c r="BF5" s="495" t="s">
        <v>57</v>
      </c>
      <c r="BG5" s="496"/>
      <c r="BH5" s="497"/>
      <c r="BI5" s="472" t="s">
        <v>1472</v>
      </c>
    </row>
    <row r="6" spans="1:62" s="3" customFormat="1" ht="59.25" customHeight="1">
      <c r="A6" s="468" t="s">
        <v>30</v>
      </c>
      <c r="B6" s="474" t="s">
        <v>31</v>
      </c>
      <c r="C6" s="472" t="s">
        <v>30</v>
      </c>
      <c r="D6" s="472" t="s">
        <v>31</v>
      </c>
      <c r="E6" s="474" t="s">
        <v>30</v>
      </c>
      <c r="F6" s="474" t="s">
        <v>31</v>
      </c>
      <c r="G6" s="472" t="s">
        <v>32</v>
      </c>
      <c r="H6" s="472" t="s">
        <v>33</v>
      </c>
      <c r="I6" s="472" t="s">
        <v>34</v>
      </c>
      <c r="J6" s="472" t="s">
        <v>35</v>
      </c>
      <c r="K6" s="470" t="s">
        <v>36</v>
      </c>
      <c r="L6" s="472" t="s">
        <v>37</v>
      </c>
      <c r="M6" s="472" t="s">
        <v>38</v>
      </c>
      <c r="N6" s="472" t="s">
        <v>39</v>
      </c>
      <c r="O6" s="472" t="s">
        <v>40</v>
      </c>
      <c r="P6" s="470" t="s">
        <v>37</v>
      </c>
      <c r="Q6" s="470" t="s">
        <v>41</v>
      </c>
      <c r="R6" s="470" t="s">
        <v>42</v>
      </c>
      <c r="S6" s="470" t="s">
        <v>43</v>
      </c>
      <c r="T6" s="472" t="s">
        <v>44</v>
      </c>
      <c r="U6" s="472" t="s">
        <v>45</v>
      </c>
      <c r="V6" s="472" t="s">
        <v>46</v>
      </c>
      <c r="W6" s="472" t="s">
        <v>47</v>
      </c>
      <c r="X6" s="472" t="s">
        <v>1520</v>
      </c>
      <c r="Y6" s="501" t="s">
        <v>48</v>
      </c>
      <c r="Z6" s="470" t="s">
        <v>49</v>
      </c>
      <c r="AA6" s="470" t="s">
        <v>50</v>
      </c>
      <c r="AB6" s="476" t="s">
        <v>1522</v>
      </c>
      <c r="AC6" s="476"/>
      <c r="AD6" s="476"/>
      <c r="AE6" s="476" t="s">
        <v>1518</v>
      </c>
      <c r="AF6" s="476"/>
      <c r="AG6" s="476"/>
      <c r="AH6" s="476" t="s">
        <v>51</v>
      </c>
      <c r="AI6" s="476"/>
      <c r="AJ6" s="476"/>
      <c r="AK6" s="476" t="s">
        <v>52</v>
      </c>
      <c r="AL6" s="476"/>
      <c r="AM6" s="476"/>
      <c r="AN6" s="476" t="s">
        <v>1468</v>
      </c>
      <c r="AO6" s="476"/>
      <c r="AP6" s="476"/>
      <c r="AQ6" s="476" t="s">
        <v>53</v>
      </c>
      <c r="AR6" s="476"/>
      <c r="AS6" s="476"/>
      <c r="AT6" s="476" t="s">
        <v>54</v>
      </c>
      <c r="AU6" s="476"/>
      <c r="AV6" s="476"/>
      <c r="AW6" s="476" t="s">
        <v>55</v>
      </c>
      <c r="AX6" s="476"/>
      <c r="AY6" s="476"/>
      <c r="AZ6" s="476" t="s">
        <v>1430</v>
      </c>
      <c r="BA6" s="476"/>
      <c r="BB6" s="476"/>
      <c r="BC6" s="476" t="s">
        <v>56</v>
      </c>
      <c r="BD6" s="476"/>
      <c r="BE6" s="476"/>
      <c r="BF6" s="498"/>
      <c r="BG6" s="499"/>
      <c r="BH6" s="500"/>
      <c r="BI6" s="494"/>
    </row>
    <row r="7" spans="1:62" s="3" customFormat="1" ht="33.75" customHeight="1">
      <c r="A7" s="469"/>
      <c r="B7" s="475"/>
      <c r="C7" s="473"/>
      <c r="D7" s="473"/>
      <c r="E7" s="475"/>
      <c r="F7" s="475"/>
      <c r="G7" s="473"/>
      <c r="H7" s="473"/>
      <c r="I7" s="473"/>
      <c r="J7" s="473"/>
      <c r="K7" s="471"/>
      <c r="L7" s="473"/>
      <c r="M7" s="473"/>
      <c r="N7" s="473"/>
      <c r="O7" s="473"/>
      <c r="P7" s="471"/>
      <c r="Q7" s="471"/>
      <c r="R7" s="471"/>
      <c r="S7" s="471"/>
      <c r="T7" s="473"/>
      <c r="U7" s="473"/>
      <c r="V7" s="473"/>
      <c r="W7" s="473"/>
      <c r="X7" s="473"/>
      <c r="Y7" s="502"/>
      <c r="Z7" s="471"/>
      <c r="AA7" s="471"/>
      <c r="AB7" s="127" t="s">
        <v>1314</v>
      </c>
      <c r="AC7" s="127" t="s">
        <v>1466</v>
      </c>
      <c r="AD7" s="127" t="s">
        <v>1467</v>
      </c>
      <c r="AE7" s="127" t="s">
        <v>1314</v>
      </c>
      <c r="AF7" s="127" t="s">
        <v>1466</v>
      </c>
      <c r="AG7" s="127" t="s">
        <v>1467</v>
      </c>
      <c r="AH7" s="127" t="s">
        <v>1314</v>
      </c>
      <c r="AI7" s="127" t="s">
        <v>1466</v>
      </c>
      <c r="AJ7" s="127" t="s">
        <v>1467</v>
      </c>
      <c r="AK7" s="127" t="s">
        <v>1314</v>
      </c>
      <c r="AL7" s="127" t="s">
        <v>1466</v>
      </c>
      <c r="AM7" s="127" t="s">
        <v>1467</v>
      </c>
      <c r="AN7" s="127" t="s">
        <v>1314</v>
      </c>
      <c r="AO7" s="127" t="s">
        <v>1466</v>
      </c>
      <c r="AP7" s="127" t="s">
        <v>1467</v>
      </c>
      <c r="AQ7" s="127" t="s">
        <v>1314</v>
      </c>
      <c r="AR7" s="127" t="s">
        <v>1466</v>
      </c>
      <c r="AS7" s="127" t="s">
        <v>1467</v>
      </c>
      <c r="AT7" s="127" t="s">
        <v>1314</v>
      </c>
      <c r="AU7" s="127" t="s">
        <v>1466</v>
      </c>
      <c r="AV7" s="127" t="s">
        <v>1467</v>
      </c>
      <c r="AW7" s="127" t="s">
        <v>1314</v>
      </c>
      <c r="AX7" s="127" t="s">
        <v>1466</v>
      </c>
      <c r="AY7" s="127" t="s">
        <v>1467</v>
      </c>
      <c r="AZ7" s="127" t="s">
        <v>1314</v>
      </c>
      <c r="BA7" s="127" t="s">
        <v>1466</v>
      </c>
      <c r="BB7" s="127" t="s">
        <v>1467</v>
      </c>
      <c r="BC7" s="127" t="s">
        <v>1314</v>
      </c>
      <c r="BD7" s="127" t="s">
        <v>1466</v>
      </c>
      <c r="BE7" s="127" t="s">
        <v>1467</v>
      </c>
      <c r="BF7" s="127" t="s">
        <v>1314</v>
      </c>
      <c r="BG7" s="127" t="s">
        <v>1466</v>
      </c>
      <c r="BH7" s="127" t="s">
        <v>1467</v>
      </c>
      <c r="BI7" s="473"/>
    </row>
    <row r="8" spans="1:62" s="151" customFormat="1" ht="144" customHeight="1">
      <c r="A8" s="139">
        <v>304</v>
      </c>
      <c r="B8" s="140" t="s">
        <v>58</v>
      </c>
      <c r="C8" s="139">
        <v>4</v>
      </c>
      <c r="D8" s="140" t="s">
        <v>59</v>
      </c>
      <c r="E8" s="139">
        <v>45</v>
      </c>
      <c r="F8" s="140" t="s">
        <v>60</v>
      </c>
      <c r="G8" s="139" t="s">
        <v>61</v>
      </c>
      <c r="H8" s="140" t="s">
        <v>62</v>
      </c>
      <c r="I8" s="139">
        <v>4599</v>
      </c>
      <c r="J8" s="140" t="s">
        <v>63</v>
      </c>
      <c r="K8" s="140" t="s">
        <v>64</v>
      </c>
      <c r="L8" s="139" t="s">
        <v>61</v>
      </c>
      <c r="M8" s="140" t="s">
        <v>65</v>
      </c>
      <c r="N8" s="139">
        <v>4599023</v>
      </c>
      <c r="O8" s="140" t="s">
        <v>66</v>
      </c>
      <c r="P8" s="139" t="s">
        <v>61</v>
      </c>
      <c r="Q8" s="142" t="s">
        <v>67</v>
      </c>
      <c r="R8" s="146">
        <v>459902300</v>
      </c>
      <c r="S8" s="142" t="s">
        <v>68</v>
      </c>
      <c r="T8" s="143" t="s">
        <v>69</v>
      </c>
      <c r="U8" s="137">
        <v>5</v>
      </c>
      <c r="V8" s="137"/>
      <c r="W8" s="137">
        <f>U8+V8</f>
        <v>5</v>
      </c>
      <c r="X8" s="137">
        <v>4</v>
      </c>
      <c r="Y8" s="146">
        <v>2020003630006</v>
      </c>
      <c r="Z8" s="140" t="s">
        <v>70</v>
      </c>
      <c r="AA8" s="140" t="s">
        <v>71</v>
      </c>
      <c r="AB8" s="130"/>
      <c r="AC8" s="130"/>
      <c r="AD8" s="130"/>
      <c r="AE8" s="130"/>
      <c r="AF8" s="130"/>
      <c r="AG8" s="130"/>
      <c r="AH8" s="130"/>
      <c r="AI8" s="130"/>
      <c r="AJ8" s="130"/>
      <c r="AK8" s="130"/>
      <c r="AL8" s="130"/>
      <c r="AM8" s="130"/>
      <c r="AN8" s="130"/>
      <c r="AO8" s="130"/>
      <c r="AP8" s="130"/>
      <c r="AQ8" s="130"/>
      <c r="AR8" s="130"/>
      <c r="AS8" s="130"/>
      <c r="AT8" s="148">
        <f>53585000+306331000+306331000</f>
        <v>666247000</v>
      </c>
      <c r="AU8" s="148">
        <v>347101000</v>
      </c>
      <c r="AV8" s="148">
        <v>111685000</v>
      </c>
      <c r="AW8" s="130"/>
      <c r="AX8" s="130"/>
      <c r="AY8" s="130"/>
      <c r="AZ8" s="130"/>
      <c r="BA8" s="130"/>
      <c r="BB8" s="130"/>
      <c r="BC8" s="130"/>
      <c r="BD8" s="130"/>
      <c r="BE8" s="130"/>
      <c r="BF8" s="138">
        <f t="shared" ref="BF8:BF71" si="0">AB8+AE8+AH8+AK8+AN8+AQ8+AT8+AW8+BC8+AZ8</f>
        <v>666247000</v>
      </c>
      <c r="BG8" s="138">
        <f t="shared" ref="BG8:BG71" si="1">AC8+AF8+AI8+AL8+AO8+AR8+AU8+AX8+BD8+BA8</f>
        <v>347101000</v>
      </c>
      <c r="BH8" s="138">
        <f t="shared" ref="BH8:BH71" si="2">AD8+AG8+AJ8+AM8+AP8+AS8+AV8+AY8+BE8+BB8</f>
        <v>111685000</v>
      </c>
      <c r="BI8" s="268" t="s">
        <v>0</v>
      </c>
    </row>
    <row r="9" spans="1:62" s="151" customFormat="1" ht="120" customHeight="1">
      <c r="A9" s="139">
        <v>304</v>
      </c>
      <c r="B9" s="140" t="s">
        <v>58</v>
      </c>
      <c r="C9" s="139">
        <v>4</v>
      </c>
      <c r="D9" s="140" t="s">
        <v>59</v>
      </c>
      <c r="E9" s="139">
        <v>45</v>
      </c>
      <c r="F9" s="140" t="s">
        <v>60</v>
      </c>
      <c r="G9" s="139" t="s">
        <v>61</v>
      </c>
      <c r="H9" s="140" t="s">
        <v>62</v>
      </c>
      <c r="I9" s="139">
        <v>4599</v>
      </c>
      <c r="J9" s="140" t="s">
        <v>63</v>
      </c>
      <c r="K9" s="140" t="s">
        <v>64</v>
      </c>
      <c r="L9" s="139" t="s">
        <v>61</v>
      </c>
      <c r="M9" s="140" t="s">
        <v>72</v>
      </c>
      <c r="N9" s="139">
        <v>4599002</v>
      </c>
      <c r="O9" s="140" t="s">
        <v>73</v>
      </c>
      <c r="P9" s="139" t="s">
        <v>61</v>
      </c>
      <c r="Q9" s="142" t="s">
        <v>74</v>
      </c>
      <c r="R9" s="146">
        <v>459900200</v>
      </c>
      <c r="S9" s="142" t="s">
        <v>75</v>
      </c>
      <c r="T9" s="143" t="s">
        <v>69</v>
      </c>
      <c r="U9" s="137">
        <v>4</v>
      </c>
      <c r="V9" s="137"/>
      <c r="W9" s="137">
        <f t="shared" ref="W9:W25" si="3">U9+V9</f>
        <v>4</v>
      </c>
      <c r="X9" s="137">
        <v>4</v>
      </c>
      <c r="Y9" s="146">
        <v>2020003630007</v>
      </c>
      <c r="Z9" s="140" t="s">
        <v>76</v>
      </c>
      <c r="AA9" s="140" t="s">
        <v>77</v>
      </c>
      <c r="AB9" s="130"/>
      <c r="AC9" s="130"/>
      <c r="AD9" s="130"/>
      <c r="AE9" s="130"/>
      <c r="AF9" s="130"/>
      <c r="AG9" s="130"/>
      <c r="AH9" s="130"/>
      <c r="AI9" s="130"/>
      <c r="AJ9" s="130"/>
      <c r="AK9" s="130"/>
      <c r="AL9" s="130"/>
      <c r="AM9" s="130"/>
      <c r="AN9" s="130"/>
      <c r="AO9" s="130"/>
      <c r="AP9" s="130"/>
      <c r="AQ9" s="130"/>
      <c r="AR9" s="130"/>
      <c r="AS9" s="130"/>
      <c r="AT9" s="138">
        <f>52629202+178132000+169053000</f>
        <v>399814202</v>
      </c>
      <c r="AU9" s="138">
        <v>216948000</v>
      </c>
      <c r="AV9" s="138">
        <v>72041000</v>
      </c>
      <c r="AW9" s="130"/>
      <c r="AX9" s="130"/>
      <c r="AY9" s="130"/>
      <c r="AZ9" s="130"/>
      <c r="BA9" s="130"/>
      <c r="BB9" s="130"/>
      <c r="BC9" s="130"/>
      <c r="BD9" s="130"/>
      <c r="BE9" s="130"/>
      <c r="BF9" s="138">
        <f t="shared" si="0"/>
        <v>399814202</v>
      </c>
      <c r="BG9" s="138">
        <f t="shared" si="1"/>
        <v>216948000</v>
      </c>
      <c r="BH9" s="138">
        <f t="shared" si="2"/>
        <v>72041000</v>
      </c>
      <c r="BI9" s="268" t="s">
        <v>0</v>
      </c>
    </row>
    <row r="10" spans="1:62" s="151" customFormat="1" ht="84.75" customHeight="1">
      <c r="A10" s="139">
        <v>304</v>
      </c>
      <c r="B10" s="140" t="s">
        <v>58</v>
      </c>
      <c r="C10" s="139">
        <v>4</v>
      </c>
      <c r="D10" s="140" t="s">
        <v>59</v>
      </c>
      <c r="E10" s="139">
        <v>45</v>
      </c>
      <c r="F10" s="140" t="s">
        <v>60</v>
      </c>
      <c r="G10" s="139">
        <v>4502</v>
      </c>
      <c r="H10" s="140" t="s">
        <v>78</v>
      </c>
      <c r="I10" s="139">
        <v>4502</v>
      </c>
      <c r="J10" s="140" t="s">
        <v>79</v>
      </c>
      <c r="K10" s="140" t="s">
        <v>80</v>
      </c>
      <c r="L10" s="139" t="s">
        <v>61</v>
      </c>
      <c r="M10" s="140" t="s">
        <v>81</v>
      </c>
      <c r="N10" s="139">
        <v>4502033</v>
      </c>
      <c r="O10" s="140" t="s">
        <v>82</v>
      </c>
      <c r="P10" s="139" t="s">
        <v>61</v>
      </c>
      <c r="Q10" s="142" t="s">
        <v>83</v>
      </c>
      <c r="R10" s="144">
        <v>450203300</v>
      </c>
      <c r="S10" s="142" t="s">
        <v>84</v>
      </c>
      <c r="T10" s="143" t="s">
        <v>69</v>
      </c>
      <c r="U10" s="137">
        <v>1</v>
      </c>
      <c r="V10" s="137"/>
      <c r="W10" s="137">
        <f t="shared" si="3"/>
        <v>1</v>
      </c>
      <c r="X10" s="137">
        <v>1</v>
      </c>
      <c r="Y10" s="146">
        <v>2020003630005</v>
      </c>
      <c r="Z10" s="140" t="s">
        <v>85</v>
      </c>
      <c r="AA10" s="140" t="s">
        <v>86</v>
      </c>
      <c r="AB10" s="130"/>
      <c r="AC10" s="130"/>
      <c r="AD10" s="130"/>
      <c r="AE10" s="130"/>
      <c r="AF10" s="130"/>
      <c r="AG10" s="130"/>
      <c r="AH10" s="130"/>
      <c r="AI10" s="130"/>
      <c r="AJ10" s="130"/>
      <c r="AK10" s="130"/>
      <c r="AL10" s="130"/>
      <c r="AM10" s="130"/>
      <c r="AN10" s="130"/>
      <c r="AO10" s="130"/>
      <c r="AP10" s="130"/>
      <c r="AQ10" s="130"/>
      <c r="AR10" s="130"/>
      <c r="AS10" s="130"/>
      <c r="AT10" s="131">
        <f>43295000+15537000+24616000</f>
        <v>83448000</v>
      </c>
      <c r="AU10" s="131">
        <v>46524000</v>
      </c>
      <c r="AV10" s="131">
        <v>25916000</v>
      </c>
      <c r="AW10" s="130"/>
      <c r="AX10" s="130"/>
      <c r="AY10" s="130"/>
      <c r="AZ10" s="130"/>
      <c r="BA10" s="130"/>
      <c r="BB10" s="130"/>
      <c r="BC10" s="130"/>
      <c r="BD10" s="130"/>
      <c r="BE10" s="130"/>
      <c r="BF10" s="138">
        <f t="shared" si="0"/>
        <v>83448000</v>
      </c>
      <c r="BG10" s="138">
        <f t="shared" si="1"/>
        <v>46524000</v>
      </c>
      <c r="BH10" s="138">
        <f t="shared" si="2"/>
        <v>25916000</v>
      </c>
      <c r="BI10" s="268" t="s">
        <v>0</v>
      </c>
    </row>
    <row r="11" spans="1:62" s="151" customFormat="1" ht="72.75" customHeight="1">
      <c r="A11" s="146">
        <v>304</v>
      </c>
      <c r="B11" s="257" t="s">
        <v>58</v>
      </c>
      <c r="C11" s="146">
        <v>4</v>
      </c>
      <c r="D11" s="141" t="s">
        <v>59</v>
      </c>
      <c r="E11" s="146">
        <v>45</v>
      </c>
      <c r="F11" s="141" t="s">
        <v>60</v>
      </c>
      <c r="G11" s="143" t="s">
        <v>61</v>
      </c>
      <c r="H11" s="141" t="s">
        <v>62</v>
      </c>
      <c r="I11" s="146">
        <v>4599</v>
      </c>
      <c r="J11" s="141" t="s">
        <v>63</v>
      </c>
      <c r="K11" s="141" t="s">
        <v>64</v>
      </c>
      <c r="L11" s="143" t="s">
        <v>61</v>
      </c>
      <c r="M11" s="141" t="s">
        <v>65</v>
      </c>
      <c r="N11" s="146">
        <v>4599023</v>
      </c>
      <c r="O11" s="141" t="s">
        <v>66</v>
      </c>
      <c r="P11" s="143" t="s">
        <v>61</v>
      </c>
      <c r="Q11" s="142" t="s">
        <v>67</v>
      </c>
      <c r="R11" s="146">
        <v>459902300</v>
      </c>
      <c r="S11" s="142" t="s">
        <v>68</v>
      </c>
      <c r="T11" s="143" t="s">
        <v>69</v>
      </c>
      <c r="U11" s="129">
        <v>1</v>
      </c>
      <c r="V11" s="133"/>
      <c r="W11" s="129">
        <f t="shared" ref="W11" si="4">SUM(U11:V11)</f>
        <v>1</v>
      </c>
      <c r="X11" s="129"/>
      <c r="Y11" s="146">
        <v>2022003630011</v>
      </c>
      <c r="Z11" s="141" t="s">
        <v>1431</v>
      </c>
      <c r="AA11" s="141" t="s">
        <v>1432</v>
      </c>
      <c r="AB11" s="130"/>
      <c r="AC11" s="130"/>
      <c r="AD11" s="130"/>
      <c r="AE11" s="130"/>
      <c r="AF11" s="130"/>
      <c r="AG11" s="130"/>
      <c r="AH11" s="130"/>
      <c r="AI11" s="130"/>
      <c r="AJ11" s="130"/>
      <c r="AK11" s="130"/>
      <c r="AL11" s="130"/>
      <c r="AM11" s="130"/>
      <c r="AN11" s="130"/>
      <c r="AO11" s="130"/>
      <c r="AP11" s="130"/>
      <c r="AQ11" s="130"/>
      <c r="AR11" s="130"/>
      <c r="AS11" s="130"/>
      <c r="AT11" s="131"/>
      <c r="AU11" s="131"/>
      <c r="AV11" s="131"/>
      <c r="AW11" s="130"/>
      <c r="AX11" s="130"/>
      <c r="AY11" s="130"/>
      <c r="AZ11" s="130">
        <v>9400000000</v>
      </c>
      <c r="BA11" s="130">
        <v>4077257730</v>
      </c>
      <c r="BB11" s="130"/>
      <c r="BC11" s="258"/>
      <c r="BD11" s="258"/>
      <c r="BE11" s="258"/>
      <c r="BF11" s="138">
        <f t="shared" si="0"/>
        <v>9400000000</v>
      </c>
      <c r="BG11" s="138">
        <f t="shared" si="1"/>
        <v>4077257730</v>
      </c>
      <c r="BH11" s="138">
        <f t="shared" si="2"/>
        <v>0</v>
      </c>
      <c r="BI11" s="268" t="s">
        <v>0</v>
      </c>
      <c r="BJ11" s="259"/>
    </row>
    <row r="12" spans="1:62" s="151" customFormat="1" ht="63.75">
      <c r="A12" s="146">
        <v>305</v>
      </c>
      <c r="B12" s="261" t="s">
        <v>87</v>
      </c>
      <c r="C12" s="146">
        <v>4</v>
      </c>
      <c r="D12" s="261" t="s">
        <v>59</v>
      </c>
      <c r="E12" s="146">
        <v>45</v>
      </c>
      <c r="F12" s="261" t="s">
        <v>60</v>
      </c>
      <c r="G12" s="146">
        <v>4502</v>
      </c>
      <c r="H12" s="261" t="s">
        <v>78</v>
      </c>
      <c r="I12" s="146">
        <v>4502</v>
      </c>
      <c r="J12" s="261" t="s">
        <v>79</v>
      </c>
      <c r="K12" s="261" t="s">
        <v>88</v>
      </c>
      <c r="L12" s="146" t="s">
        <v>61</v>
      </c>
      <c r="M12" s="269" t="s">
        <v>89</v>
      </c>
      <c r="N12" s="146">
        <v>4502001</v>
      </c>
      <c r="O12" s="261" t="s">
        <v>90</v>
      </c>
      <c r="P12" s="146" t="s">
        <v>61</v>
      </c>
      <c r="Q12" s="270" t="s">
        <v>91</v>
      </c>
      <c r="R12" s="271" t="s">
        <v>1426</v>
      </c>
      <c r="S12" s="261" t="s">
        <v>92</v>
      </c>
      <c r="T12" s="146" t="s">
        <v>69</v>
      </c>
      <c r="U12" s="146">
        <v>1</v>
      </c>
      <c r="V12" s="272"/>
      <c r="W12" s="137">
        <f t="shared" si="3"/>
        <v>1</v>
      </c>
      <c r="X12" s="137"/>
      <c r="Y12" s="146">
        <v>2020003630042</v>
      </c>
      <c r="Z12" s="261" t="s">
        <v>93</v>
      </c>
      <c r="AA12" s="261" t="s">
        <v>94</v>
      </c>
      <c r="AB12" s="273"/>
      <c r="AC12" s="273"/>
      <c r="AD12" s="273"/>
      <c r="AE12" s="273"/>
      <c r="AF12" s="273"/>
      <c r="AG12" s="273"/>
      <c r="AH12" s="273"/>
      <c r="AI12" s="273"/>
      <c r="AJ12" s="273"/>
      <c r="AK12" s="273"/>
      <c r="AL12" s="273"/>
      <c r="AM12" s="273"/>
      <c r="AN12" s="273"/>
      <c r="AO12" s="273"/>
      <c r="AP12" s="273"/>
      <c r="AQ12" s="273"/>
      <c r="AR12" s="273"/>
      <c r="AS12" s="273"/>
      <c r="AT12" s="136">
        <v>140000000</v>
      </c>
      <c r="AU12" s="136"/>
      <c r="AV12" s="136"/>
      <c r="AW12" s="273"/>
      <c r="AX12" s="273"/>
      <c r="AY12" s="273"/>
      <c r="AZ12" s="273"/>
      <c r="BA12" s="273"/>
      <c r="BB12" s="273"/>
      <c r="BC12" s="273"/>
      <c r="BD12" s="273"/>
      <c r="BE12" s="273"/>
      <c r="BF12" s="138">
        <f t="shared" si="0"/>
        <v>140000000</v>
      </c>
      <c r="BG12" s="138">
        <f t="shared" si="1"/>
        <v>0</v>
      </c>
      <c r="BH12" s="138">
        <f t="shared" si="2"/>
        <v>0</v>
      </c>
      <c r="BI12" s="261" t="s">
        <v>15</v>
      </c>
    </row>
    <row r="13" spans="1:62" s="151" customFormat="1" ht="72.75" customHeight="1">
      <c r="A13" s="146">
        <v>305</v>
      </c>
      <c r="B13" s="261" t="s">
        <v>87</v>
      </c>
      <c r="C13" s="146">
        <v>4</v>
      </c>
      <c r="D13" s="261" t="s">
        <v>59</v>
      </c>
      <c r="E13" s="146">
        <v>45</v>
      </c>
      <c r="F13" s="261" t="s">
        <v>60</v>
      </c>
      <c r="G13" s="146">
        <v>4502</v>
      </c>
      <c r="H13" s="261" t="s">
        <v>78</v>
      </c>
      <c r="I13" s="146">
        <v>4502</v>
      </c>
      <c r="J13" s="261" t="s">
        <v>79</v>
      </c>
      <c r="K13" s="261" t="s">
        <v>80</v>
      </c>
      <c r="L13" s="146" t="s">
        <v>61</v>
      </c>
      <c r="M13" s="269" t="s">
        <v>95</v>
      </c>
      <c r="N13" s="146">
        <v>4502001</v>
      </c>
      <c r="O13" s="261" t="s">
        <v>90</v>
      </c>
      <c r="P13" s="146" t="s">
        <v>61</v>
      </c>
      <c r="Q13" s="270" t="s">
        <v>96</v>
      </c>
      <c r="R13" s="271" t="s">
        <v>1427</v>
      </c>
      <c r="S13" s="261" t="s">
        <v>97</v>
      </c>
      <c r="T13" s="146" t="s">
        <v>69</v>
      </c>
      <c r="U13" s="146">
        <v>12</v>
      </c>
      <c r="V13" s="272"/>
      <c r="W13" s="137">
        <f t="shared" si="3"/>
        <v>12</v>
      </c>
      <c r="X13" s="137"/>
      <c r="Y13" s="146">
        <v>2020003630043</v>
      </c>
      <c r="Z13" s="261" t="s">
        <v>98</v>
      </c>
      <c r="AA13" s="261" t="s">
        <v>99</v>
      </c>
      <c r="AB13" s="273"/>
      <c r="AC13" s="273"/>
      <c r="AD13" s="273"/>
      <c r="AE13" s="273"/>
      <c r="AF13" s="273"/>
      <c r="AG13" s="273"/>
      <c r="AH13" s="273"/>
      <c r="AI13" s="273"/>
      <c r="AJ13" s="273"/>
      <c r="AK13" s="273"/>
      <c r="AL13" s="273"/>
      <c r="AM13" s="273"/>
      <c r="AN13" s="273"/>
      <c r="AO13" s="273"/>
      <c r="AP13" s="273"/>
      <c r="AQ13" s="273"/>
      <c r="AR13" s="273"/>
      <c r="AS13" s="273"/>
      <c r="AT13" s="136">
        <f>35000000+20000000</f>
        <v>55000000</v>
      </c>
      <c r="AU13" s="136">
        <v>9600000</v>
      </c>
      <c r="AV13" s="136">
        <v>6400000</v>
      </c>
      <c r="AW13" s="273"/>
      <c r="AX13" s="273"/>
      <c r="AY13" s="273"/>
      <c r="AZ13" s="273"/>
      <c r="BA13" s="273"/>
      <c r="BB13" s="273"/>
      <c r="BC13" s="273"/>
      <c r="BD13" s="273"/>
      <c r="BE13" s="273"/>
      <c r="BF13" s="138">
        <f t="shared" si="0"/>
        <v>55000000</v>
      </c>
      <c r="BG13" s="138">
        <f t="shared" si="1"/>
        <v>9600000</v>
      </c>
      <c r="BH13" s="138">
        <f t="shared" si="2"/>
        <v>6400000</v>
      </c>
      <c r="BI13" s="261" t="s">
        <v>15</v>
      </c>
    </row>
    <row r="14" spans="1:62" s="151" customFormat="1" ht="89.25">
      <c r="A14" s="146">
        <v>305</v>
      </c>
      <c r="B14" s="261" t="s">
        <v>87</v>
      </c>
      <c r="C14" s="146">
        <v>4</v>
      </c>
      <c r="D14" s="261" t="s">
        <v>59</v>
      </c>
      <c r="E14" s="146">
        <v>45</v>
      </c>
      <c r="F14" s="261" t="s">
        <v>60</v>
      </c>
      <c r="G14" s="146" t="s">
        <v>61</v>
      </c>
      <c r="H14" s="261" t="s">
        <v>62</v>
      </c>
      <c r="I14" s="146">
        <v>4599</v>
      </c>
      <c r="J14" s="261" t="s">
        <v>63</v>
      </c>
      <c r="K14" s="261" t="s">
        <v>64</v>
      </c>
      <c r="L14" s="146" t="s">
        <v>61</v>
      </c>
      <c r="M14" s="269" t="s">
        <v>100</v>
      </c>
      <c r="N14" s="146">
        <v>4599018</v>
      </c>
      <c r="O14" s="261" t="s">
        <v>101</v>
      </c>
      <c r="P14" s="146" t="s">
        <v>61</v>
      </c>
      <c r="Q14" s="270" t="s">
        <v>102</v>
      </c>
      <c r="R14" s="271" t="s">
        <v>1428</v>
      </c>
      <c r="S14" s="261" t="s">
        <v>103</v>
      </c>
      <c r="T14" s="146" t="s">
        <v>104</v>
      </c>
      <c r="U14" s="146">
        <v>5</v>
      </c>
      <c r="V14" s="272"/>
      <c r="W14" s="137">
        <f t="shared" si="3"/>
        <v>5</v>
      </c>
      <c r="X14" s="137">
        <v>5</v>
      </c>
      <c r="Y14" s="146">
        <v>2020003630044</v>
      </c>
      <c r="Z14" s="261" t="s">
        <v>105</v>
      </c>
      <c r="AA14" s="261" t="s">
        <v>106</v>
      </c>
      <c r="AB14" s="273"/>
      <c r="AC14" s="273"/>
      <c r="AD14" s="273"/>
      <c r="AE14" s="273"/>
      <c r="AF14" s="273"/>
      <c r="AG14" s="273"/>
      <c r="AH14" s="273"/>
      <c r="AI14" s="273"/>
      <c r="AJ14" s="273"/>
      <c r="AK14" s="273"/>
      <c r="AL14" s="273"/>
      <c r="AM14" s="273"/>
      <c r="AN14" s="273"/>
      <c r="AO14" s="273"/>
      <c r="AP14" s="273"/>
      <c r="AQ14" s="273"/>
      <c r="AR14" s="273"/>
      <c r="AS14" s="273"/>
      <c r="AT14" s="136">
        <f>151334750+20000000+20000000</f>
        <v>191334750</v>
      </c>
      <c r="AU14" s="136">
        <v>49950000</v>
      </c>
      <c r="AV14" s="136">
        <v>26300000</v>
      </c>
      <c r="AW14" s="273"/>
      <c r="AX14" s="273"/>
      <c r="AY14" s="273"/>
      <c r="AZ14" s="273"/>
      <c r="BA14" s="273"/>
      <c r="BB14" s="273"/>
      <c r="BC14" s="273"/>
      <c r="BD14" s="273"/>
      <c r="BE14" s="273"/>
      <c r="BF14" s="138">
        <f t="shared" si="0"/>
        <v>191334750</v>
      </c>
      <c r="BG14" s="138">
        <f t="shared" si="1"/>
        <v>49950000</v>
      </c>
      <c r="BH14" s="138">
        <f t="shared" si="2"/>
        <v>26300000</v>
      </c>
      <c r="BI14" s="261" t="s">
        <v>15</v>
      </c>
    </row>
    <row r="15" spans="1:62" s="151" customFormat="1" ht="86.25" customHeight="1">
      <c r="A15" s="146">
        <v>305</v>
      </c>
      <c r="B15" s="269" t="s">
        <v>87</v>
      </c>
      <c r="C15" s="146">
        <v>4</v>
      </c>
      <c r="D15" s="269" t="s">
        <v>59</v>
      </c>
      <c r="E15" s="146">
        <v>45</v>
      </c>
      <c r="F15" s="269" t="s">
        <v>60</v>
      </c>
      <c r="G15" s="146" t="s">
        <v>61</v>
      </c>
      <c r="H15" s="261" t="s">
        <v>62</v>
      </c>
      <c r="I15" s="146">
        <v>4599</v>
      </c>
      <c r="J15" s="261" t="s">
        <v>63</v>
      </c>
      <c r="K15" s="261" t="s">
        <v>64</v>
      </c>
      <c r="L15" s="146" t="s">
        <v>61</v>
      </c>
      <c r="M15" s="269" t="s">
        <v>107</v>
      </c>
      <c r="N15" s="146">
        <v>4599025</v>
      </c>
      <c r="O15" s="261" t="s">
        <v>108</v>
      </c>
      <c r="P15" s="146" t="s">
        <v>61</v>
      </c>
      <c r="Q15" s="270" t="s">
        <v>109</v>
      </c>
      <c r="R15" s="271" t="s">
        <v>1429</v>
      </c>
      <c r="S15" s="261" t="s">
        <v>110</v>
      </c>
      <c r="T15" s="146" t="s">
        <v>104</v>
      </c>
      <c r="U15" s="146">
        <v>1</v>
      </c>
      <c r="V15" s="272"/>
      <c r="W15" s="137">
        <f t="shared" si="3"/>
        <v>1</v>
      </c>
      <c r="X15" s="137">
        <v>0.25</v>
      </c>
      <c r="Y15" s="146">
        <v>2020003630045</v>
      </c>
      <c r="Z15" s="261" t="s">
        <v>111</v>
      </c>
      <c r="AA15" s="261" t="s">
        <v>112</v>
      </c>
      <c r="AB15" s="273"/>
      <c r="AC15" s="273"/>
      <c r="AD15" s="273"/>
      <c r="AE15" s="273"/>
      <c r="AF15" s="273"/>
      <c r="AG15" s="273"/>
      <c r="AH15" s="273"/>
      <c r="AI15" s="273"/>
      <c r="AJ15" s="273"/>
      <c r="AK15" s="273"/>
      <c r="AL15" s="273"/>
      <c r="AM15" s="273"/>
      <c r="AN15" s="273"/>
      <c r="AO15" s="273"/>
      <c r="AP15" s="273"/>
      <c r="AQ15" s="273"/>
      <c r="AR15" s="273"/>
      <c r="AS15" s="273"/>
      <c r="AT15" s="136">
        <v>71317200</v>
      </c>
      <c r="AU15" s="136">
        <v>30826667</v>
      </c>
      <c r="AV15" s="136">
        <v>19200000</v>
      </c>
      <c r="AW15" s="273"/>
      <c r="AX15" s="273"/>
      <c r="AY15" s="273"/>
      <c r="AZ15" s="273"/>
      <c r="BA15" s="273"/>
      <c r="BB15" s="273"/>
      <c r="BC15" s="273"/>
      <c r="BD15" s="273"/>
      <c r="BE15" s="273"/>
      <c r="BF15" s="138">
        <f t="shared" si="0"/>
        <v>71317200</v>
      </c>
      <c r="BG15" s="138">
        <f t="shared" si="1"/>
        <v>30826667</v>
      </c>
      <c r="BH15" s="138">
        <f t="shared" si="2"/>
        <v>19200000</v>
      </c>
      <c r="BI15" s="261" t="s">
        <v>15</v>
      </c>
    </row>
    <row r="16" spans="1:62" s="151" customFormat="1" ht="86.25" customHeight="1">
      <c r="A16" s="146">
        <v>305</v>
      </c>
      <c r="B16" s="269" t="s">
        <v>87</v>
      </c>
      <c r="C16" s="146">
        <v>4</v>
      </c>
      <c r="D16" s="269" t="s">
        <v>59</v>
      </c>
      <c r="E16" s="146">
        <v>45</v>
      </c>
      <c r="F16" s="269" t="s">
        <v>60</v>
      </c>
      <c r="G16" s="146" t="s">
        <v>61</v>
      </c>
      <c r="H16" s="261" t="s">
        <v>62</v>
      </c>
      <c r="I16" s="146">
        <v>4599</v>
      </c>
      <c r="J16" s="261" t="s">
        <v>63</v>
      </c>
      <c r="K16" s="261" t="s">
        <v>64</v>
      </c>
      <c r="L16" s="146" t="s">
        <v>61</v>
      </c>
      <c r="M16" s="269" t="s">
        <v>113</v>
      </c>
      <c r="N16" s="146">
        <v>4599025</v>
      </c>
      <c r="O16" s="261" t="s">
        <v>108</v>
      </c>
      <c r="P16" s="146" t="s">
        <v>61</v>
      </c>
      <c r="Q16" s="270" t="s">
        <v>114</v>
      </c>
      <c r="R16" s="146">
        <v>459902500</v>
      </c>
      <c r="S16" s="261" t="s">
        <v>110</v>
      </c>
      <c r="T16" s="146" t="s">
        <v>104</v>
      </c>
      <c r="U16" s="146">
        <v>1</v>
      </c>
      <c r="V16" s="272"/>
      <c r="W16" s="137">
        <f t="shared" si="3"/>
        <v>1</v>
      </c>
      <c r="X16" s="137">
        <v>0.25</v>
      </c>
      <c r="Y16" s="146">
        <v>2020003630046</v>
      </c>
      <c r="Z16" s="261" t="s">
        <v>115</v>
      </c>
      <c r="AA16" s="261" t="s">
        <v>116</v>
      </c>
      <c r="AB16" s="273"/>
      <c r="AC16" s="273"/>
      <c r="AD16" s="273"/>
      <c r="AE16" s="273"/>
      <c r="AF16" s="273"/>
      <c r="AG16" s="273"/>
      <c r="AH16" s="273"/>
      <c r="AI16" s="273"/>
      <c r="AJ16" s="273"/>
      <c r="AK16" s="273"/>
      <c r="AL16" s="273"/>
      <c r="AM16" s="273"/>
      <c r="AN16" s="273"/>
      <c r="AO16" s="273"/>
      <c r="AP16" s="273"/>
      <c r="AQ16" s="273"/>
      <c r="AR16" s="273"/>
      <c r="AS16" s="273"/>
      <c r="AT16" s="148">
        <f>293230700+160000000</f>
        <v>453230700</v>
      </c>
      <c r="AU16" s="148">
        <v>154320000</v>
      </c>
      <c r="AV16" s="148">
        <v>55000000</v>
      </c>
      <c r="AW16" s="273"/>
      <c r="AX16" s="273"/>
      <c r="AY16" s="273"/>
      <c r="AZ16" s="273"/>
      <c r="BA16" s="273"/>
      <c r="BB16" s="273"/>
      <c r="BC16" s="273"/>
      <c r="BD16" s="273"/>
      <c r="BE16" s="273"/>
      <c r="BF16" s="138">
        <f t="shared" si="0"/>
        <v>453230700</v>
      </c>
      <c r="BG16" s="138">
        <f t="shared" si="1"/>
        <v>154320000</v>
      </c>
      <c r="BH16" s="138">
        <f t="shared" si="2"/>
        <v>55000000</v>
      </c>
      <c r="BI16" s="261" t="s">
        <v>15</v>
      </c>
    </row>
    <row r="17" spans="1:62" s="151" customFormat="1" ht="61.5" customHeight="1">
      <c r="A17" s="146">
        <v>305</v>
      </c>
      <c r="B17" s="269" t="s">
        <v>87</v>
      </c>
      <c r="C17" s="146">
        <v>4</v>
      </c>
      <c r="D17" s="269" t="s">
        <v>59</v>
      </c>
      <c r="E17" s="146">
        <v>45</v>
      </c>
      <c r="F17" s="269" t="s">
        <v>60</v>
      </c>
      <c r="G17" s="146" t="s">
        <v>61</v>
      </c>
      <c r="H17" s="261" t="s">
        <v>62</v>
      </c>
      <c r="I17" s="146">
        <v>4599</v>
      </c>
      <c r="J17" s="261" t="s">
        <v>63</v>
      </c>
      <c r="K17" s="261" t="s">
        <v>117</v>
      </c>
      <c r="L17" s="146" t="s">
        <v>61</v>
      </c>
      <c r="M17" s="269" t="s">
        <v>118</v>
      </c>
      <c r="N17" s="146">
        <v>4599031</v>
      </c>
      <c r="O17" s="261" t="s">
        <v>119</v>
      </c>
      <c r="P17" s="146" t="s">
        <v>61</v>
      </c>
      <c r="Q17" s="270" t="s">
        <v>120</v>
      </c>
      <c r="R17" s="146">
        <v>459903101</v>
      </c>
      <c r="S17" s="261" t="s">
        <v>121</v>
      </c>
      <c r="T17" s="146" t="s">
        <v>104</v>
      </c>
      <c r="U17" s="146">
        <v>12</v>
      </c>
      <c r="V17" s="272"/>
      <c r="W17" s="137">
        <f t="shared" si="3"/>
        <v>12</v>
      </c>
      <c r="X17" s="137">
        <v>12</v>
      </c>
      <c r="Y17" s="146">
        <v>2020003630047</v>
      </c>
      <c r="Z17" s="261" t="s">
        <v>122</v>
      </c>
      <c r="AA17" s="261" t="s">
        <v>123</v>
      </c>
      <c r="AB17" s="273"/>
      <c r="AC17" s="273"/>
      <c r="AD17" s="273"/>
      <c r="AE17" s="273"/>
      <c r="AF17" s="273"/>
      <c r="AG17" s="273"/>
      <c r="AH17" s="273"/>
      <c r="AI17" s="273"/>
      <c r="AJ17" s="273"/>
      <c r="AK17" s="273"/>
      <c r="AL17" s="273"/>
      <c r="AM17" s="273"/>
      <c r="AN17" s="273"/>
      <c r="AO17" s="273"/>
      <c r="AP17" s="273"/>
      <c r="AQ17" s="273"/>
      <c r="AR17" s="273"/>
      <c r="AS17" s="273"/>
      <c r="AT17" s="136">
        <v>37080000</v>
      </c>
      <c r="AU17" s="136">
        <v>12000000</v>
      </c>
      <c r="AV17" s="136">
        <v>4000000</v>
      </c>
      <c r="AW17" s="273"/>
      <c r="AX17" s="273"/>
      <c r="AY17" s="273"/>
      <c r="AZ17" s="273"/>
      <c r="BA17" s="273"/>
      <c r="BB17" s="273"/>
      <c r="BC17" s="273"/>
      <c r="BD17" s="273"/>
      <c r="BE17" s="273"/>
      <c r="BF17" s="138">
        <f t="shared" si="0"/>
        <v>37080000</v>
      </c>
      <c r="BG17" s="138">
        <f t="shared" si="1"/>
        <v>12000000</v>
      </c>
      <c r="BH17" s="138">
        <f t="shared" si="2"/>
        <v>4000000</v>
      </c>
      <c r="BI17" s="261" t="s">
        <v>15</v>
      </c>
    </row>
    <row r="18" spans="1:62" s="151" customFormat="1" ht="61.5" customHeight="1">
      <c r="A18" s="146">
        <v>305</v>
      </c>
      <c r="B18" s="269" t="s">
        <v>87</v>
      </c>
      <c r="C18" s="146">
        <v>4</v>
      </c>
      <c r="D18" s="269" t="s">
        <v>59</v>
      </c>
      <c r="E18" s="146">
        <v>45</v>
      </c>
      <c r="F18" s="269" t="s">
        <v>60</v>
      </c>
      <c r="G18" s="146" t="s">
        <v>61</v>
      </c>
      <c r="H18" s="261" t="s">
        <v>62</v>
      </c>
      <c r="I18" s="146">
        <v>4599</v>
      </c>
      <c r="J18" s="261" t="s">
        <v>63</v>
      </c>
      <c r="K18" s="261" t="s">
        <v>117</v>
      </c>
      <c r="L18" s="146" t="s">
        <v>61</v>
      </c>
      <c r="M18" s="269" t="s">
        <v>124</v>
      </c>
      <c r="N18" s="146">
        <v>4599031</v>
      </c>
      <c r="O18" s="261" t="s">
        <v>119</v>
      </c>
      <c r="P18" s="146" t="s">
        <v>61</v>
      </c>
      <c r="Q18" s="270" t="s">
        <v>125</v>
      </c>
      <c r="R18" s="146">
        <v>459903101</v>
      </c>
      <c r="S18" s="261" t="s">
        <v>121</v>
      </c>
      <c r="T18" s="146" t="s">
        <v>104</v>
      </c>
      <c r="U18" s="146">
        <v>12</v>
      </c>
      <c r="V18" s="272"/>
      <c r="W18" s="137">
        <f t="shared" si="3"/>
        <v>12</v>
      </c>
      <c r="X18" s="137">
        <v>12</v>
      </c>
      <c r="Y18" s="146">
        <v>2020003630047</v>
      </c>
      <c r="Z18" s="261" t="s">
        <v>122</v>
      </c>
      <c r="AA18" s="261" t="s">
        <v>123</v>
      </c>
      <c r="AB18" s="273"/>
      <c r="AC18" s="273"/>
      <c r="AD18" s="273"/>
      <c r="AE18" s="273"/>
      <c r="AF18" s="273"/>
      <c r="AG18" s="273"/>
      <c r="AH18" s="273"/>
      <c r="AI18" s="273"/>
      <c r="AJ18" s="273"/>
      <c r="AK18" s="273"/>
      <c r="AL18" s="273"/>
      <c r="AM18" s="273"/>
      <c r="AN18" s="273"/>
      <c r="AO18" s="273"/>
      <c r="AP18" s="273"/>
      <c r="AQ18" s="273"/>
      <c r="AR18" s="273"/>
      <c r="AS18" s="273"/>
      <c r="AT18" s="136">
        <v>30591000</v>
      </c>
      <c r="AU18" s="136">
        <v>11626667</v>
      </c>
      <c r="AV18" s="136">
        <v>6400000</v>
      </c>
      <c r="AW18" s="273"/>
      <c r="AX18" s="273"/>
      <c r="AY18" s="273"/>
      <c r="AZ18" s="273"/>
      <c r="BA18" s="273"/>
      <c r="BB18" s="273"/>
      <c r="BC18" s="273"/>
      <c r="BD18" s="273"/>
      <c r="BE18" s="273"/>
      <c r="BF18" s="138">
        <f t="shared" si="0"/>
        <v>30591000</v>
      </c>
      <c r="BG18" s="138">
        <f t="shared" si="1"/>
        <v>11626667</v>
      </c>
      <c r="BH18" s="138">
        <f t="shared" si="2"/>
        <v>6400000</v>
      </c>
      <c r="BI18" s="261" t="s">
        <v>15</v>
      </c>
    </row>
    <row r="19" spans="1:62" s="151" customFormat="1" ht="61.5" customHeight="1">
      <c r="A19" s="146">
        <v>305</v>
      </c>
      <c r="B19" s="269" t="s">
        <v>87</v>
      </c>
      <c r="C19" s="146">
        <v>4</v>
      </c>
      <c r="D19" s="269" t="s">
        <v>59</v>
      </c>
      <c r="E19" s="146">
        <v>45</v>
      </c>
      <c r="F19" s="269" t="s">
        <v>60</v>
      </c>
      <c r="G19" s="146" t="s">
        <v>61</v>
      </c>
      <c r="H19" s="261" t="s">
        <v>62</v>
      </c>
      <c r="I19" s="146">
        <v>4599</v>
      </c>
      <c r="J19" s="261" t="s">
        <v>63</v>
      </c>
      <c r="K19" s="261" t="s">
        <v>117</v>
      </c>
      <c r="L19" s="146" t="s">
        <v>61</v>
      </c>
      <c r="M19" s="269" t="s">
        <v>126</v>
      </c>
      <c r="N19" s="146">
        <v>4599031</v>
      </c>
      <c r="O19" s="261" t="s">
        <v>119</v>
      </c>
      <c r="P19" s="146" t="s">
        <v>61</v>
      </c>
      <c r="Q19" s="270" t="s">
        <v>127</v>
      </c>
      <c r="R19" s="146">
        <v>459903101</v>
      </c>
      <c r="S19" s="261" t="s">
        <v>121</v>
      </c>
      <c r="T19" s="146" t="s">
        <v>104</v>
      </c>
      <c r="U19" s="146">
        <v>12</v>
      </c>
      <c r="V19" s="272"/>
      <c r="W19" s="137">
        <f t="shared" si="3"/>
        <v>12</v>
      </c>
      <c r="X19" s="137">
        <v>12</v>
      </c>
      <c r="Y19" s="146">
        <v>2020003630047</v>
      </c>
      <c r="Z19" s="261" t="s">
        <v>122</v>
      </c>
      <c r="AA19" s="261" t="s">
        <v>123</v>
      </c>
      <c r="AB19" s="273"/>
      <c r="AC19" s="273"/>
      <c r="AD19" s="273"/>
      <c r="AE19" s="273"/>
      <c r="AF19" s="273"/>
      <c r="AG19" s="273"/>
      <c r="AH19" s="273"/>
      <c r="AI19" s="273"/>
      <c r="AJ19" s="273"/>
      <c r="AK19" s="273"/>
      <c r="AL19" s="273"/>
      <c r="AM19" s="273"/>
      <c r="AN19" s="273"/>
      <c r="AO19" s="273"/>
      <c r="AP19" s="273"/>
      <c r="AQ19" s="273"/>
      <c r="AR19" s="273"/>
      <c r="AS19" s="273"/>
      <c r="AT19" s="136">
        <v>30591000</v>
      </c>
      <c r="AU19" s="136">
        <v>9600000</v>
      </c>
      <c r="AV19" s="136">
        <v>6400000</v>
      </c>
      <c r="AW19" s="273"/>
      <c r="AX19" s="273"/>
      <c r="AY19" s="273"/>
      <c r="AZ19" s="273"/>
      <c r="BA19" s="273"/>
      <c r="BB19" s="273"/>
      <c r="BC19" s="273"/>
      <c r="BD19" s="273"/>
      <c r="BE19" s="273"/>
      <c r="BF19" s="138">
        <f t="shared" si="0"/>
        <v>30591000</v>
      </c>
      <c r="BG19" s="138">
        <f t="shared" si="1"/>
        <v>9600000</v>
      </c>
      <c r="BH19" s="138">
        <f t="shared" si="2"/>
        <v>6400000</v>
      </c>
      <c r="BI19" s="261" t="s">
        <v>15</v>
      </c>
    </row>
    <row r="20" spans="1:62" s="151" customFormat="1" ht="61.5" customHeight="1">
      <c r="A20" s="146">
        <v>305</v>
      </c>
      <c r="B20" s="269" t="s">
        <v>87</v>
      </c>
      <c r="C20" s="146">
        <v>4</v>
      </c>
      <c r="D20" s="269" t="s">
        <v>59</v>
      </c>
      <c r="E20" s="146">
        <v>45</v>
      </c>
      <c r="F20" s="269" t="s">
        <v>60</v>
      </c>
      <c r="G20" s="146" t="s">
        <v>61</v>
      </c>
      <c r="H20" s="261" t="s">
        <v>62</v>
      </c>
      <c r="I20" s="146">
        <v>4599</v>
      </c>
      <c r="J20" s="261" t="s">
        <v>63</v>
      </c>
      <c r="K20" s="261" t="s">
        <v>117</v>
      </c>
      <c r="L20" s="146" t="s">
        <v>61</v>
      </c>
      <c r="M20" s="269" t="s">
        <v>128</v>
      </c>
      <c r="N20" s="146">
        <v>4599031</v>
      </c>
      <c r="O20" s="261" t="s">
        <v>119</v>
      </c>
      <c r="P20" s="146" t="s">
        <v>61</v>
      </c>
      <c r="Q20" s="270" t="s">
        <v>127</v>
      </c>
      <c r="R20" s="146">
        <v>459903101</v>
      </c>
      <c r="S20" s="261" t="s">
        <v>121</v>
      </c>
      <c r="T20" s="146" t="s">
        <v>104</v>
      </c>
      <c r="U20" s="146">
        <v>12</v>
      </c>
      <c r="V20" s="272"/>
      <c r="W20" s="137">
        <f t="shared" si="3"/>
        <v>12</v>
      </c>
      <c r="X20" s="137">
        <v>12</v>
      </c>
      <c r="Y20" s="146">
        <v>2020003630047</v>
      </c>
      <c r="Z20" s="261" t="s">
        <v>122</v>
      </c>
      <c r="AA20" s="261" t="s">
        <v>123</v>
      </c>
      <c r="AB20" s="273"/>
      <c r="AC20" s="273"/>
      <c r="AD20" s="273"/>
      <c r="AE20" s="273"/>
      <c r="AF20" s="273"/>
      <c r="AG20" s="273"/>
      <c r="AH20" s="273"/>
      <c r="AI20" s="273"/>
      <c r="AJ20" s="273"/>
      <c r="AK20" s="273"/>
      <c r="AL20" s="273"/>
      <c r="AM20" s="273"/>
      <c r="AN20" s="273"/>
      <c r="AO20" s="273"/>
      <c r="AP20" s="273"/>
      <c r="AQ20" s="273"/>
      <c r="AR20" s="273"/>
      <c r="AS20" s="273"/>
      <c r="AT20" s="136">
        <v>30591000</v>
      </c>
      <c r="AU20" s="136">
        <v>11626667</v>
      </c>
      <c r="AV20" s="136">
        <v>6400000</v>
      </c>
      <c r="AW20" s="273"/>
      <c r="AX20" s="273"/>
      <c r="AY20" s="273"/>
      <c r="AZ20" s="273"/>
      <c r="BA20" s="273"/>
      <c r="BB20" s="273"/>
      <c r="BC20" s="273"/>
      <c r="BD20" s="273"/>
      <c r="BE20" s="273"/>
      <c r="BF20" s="138">
        <f t="shared" si="0"/>
        <v>30591000</v>
      </c>
      <c r="BG20" s="138">
        <f t="shared" si="1"/>
        <v>11626667</v>
      </c>
      <c r="BH20" s="138">
        <f t="shared" si="2"/>
        <v>6400000</v>
      </c>
      <c r="BI20" s="261" t="s">
        <v>15</v>
      </c>
    </row>
    <row r="21" spans="1:62" s="151" customFormat="1" ht="61.5" customHeight="1">
      <c r="A21" s="146">
        <v>305</v>
      </c>
      <c r="B21" s="269" t="s">
        <v>87</v>
      </c>
      <c r="C21" s="146">
        <v>4</v>
      </c>
      <c r="D21" s="269" t="s">
        <v>59</v>
      </c>
      <c r="E21" s="146">
        <v>45</v>
      </c>
      <c r="F21" s="269" t="s">
        <v>60</v>
      </c>
      <c r="G21" s="146" t="s">
        <v>61</v>
      </c>
      <c r="H21" s="261" t="s">
        <v>62</v>
      </c>
      <c r="I21" s="146">
        <v>4599</v>
      </c>
      <c r="J21" s="261" t="s">
        <v>63</v>
      </c>
      <c r="K21" s="261" t="s">
        <v>117</v>
      </c>
      <c r="L21" s="146" t="s">
        <v>61</v>
      </c>
      <c r="M21" s="269" t="s">
        <v>129</v>
      </c>
      <c r="N21" s="146">
        <v>4599031</v>
      </c>
      <c r="O21" s="261" t="s">
        <v>119</v>
      </c>
      <c r="P21" s="146" t="s">
        <v>61</v>
      </c>
      <c r="Q21" s="270" t="s">
        <v>127</v>
      </c>
      <c r="R21" s="146">
        <v>459903101</v>
      </c>
      <c r="S21" s="261" t="s">
        <v>121</v>
      </c>
      <c r="T21" s="146" t="s">
        <v>104</v>
      </c>
      <c r="U21" s="146">
        <v>12</v>
      </c>
      <c r="V21" s="272"/>
      <c r="W21" s="137">
        <f t="shared" si="3"/>
        <v>12</v>
      </c>
      <c r="X21" s="137">
        <v>12</v>
      </c>
      <c r="Y21" s="146">
        <v>2020003630047</v>
      </c>
      <c r="Z21" s="261" t="s">
        <v>122</v>
      </c>
      <c r="AA21" s="261" t="s">
        <v>123</v>
      </c>
      <c r="AB21" s="273"/>
      <c r="AC21" s="273"/>
      <c r="AD21" s="273"/>
      <c r="AE21" s="273"/>
      <c r="AF21" s="273"/>
      <c r="AG21" s="273"/>
      <c r="AH21" s="273"/>
      <c r="AI21" s="273"/>
      <c r="AJ21" s="273"/>
      <c r="AK21" s="273"/>
      <c r="AL21" s="273"/>
      <c r="AM21" s="273"/>
      <c r="AN21" s="273"/>
      <c r="AO21" s="273"/>
      <c r="AP21" s="273"/>
      <c r="AQ21" s="273"/>
      <c r="AR21" s="273"/>
      <c r="AS21" s="273"/>
      <c r="AT21" s="136">
        <v>30591000</v>
      </c>
      <c r="AU21" s="136">
        <v>17400000</v>
      </c>
      <c r="AV21" s="136">
        <v>6600000</v>
      </c>
      <c r="AW21" s="273"/>
      <c r="AX21" s="273"/>
      <c r="AY21" s="273"/>
      <c r="AZ21" s="273"/>
      <c r="BA21" s="273"/>
      <c r="BB21" s="273"/>
      <c r="BC21" s="273"/>
      <c r="BD21" s="273"/>
      <c r="BE21" s="273"/>
      <c r="BF21" s="138">
        <f t="shared" si="0"/>
        <v>30591000</v>
      </c>
      <c r="BG21" s="138">
        <f t="shared" si="1"/>
        <v>17400000</v>
      </c>
      <c r="BH21" s="138">
        <f t="shared" si="2"/>
        <v>6600000</v>
      </c>
      <c r="BI21" s="261" t="s">
        <v>15</v>
      </c>
    </row>
    <row r="22" spans="1:62" s="151" customFormat="1" ht="61.5" customHeight="1">
      <c r="A22" s="146">
        <v>305</v>
      </c>
      <c r="B22" s="269" t="s">
        <v>87</v>
      </c>
      <c r="C22" s="146">
        <v>4</v>
      </c>
      <c r="D22" s="269" t="s">
        <v>59</v>
      </c>
      <c r="E22" s="146">
        <v>45</v>
      </c>
      <c r="F22" s="269" t="s">
        <v>60</v>
      </c>
      <c r="G22" s="146" t="s">
        <v>61</v>
      </c>
      <c r="H22" s="261" t="s">
        <v>62</v>
      </c>
      <c r="I22" s="146">
        <v>4599</v>
      </c>
      <c r="J22" s="261" t="s">
        <v>63</v>
      </c>
      <c r="K22" s="261" t="s">
        <v>117</v>
      </c>
      <c r="L22" s="146" t="s">
        <v>61</v>
      </c>
      <c r="M22" s="269" t="s">
        <v>130</v>
      </c>
      <c r="N22" s="146">
        <v>4599031</v>
      </c>
      <c r="O22" s="261" t="s">
        <v>119</v>
      </c>
      <c r="P22" s="146" t="s">
        <v>61</v>
      </c>
      <c r="Q22" s="270" t="s">
        <v>127</v>
      </c>
      <c r="R22" s="146">
        <v>459903101</v>
      </c>
      <c r="S22" s="261" t="s">
        <v>121</v>
      </c>
      <c r="T22" s="146" t="s">
        <v>104</v>
      </c>
      <c r="U22" s="146">
        <v>12</v>
      </c>
      <c r="V22" s="272"/>
      <c r="W22" s="137">
        <f t="shared" si="3"/>
        <v>12</v>
      </c>
      <c r="X22" s="137">
        <v>12</v>
      </c>
      <c r="Y22" s="146">
        <v>2020003630047</v>
      </c>
      <c r="Z22" s="261" t="s">
        <v>122</v>
      </c>
      <c r="AA22" s="261" t="s">
        <v>123</v>
      </c>
      <c r="AB22" s="273"/>
      <c r="AC22" s="273"/>
      <c r="AD22" s="273"/>
      <c r="AE22" s="273"/>
      <c r="AF22" s="273"/>
      <c r="AG22" s="273"/>
      <c r="AH22" s="273"/>
      <c r="AI22" s="273"/>
      <c r="AJ22" s="273"/>
      <c r="AK22" s="273"/>
      <c r="AL22" s="273"/>
      <c r="AM22" s="273"/>
      <c r="AN22" s="273"/>
      <c r="AO22" s="273"/>
      <c r="AP22" s="273"/>
      <c r="AQ22" s="273"/>
      <c r="AR22" s="273"/>
      <c r="AS22" s="273"/>
      <c r="AT22" s="136">
        <v>30591000</v>
      </c>
      <c r="AU22" s="136">
        <v>9600000</v>
      </c>
      <c r="AV22" s="136"/>
      <c r="AW22" s="273"/>
      <c r="AX22" s="273"/>
      <c r="AY22" s="273"/>
      <c r="AZ22" s="273"/>
      <c r="BA22" s="273"/>
      <c r="BB22" s="273"/>
      <c r="BC22" s="273"/>
      <c r="BD22" s="273"/>
      <c r="BE22" s="273"/>
      <c r="BF22" s="138">
        <f t="shared" si="0"/>
        <v>30591000</v>
      </c>
      <c r="BG22" s="138">
        <f t="shared" si="1"/>
        <v>9600000</v>
      </c>
      <c r="BH22" s="138">
        <f t="shared" si="2"/>
        <v>0</v>
      </c>
      <c r="BI22" s="261" t="s">
        <v>15</v>
      </c>
    </row>
    <row r="23" spans="1:62" s="151" customFormat="1" ht="61.5" customHeight="1">
      <c r="A23" s="146">
        <v>305</v>
      </c>
      <c r="B23" s="269" t="s">
        <v>87</v>
      </c>
      <c r="C23" s="146">
        <v>4</v>
      </c>
      <c r="D23" s="269" t="s">
        <v>59</v>
      </c>
      <c r="E23" s="146">
        <v>45</v>
      </c>
      <c r="F23" s="269" t="s">
        <v>60</v>
      </c>
      <c r="G23" s="146" t="s">
        <v>61</v>
      </c>
      <c r="H23" s="261" t="s">
        <v>62</v>
      </c>
      <c r="I23" s="146">
        <v>4599</v>
      </c>
      <c r="J23" s="261" t="s">
        <v>63</v>
      </c>
      <c r="K23" s="261" t="s">
        <v>64</v>
      </c>
      <c r="L23" s="146" t="s">
        <v>61</v>
      </c>
      <c r="M23" s="269" t="s">
        <v>65</v>
      </c>
      <c r="N23" s="146">
        <v>4599023</v>
      </c>
      <c r="O23" s="261" t="s">
        <v>131</v>
      </c>
      <c r="P23" s="146" t="s">
        <v>61</v>
      </c>
      <c r="Q23" s="142" t="s">
        <v>67</v>
      </c>
      <c r="R23" s="146">
        <v>459902300</v>
      </c>
      <c r="S23" s="261" t="s">
        <v>68</v>
      </c>
      <c r="T23" s="146" t="s">
        <v>104</v>
      </c>
      <c r="U23" s="146">
        <v>18</v>
      </c>
      <c r="V23" s="272"/>
      <c r="W23" s="137">
        <f t="shared" si="3"/>
        <v>18</v>
      </c>
      <c r="X23" s="137">
        <v>18</v>
      </c>
      <c r="Y23" s="146">
        <v>2020003630008</v>
      </c>
      <c r="Z23" s="261" t="s">
        <v>132</v>
      </c>
      <c r="AA23" s="261" t="s">
        <v>133</v>
      </c>
      <c r="AB23" s="273"/>
      <c r="AC23" s="273"/>
      <c r="AD23" s="273"/>
      <c r="AE23" s="273"/>
      <c r="AF23" s="273"/>
      <c r="AG23" s="273"/>
      <c r="AH23" s="273"/>
      <c r="AI23" s="273"/>
      <c r="AJ23" s="273"/>
      <c r="AK23" s="273"/>
      <c r="AL23" s="273"/>
      <c r="AM23" s="273"/>
      <c r="AN23" s="273"/>
      <c r="AO23" s="273"/>
      <c r="AP23" s="273"/>
      <c r="AQ23" s="273"/>
      <c r="AR23" s="273"/>
      <c r="AS23" s="273"/>
      <c r="AT23" s="136">
        <f>61182000+20000000</f>
        <v>81182000</v>
      </c>
      <c r="AU23" s="136">
        <v>33510000</v>
      </c>
      <c r="AV23" s="136">
        <v>16850000</v>
      </c>
      <c r="AW23" s="273"/>
      <c r="AX23" s="273"/>
      <c r="AY23" s="273"/>
      <c r="AZ23" s="273"/>
      <c r="BA23" s="273"/>
      <c r="BB23" s="273"/>
      <c r="BC23" s="273"/>
      <c r="BD23" s="273"/>
      <c r="BE23" s="273"/>
      <c r="BF23" s="138">
        <f t="shared" si="0"/>
        <v>81182000</v>
      </c>
      <c r="BG23" s="138">
        <f t="shared" si="1"/>
        <v>33510000</v>
      </c>
      <c r="BH23" s="138">
        <f t="shared" si="2"/>
        <v>16850000</v>
      </c>
      <c r="BI23" s="261" t="s">
        <v>15</v>
      </c>
    </row>
    <row r="24" spans="1:62" s="151" customFormat="1" ht="90" customHeight="1">
      <c r="A24" s="139">
        <v>307</v>
      </c>
      <c r="B24" s="140" t="s">
        <v>134</v>
      </c>
      <c r="C24" s="139">
        <v>4</v>
      </c>
      <c r="D24" s="140" t="s">
        <v>59</v>
      </c>
      <c r="E24" s="139">
        <v>45</v>
      </c>
      <c r="F24" s="140" t="s">
        <v>60</v>
      </c>
      <c r="G24" s="139" t="s">
        <v>61</v>
      </c>
      <c r="H24" s="140" t="s">
        <v>62</v>
      </c>
      <c r="I24" s="139">
        <v>4599</v>
      </c>
      <c r="J24" s="140" t="s">
        <v>63</v>
      </c>
      <c r="K24" s="140" t="s">
        <v>135</v>
      </c>
      <c r="L24" s="139" t="s">
        <v>61</v>
      </c>
      <c r="M24" s="274" t="s">
        <v>136</v>
      </c>
      <c r="N24" s="139">
        <v>4599002</v>
      </c>
      <c r="O24" s="274" t="s">
        <v>73</v>
      </c>
      <c r="P24" s="139" t="s">
        <v>61</v>
      </c>
      <c r="Q24" s="142" t="s">
        <v>137</v>
      </c>
      <c r="R24" s="139">
        <v>459900201</v>
      </c>
      <c r="S24" s="142" t="s">
        <v>138</v>
      </c>
      <c r="T24" s="143" t="s">
        <v>69</v>
      </c>
      <c r="U24" s="275">
        <v>1</v>
      </c>
      <c r="V24" s="275"/>
      <c r="W24" s="137">
        <f t="shared" si="3"/>
        <v>1</v>
      </c>
      <c r="X24" s="137">
        <v>0.12</v>
      </c>
      <c r="Y24" s="146">
        <v>2020003630048</v>
      </c>
      <c r="Z24" s="140" t="s">
        <v>139</v>
      </c>
      <c r="AA24" s="140" t="s">
        <v>140</v>
      </c>
      <c r="AB24" s="276"/>
      <c r="AC24" s="276"/>
      <c r="AD24" s="276"/>
      <c r="AE24" s="276"/>
      <c r="AF24" s="276"/>
      <c r="AG24" s="276"/>
      <c r="AH24" s="276"/>
      <c r="AI24" s="276"/>
      <c r="AJ24" s="276"/>
      <c r="AK24" s="276"/>
      <c r="AL24" s="276"/>
      <c r="AM24" s="276"/>
      <c r="AN24" s="276"/>
      <c r="AO24" s="276"/>
      <c r="AP24" s="276"/>
      <c r="AQ24" s="276"/>
      <c r="AR24" s="276"/>
      <c r="AS24" s="276"/>
      <c r="AT24" s="135">
        <f>1313767972+360000000</f>
        <v>1673767972</v>
      </c>
      <c r="AU24" s="135">
        <v>1042520000</v>
      </c>
      <c r="AV24" s="135">
        <v>203173333</v>
      </c>
      <c r="AW24" s="135"/>
      <c r="AX24" s="135"/>
      <c r="AY24" s="135"/>
      <c r="AZ24" s="135"/>
      <c r="BA24" s="135"/>
      <c r="BB24" s="135"/>
      <c r="BC24" s="277">
        <f>250000000+104509532.16+342877095</f>
        <v>697386627.15999997</v>
      </c>
      <c r="BD24" s="277">
        <v>178770667</v>
      </c>
      <c r="BE24" s="277">
        <v>80730667</v>
      </c>
      <c r="BF24" s="138">
        <f t="shared" si="0"/>
        <v>2371154599.1599998</v>
      </c>
      <c r="BG24" s="138">
        <f t="shared" si="1"/>
        <v>1221290667</v>
      </c>
      <c r="BH24" s="138">
        <f t="shared" si="2"/>
        <v>283904000</v>
      </c>
      <c r="BI24" s="141" t="s">
        <v>7</v>
      </c>
    </row>
    <row r="25" spans="1:62" s="151" customFormat="1" ht="84.75" customHeight="1">
      <c r="A25" s="139">
        <v>307</v>
      </c>
      <c r="B25" s="140" t="s">
        <v>134</v>
      </c>
      <c r="C25" s="139">
        <v>4</v>
      </c>
      <c r="D25" s="140" t="s">
        <v>59</v>
      </c>
      <c r="E25" s="139">
        <v>45</v>
      </c>
      <c r="F25" s="140" t="s">
        <v>60</v>
      </c>
      <c r="G25" s="139" t="s">
        <v>61</v>
      </c>
      <c r="H25" s="140" t="s">
        <v>62</v>
      </c>
      <c r="I25" s="139">
        <v>4599</v>
      </c>
      <c r="J25" s="140" t="s">
        <v>63</v>
      </c>
      <c r="K25" s="140" t="s">
        <v>135</v>
      </c>
      <c r="L25" s="139" t="s">
        <v>61</v>
      </c>
      <c r="M25" s="274" t="s">
        <v>141</v>
      </c>
      <c r="N25" s="139">
        <v>4599002</v>
      </c>
      <c r="O25" s="274" t="s">
        <v>142</v>
      </c>
      <c r="P25" s="139" t="s">
        <v>61</v>
      </c>
      <c r="Q25" s="142" t="s">
        <v>143</v>
      </c>
      <c r="R25" s="139">
        <v>459900200</v>
      </c>
      <c r="S25" s="142" t="s">
        <v>144</v>
      </c>
      <c r="T25" s="143" t="s">
        <v>69</v>
      </c>
      <c r="U25" s="275">
        <v>1</v>
      </c>
      <c r="V25" s="275"/>
      <c r="W25" s="137">
        <f t="shared" si="3"/>
        <v>1</v>
      </c>
      <c r="X25" s="137">
        <v>0.24</v>
      </c>
      <c r="Y25" s="146">
        <v>2020003630049</v>
      </c>
      <c r="Z25" s="140" t="s">
        <v>145</v>
      </c>
      <c r="AA25" s="140" t="s">
        <v>146</v>
      </c>
      <c r="AB25" s="130"/>
      <c r="AC25" s="130"/>
      <c r="AD25" s="130"/>
      <c r="AE25" s="130"/>
      <c r="AF25" s="130"/>
      <c r="AG25" s="130"/>
      <c r="AH25" s="130"/>
      <c r="AI25" s="130"/>
      <c r="AJ25" s="130"/>
      <c r="AK25" s="130"/>
      <c r="AL25" s="130"/>
      <c r="AM25" s="130"/>
      <c r="AN25" s="130"/>
      <c r="AO25" s="130"/>
      <c r="AP25" s="130"/>
      <c r="AQ25" s="130"/>
      <c r="AR25" s="130"/>
      <c r="AS25" s="130"/>
      <c r="AT25" s="135">
        <f>230000000+440000000</f>
        <v>670000000</v>
      </c>
      <c r="AU25" s="135">
        <v>413600000</v>
      </c>
      <c r="AV25" s="135">
        <v>162500000</v>
      </c>
      <c r="AW25" s="130"/>
      <c r="AX25" s="130"/>
      <c r="AY25" s="130"/>
      <c r="AZ25" s="130"/>
      <c r="BA25" s="130"/>
      <c r="BB25" s="130"/>
      <c r="BC25" s="130"/>
      <c r="BD25" s="130"/>
      <c r="BE25" s="130"/>
      <c r="BF25" s="138">
        <f t="shared" si="0"/>
        <v>670000000</v>
      </c>
      <c r="BG25" s="138">
        <f t="shared" si="1"/>
        <v>413600000</v>
      </c>
      <c r="BH25" s="138">
        <f t="shared" si="2"/>
        <v>162500000</v>
      </c>
      <c r="BI25" s="141" t="s">
        <v>7</v>
      </c>
    </row>
    <row r="26" spans="1:62" s="151" customFormat="1" ht="110.25" customHeight="1">
      <c r="A26" s="139">
        <v>308</v>
      </c>
      <c r="B26" s="140" t="s">
        <v>147</v>
      </c>
      <c r="C26" s="139">
        <v>1</v>
      </c>
      <c r="D26" s="140" t="s">
        <v>148</v>
      </c>
      <c r="E26" s="139">
        <v>12</v>
      </c>
      <c r="F26" s="140" t="s">
        <v>149</v>
      </c>
      <c r="G26" s="139">
        <v>1202</v>
      </c>
      <c r="H26" s="140" t="s">
        <v>150</v>
      </c>
      <c r="I26" s="139">
        <v>1202</v>
      </c>
      <c r="J26" s="140" t="s">
        <v>151</v>
      </c>
      <c r="K26" s="140" t="s">
        <v>152</v>
      </c>
      <c r="L26" s="139" t="s">
        <v>61</v>
      </c>
      <c r="M26" s="134" t="s">
        <v>153</v>
      </c>
      <c r="N26" s="139">
        <v>1202019</v>
      </c>
      <c r="O26" s="134" t="s">
        <v>154</v>
      </c>
      <c r="P26" s="139" t="s">
        <v>61</v>
      </c>
      <c r="Q26" s="134" t="s">
        <v>155</v>
      </c>
      <c r="R26" s="137">
        <v>120201900</v>
      </c>
      <c r="S26" s="134" t="s">
        <v>156</v>
      </c>
      <c r="T26" s="143" t="s">
        <v>157</v>
      </c>
      <c r="U26" s="145">
        <v>4</v>
      </c>
      <c r="V26" s="145"/>
      <c r="W26" s="145">
        <f>U26+V26</f>
        <v>4</v>
      </c>
      <c r="X26" s="145">
        <v>0</v>
      </c>
      <c r="Y26" s="146">
        <v>2020003630017</v>
      </c>
      <c r="Z26" s="140" t="s">
        <v>158</v>
      </c>
      <c r="AA26" s="141" t="s">
        <v>159</v>
      </c>
      <c r="AB26" s="131"/>
      <c r="AC26" s="131"/>
      <c r="AD26" s="131"/>
      <c r="AE26" s="130"/>
      <c r="AF26" s="130"/>
      <c r="AG26" s="130"/>
      <c r="AH26" s="130"/>
      <c r="AI26" s="130"/>
      <c r="AJ26" s="130"/>
      <c r="AK26" s="130"/>
      <c r="AL26" s="130"/>
      <c r="AM26" s="130"/>
      <c r="AN26" s="130"/>
      <c r="AO26" s="130"/>
      <c r="AP26" s="130"/>
      <c r="AQ26" s="130"/>
      <c r="AR26" s="130"/>
      <c r="AS26" s="130"/>
      <c r="AT26" s="135">
        <f>100000000-4639613-25000000+3966913</f>
        <v>74327300</v>
      </c>
      <c r="AU26" s="135">
        <v>9800000</v>
      </c>
      <c r="AV26" s="135">
        <v>7850000</v>
      </c>
      <c r="AW26" s="130"/>
      <c r="AX26" s="130"/>
      <c r="AY26" s="130"/>
      <c r="AZ26" s="130"/>
      <c r="BA26" s="130"/>
      <c r="BB26" s="130"/>
      <c r="BC26" s="273"/>
      <c r="BD26" s="273"/>
      <c r="BE26" s="273"/>
      <c r="BF26" s="138">
        <f t="shared" si="0"/>
        <v>74327300</v>
      </c>
      <c r="BG26" s="138">
        <f t="shared" si="1"/>
        <v>9800000</v>
      </c>
      <c r="BH26" s="138">
        <f t="shared" si="2"/>
        <v>7850000</v>
      </c>
      <c r="BI26" s="141" t="s">
        <v>10</v>
      </c>
      <c r="BJ26" s="138"/>
    </row>
    <row r="27" spans="1:62" s="151" customFormat="1" ht="100.5" customHeight="1">
      <c r="A27" s="139">
        <v>308</v>
      </c>
      <c r="B27" s="140" t="s">
        <v>147</v>
      </c>
      <c r="C27" s="139">
        <v>1</v>
      </c>
      <c r="D27" s="140" t="s">
        <v>148</v>
      </c>
      <c r="E27" s="139">
        <v>22</v>
      </c>
      <c r="F27" s="140" t="s">
        <v>160</v>
      </c>
      <c r="G27" s="139">
        <v>2201</v>
      </c>
      <c r="H27" s="140" t="s">
        <v>161</v>
      </c>
      <c r="I27" s="139">
        <v>2201</v>
      </c>
      <c r="J27" s="140" t="s">
        <v>162</v>
      </c>
      <c r="K27" s="140" t="s">
        <v>163</v>
      </c>
      <c r="L27" s="139" t="s">
        <v>61</v>
      </c>
      <c r="M27" s="140" t="s">
        <v>164</v>
      </c>
      <c r="N27" s="139">
        <v>2201062</v>
      </c>
      <c r="O27" s="140" t="s">
        <v>165</v>
      </c>
      <c r="P27" s="139" t="s">
        <v>61</v>
      </c>
      <c r="Q27" s="142" t="s">
        <v>166</v>
      </c>
      <c r="R27" s="139">
        <v>220106200</v>
      </c>
      <c r="S27" s="142" t="s">
        <v>167</v>
      </c>
      <c r="T27" s="143" t="s">
        <v>157</v>
      </c>
      <c r="U27" s="145">
        <v>15</v>
      </c>
      <c r="V27" s="145"/>
      <c r="W27" s="145">
        <f t="shared" ref="W27:W35" si="5">U27+V27</f>
        <v>15</v>
      </c>
      <c r="X27" s="145">
        <v>0</v>
      </c>
      <c r="Y27" s="146">
        <v>2020003630050</v>
      </c>
      <c r="Z27" s="140" t="s">
        <v>168</v>
      </c>
      <c r="AA27" s="141" t="s">
        <v>169</v>
      </c>
      <c r="AB27" s="131">
        <f>2500000000+167024296+250000000</f>
        <v>2917024296</v>
      </c>
      <c r="AC27" s="131">
        <v>733982500</v>
      </c>
      <c r="AD27" s="131">
        <v>149450000</v>
      </c>
      <c r="AE27" s="130"/>
      <c r="AF27" s="130"/>
      <c r="AG27" s="130"/>
      <c r="AH27" s="130"/>
      <c r="AI27" s="130"/>
      <c r="AJ27" s="130"/>
      <c r="AK27" s="130"/>
      <c r="AL27" s="130"/>
      <c r="AM27" s="130"/>
      <c r="AN27" s="130"/>
      <c r="AO27" s="130"/>
      <c r="AP27" s="130"/>
      <c r="AQ27" s="130"/>
      <c r="AR27" s="130"/>
      <c r="AS27" s="130"/>
      <c r="AT27" s="135"/>
      <c r="AU27" s="135"/>
      <c r="AV27" s="135"/>
      <c r="AW27" s="130"/>
      <c r="AX27" s="130"/>
      <c r="AY27" s="130"/>
      <c r="AZ27" s="130"/>
      <c r="BA27" s="130"/>
      <c r="BB27" s="130"/>
      <c r="BC27" s="273"/>
      <c r="BD27" s="273"/>
      <c r="BE27" s="273"/>
      <c r="BF27" s="138">
        <f t="shared" si="0"/>
        <v>2917024296</v>
      </c>
      <c r="BG27" s="138">
        <f t="shared" si="1"/>
        <v>733982500</v>
      </c>
      <c r="BH27" s="138">
        <f t="shared" si="2"/>
        <v>149450000</v>
      </c>
      <c r="BI27" s="141" t="s">
        <v>10</v>
      </c>
      <c r="BJ27" s="138"/>
    </row>
    <row r="28" spans="1:62" s="151" customFormat="1" ht="89.25" customHeight="1">
      <c r="A28" s="139">
        <v>308</v>
      </c>
      <c r="B28" s="140" t="s">
        <v>147</v>
      </c>
      <c r="C28" s="139">
        <v>1</v>
      </c>
      <c r="D28" s="140" t="s">
        <v>148</v>
      </c>
      <c r="E28" s="139">
        <v>33</v>
      </c>
      <c r="F28" s="140" t="s">
        <v>170</v>
      </c>
      <c r="G28" s="139">
        <v>3301</v>
      </c>
      <c r="H28" s="140" t="s">
        <v>171</v>
      </c>
      <c r="I28" s="139">
        <v>3301</v>
      </c>
      <c r="J28" s="140" t="s">
        <v>172</v>
      </c>
      <c r="K28" s="140" t="s">
        <v>173</v>
      </c>
      <c r="L28" s="139" t="s">
        <v>174</v>
      </c>
      <c r="M28" s="140" t="s">
        <v>175</v>
      </c>
      <c r="N28" s="139" t="s">
        <v>174</v>
      </c>
      <c r="O28" s="140" t="s">
        <v>175</v>
      </c>
      <c r="P28" s="137" t="s">
        <v>176</v>
      </c>
      <c r="Q28" s="134" t="s">
        <v>177</v>
      </c>
      <c r="R28" s="137" t="s">
        <v>176</v>
      </c>
      <c r="S28" s="134" t="s">
        <v>177</v>
      </c>
      <c r="T28" s="143" t="s">
        <v>157</v>
      </c>
      <c r="U28" s="145">
        <v>3</v>
      </c>
      <c r="V28" s="145"/>
      <c r="W28" s="145">
        <f t="shared" si="5"/>
        <v>3</v>
      </c>
      <c r="X28" s="145">
        <v>0</v>
      </c>
      <c r="Y28" s="278">
        <v>2021003630001</v>
      </c>
      <c r="Z28" s="141" t="s">
        <v>178</v>
      </c>
      <c r="AA28" s="141" t="s">
        <v>179</v>
      </c>
      <c r="AB28" s="130"/>
      <c r="AC28" s="130"/>
      <c r="AD28" s="130"/>
      <c r="AE28" s="130"/>
      <c r="AF28" s="130"/>
      <c r="AG28" s="130"/>
      <c r="AH28" s="130"/>
      <c r="AI28" s="130"/>
      <c r="AJ28" s="130"/>
      <c r="AK28" s="130"/>
      <c r="AL28" s="130"/>
      <c r="AM28" s="130"/>
      <c r="AN28" s="130"/>
      <c r="AO28" s="130"/>
      <c r="AP28" s="130"/>
      <c r="AQ28" s="130"/>
      <c r="AR28" s="130"/>
      <c r="AS28" s="130"/>
      <c r="AT28" s="136">
        <f>70000000+3966912</f>
        <v>73966912</v>
      </c>
      <c r="AU28" s="136">
        <v>20500000</v>
      </c>
      <c r="AV28" s="136"/>
      <c r="AW28" s="130"/>
      <c r="AX28" s="130"/>
      <c r="AY28" s="130"/>
      <c r="AZ28" s="130"/>
      <c r="BA28" s="130"/>
      <c r="BB28" s="130"/>
      <c r="BC28" s="130"/>
      <c r="BD28" s="130"/>
      <c r="BE28" s="130"/>
      <c r="BF28" s="138">
        <f t="shared" si="0"/>
        <v>73966912</v>
      </c>
      <c r="BG28" s="138">
        <f t="shared" si="1"/>
        <v>20500000</v>
      </c>
      <c r="BH28" s="138">
        <f t="shared" si="2"/>
        <v>0</v>
      </c>
      <c r="BI28" s="141" t="s">
        <v>10</v>
      </c>
      <c r="BJ28" s="138"/>
    </row>
    <row r="29" spans="1:62" s="151" customFormat="1" ht="104.25" customHeight="1">
      <c r="A29" s="139">
        <v>308</v>
      </c>
      <c r="B29" s="140" t="s">
        <v>147</v>
      </c>
      <c r="C29" s="139">
        <v>1</v>
      </c>
      <c r="D29" s="140" t="s">
        <v>148</v>
      </c>
      <c r="E29" s="139">
        <v>41</v>
      </c>
      <c r="F29" s="140" t="s">
        <v>180</v>
      </c>
      <c r="G29" s="139">
        <v>4104</v>
      </c>
      <c r="H29" s="140" t="s">
        <v>181</v>
      </c>
      <c r="I29" s="139">
        <v>4104</v>
      </c>
      <c r="J29" s="140" t="s">
        <v>182</v>
      </c>
      <c r="K29" s="140" t="s">
        <v>183</v>
      </c>
      <c r="L29" s="132">
        <v>4104036</v>
      </c>
      <c r="M29" s="142" t="s">
        <v>184</v>
      </c>
      <c r="N29" s="132">
        <v>4104036</v>
      </c>
      <c r="O29" s="140" t="s">
        <v>185</v>
      </c>
      <c r="P29" s="145">
        <v>410403600</v>
      </c>
      <c r="Q29" s="142" t="s">
        <v>186</v>
      </c>
      <c r="R29" s="145">
        <v>410403600</v>
      </c>
      <c r="S29" s="134" t="s">
        <v>187</v>
      </c>
      <c r="T29" s="143" t="s">
        <v>157</v>
      </c>
      <c r="U29" s="145" t="s">
        <v>256</v>
      </c>
      <c r="V29" s="145">
        <v>0.4</v>
      </c>
      <c r="W29" s="145">
        <f>V29</f>
        <v>0.4</v>
      </c>
      <c r="X29" s="145">
        <v>0</v>
      </c>
      <c r="Y29" s="278">
        <v>2021003630017</v>
      </c>
      <c r="Z29" s="140" t="s">
        <v>188</v>
      </c>
      <c r="AA29" s="260" t="s">
        <v>1525</v>
      </c>
      <c r="AB29" s="130"/>
      <c r="AC29" s="130"/>
      <c r="AD29" s="130"/>
      <c r="AE29" s="130"/>
      <c r="AF29" s="130"/>
      <c r="AG29" s="130"/>
      <c r="AH29" s="130"/>
      <c r="AI29" s="130"/>
      <c r="AJ29" s="130"/>
      <c r="AK29" s="130"/>
      <c r="AL29" s="130"/>
      <c r="AM29" s="130"/>
      <c r="AN29" s="130"/>
      <c r="AO29" s="130"/>
      <c r="AP29" s="130"/>
      <c r="AQ29" s="130"/>
      <c r="AR29" s="130"/>
      <c r="AS29" s="130"/>
      <c r="AT29" s="135">
        <f>1000000+25000000+24000000+3000000000</f>
        <v>3050000000</v>
      </c>
      <c r="AU29" s="135"/>
      <c r="AV29" s="135"/>
      <c r="AW29" s="130"/>
      <c r="AX29" s="130"/>
      <c r="AY29" s="130"/>
      <c r="AZ29" s="130"/>
      <c r="BA29" s="130"/>
      <c r="BB29" s="130"/>
      <c r="BC29" s="130"/>
      <c r="BD29" s="130"/>
      <c r="BE29" s="130"/>
      <c r="BF29" s="138">
        <f t="shared" si="0"/>
        <v>3050000000</v>
      </c>
      <c r="BG29" s="138">
        <f t="shared" si="1"/>
        <v>0</v>
      </c>
      <c r="BH29" s="138">
        <f t="shared" si="2"/>
        <v>0</v>
      </c>
      <c r="BI29" s="141" t="s">
        <v>10</v>
      </c>
      <c r="BJ29" s="138"/>
    </row>
    <row r="30" spans="1:62" s="151" customFormat="1" ht="87.75" customHeight="1">
      <c r="A30" s="139">
        <v>308</v>
      </c>
      <c r="B30" s="141" t="s">
        <v>147</v>
      </c>
      <c r="C30" s="139">
        <v>1</v>
      </c>
      <c r="D30" s="141" t="s">
        <v>148</v>
      </c>
      <c r="E30" s="139">
        <v>41</v>
      </c>
      <c r="F30" s="141" t="s">
        <v>180</v>
      </c>
      <c r="G30" s="139">
        <v>4104</v>
      </c>
      <c r="H30" s="141" t="s">
        <v>181</v>
      </c>
      <c r="I30" s="139">
        <v>4104</v>
      </c>
      <c r="J30" s="141" t="s">
        <v>182</v>
      </c>
      <c r="K30" s="141" t="s">
        <v>183</v>
      </c>
      <c r="L30" s="132">
        <v>4104036</v>
      </c>
      <c r="M30" s="142" t="s">
        <v>184</v>
      </c>
      <c r="N30" s="132">
        <v>4104036</v>
      </c>
      <c r="O30" s="141" t="s">
        <v>185</v>
      </c>
      <c r="P30" s="145">
        <v>410403600</v>
      </c>
      <c r="Q30" s="142" t="s">
        <v>186</v>
      </c>
      <c r="R30" s="145">
        <v>410403600</v>
      </c>
      <c r="S30" s="134" t="s">
        <v>187</v>
      </c>
      <c r="T30" s="143" t="s">
        <v>157</v>
      </c>
      <c r="U30" s="145" t="s">
        <v>256</v>
      </c>
      <c r="V30" s="145">
        <v>0.4</v>
      </c>
      <c r="W30" s="145">
        <f>V30</f>
        <v>0.4</v>
      </c>
      <c r="X30" s="129">
        <v>0</v>
      </c>
      <c r="Y30" s="146">
        <v>2022003630007</v>
      </c>
      <c r="Z30" s="141" t="s">
        <v>1455</v>
      </c>
      <c r="AA30" s="260" t="s">
        <v>1456</v>
      </c>
      <c r="AB30" s="130"/>
      <c r="AC30" s="130"/>
      <c r="AD30" s="130"/>
      <c r="AE30" s="130"/>
      <c r="AF30" s="130"/>
      <c r="AG30" s="130"/>
      <c r="AH30" s="130"/>
      <c r="AI30" s="130"/>
      <c r="AJ30" s="130"/>
      <c r="AK30" s="130"/>
      <c r="AL30" s="130"/>
      <c r="AM30" s="130"/>
      <c r="AN30" s="130"/>
      <c r="AO30" s="130"/>
      <c r="AP30" s="130"/>
      <c r="AQ30" s="130"/>
      <c r="AR30" s="130"/>
      <c r="AS30" s="130"/>
      <c r="AT30" s="135"/>
      <c r="AU30" s="135"/>
      <c r="AV30" s="135"/>
      <c r="AW30" s="130"/>
      <c r="AX30" s="130"/>
      <c r="AY30" s="130"/>
      <c r="AZ30" s="130">
        <v>3179932867</v>
      </c>
      <c r="BA30" s="130"/>
      <c r="BB30" s="130"/>
      <c r="BC30" s="130"/>
      <c r="BD30" s="130"/>
      <c r="BE30" s="130"/>
      <c r="BF30" s="138">
        <f t="shared" si="0"/>
        <v>3179932867</v>
      </c>
      <c r="BG30" s="138">
        <f t="shared" si="1"/>
        <v>0</v>
      </c>
      <c r="BH30" s="138">
        <f t="shared" si="2"/>
        <v>0</v>
      </c>
      <c r="BI30" s="141" t="s">
        <v>10</v>
      </c>
      <c r="BJ30" s="258"/>
    </row>
    <row r="31" spans="1:62" s="151" customFormat="1" ht="123.75" customHeight="1">
      <c r="A31" s="139">
        <v>308</v>
      </c>
      <c r="B31" s="140" t="s">
        <v>147</v>
      </c>
      <c r="C31" s="139">
        <v>1</v>
      </c>
      <c r="D31" s="140" t="s">
        <v>148</v>
      </c>
      <c r="E31" s="139">
        <v>43</v>
      </c>
      <c r="F31" s="140" t="s">
        <v>189</v>
      </c>
      <c r="G31" s="139">
        <v>4301</v>
      </c>
      <c r="H31" s="140" t="s">
        <v>190</v>
      </c>
      <c r="I31" s="139">
        <v>4301</v>
      </c>
      <c r="J31" s="140" t="s">
        <v>191</v>
      </c>
      <c r="K31" s="140" t="s">
        <v>192</v>
      </c>
      <c r="L31" s="139" t="s">
        <v>61</v>
      </c>
      <c r="M31" s="134" t="s">
        <v>193</v>
      </c>
      <c r="N31" s="139">
        <v>4301004</v>
      </c>
      <c r="O31" s="134" t="s">
        <v>194</v>
      </c>
      <c r="P31" s="139" t="s">
        <v>61</v>
      </c>
      <c r="Q31" s="134" t="s">
        <v>195</v>
      </c>
      <c r="R31" s="139">
        <v>430100401</v>
      </c>
      <c r="S31" s="134" t="s">
        <v>196</v>
      </c>
      <c r="T31" s="143" t="s">
        <v>157</v>
      </c>
      <c r="U31" s="145">
        <v>3</v>
      </c>
      <c r="V31" s="145"/>
      <c r="W31" s="145">
        <f t="shared" si="5"/>
        <v>3</v>
      </c>
      <c r="X31" s="145">
        <v>0</v>
      </c>
      <c r="Y31" s="146">
        <v>2020003630052</v>
      </c>
      <c r="Z31" s="141" t="s">
        <v>197</v>
      </c>
      <c r="AA31" s="141" t="s">
        <v>198</v>
      </c>
      <c r="AB31" s="138">
        <f>1500000000+14872080+1664967+72946288+4376079954.1</f>
        <v>5965563289.1000004</v>
      </c>
      <c r="AC31" s="138">
        <v>298057500</v>
      </c>
      <c r="AD31" s="138">
        <v>15100000</v>
      </c>
      <c r="AE31" s="130"/>
      <c r="AF31" s="130"/>
      <c r="AG31" s="130"/>
      <c r="AH31" s="130"/>
      <c r="AI31" s="130"/>
      <c r="AJ31" s="130"/>
      <c r="AK31" s="130"/>
      <c r="AL31" s="130"/>
      <c r="AM31" s="130"/>
      <c r="AN31" s="130"/>
      <c r="AO31" s="130"/>
      <c r="AP31" s="130"/>
      <c r="AQ31" s="130"/>
      <c r="AR31" s="130"/>
      <c r="AS31" s="130"/>
      <c r="AT31" s="135"/>
      <c r="AU31" s="135"/>
      <c r="AV31" s="135"/>
      <c r="AW31" s="130"/>
      <c r="AX31" s="130"/>
      <c r="AY31" s="130"/>
      <c r="AZ31" s="130"/>
      <c r="BA31" s="130"/>
      <c r="BB31" s="130"/>
      <c r="BC31" s="130"/>
      <c r="BD31" s="130"/>
      <c r="BE31" s="130"/>
      <c r="BF31" s="138">
        <f t="shared" si="0"/>
        <v>5965563289.1000004</v>
      </c>
      <c r="BG31" s="138">
        <f t="shared" si="1"/>
        <v>298057500</v>
      </c>
      <c r="BH31" s="138">
        <f t="shared" si="2"/>
        <v>15100000</v>
      </c>
      <c r="BI31" s="141" t="s">
        <v>10</v>
      </c>
      <c r="BJ31" s="138"/>
    </row>
    <row r="32" spans="1:62" s="151" customFormat="1" ht="69" customHeight="1">
      <c r="A32" s="139">
        <v>308</v>
      </c>
      <c r="B32" s="140" t="s">
        <v>147</v>
      </c>
      <c r="C32" s="139">
        <v>2</v>
      </c>
      <c r="D32" s="140" t="s">
        <v>199</v>
      </c>
      <c r="E32" s="139">
        <v>17</v>
      </c>
      <c r="F32" s="140" t="s">
        <v>200</v>
      </c>
      <c r="G32" s="139">
        <v>1709</v>
      </c>
      <c r="H32" s="140" t="s">
        <v>201</v>
      </c>
      <c r="I32" s="139">
        <v>1709</v>
      </c>
      <c r="J32" s="140" t="s">
        <v>202</v>
      </c>
      <c r="K32" s="279" t="s">
        <v>203</v>
      </c>
      <c r="L32" s="132">
        <v>1709065</v>
      </c>
      <c r="M32" s="279" t="s">
        <v>204</v>
      </c>
      <c r="N32" s="132">
        <v>1709065</v>
      </c>
      <c r="O32" s="279" t="s">
        <v>204</v>
      </c>
      <c r="P32" s="132">
        <v>170906500</v>
      </c>
      <c r="Q32" s="279" t="s">
        <v>204</v>
      </c>
      <c r="R32" s="132">
        <v>170906500</v>
      </c>
      <c r="S32" s="279" t="s">
        <v>205</v>
      </c>
      <c r="T32" s="143" t="s">
        <v>69</v>
      </c>
      <c r="U32" s="139">
        <v>1</v>
      </c>
      <c r="V32" s="139"/>
      <c r="W32" s="145">
        <f t="shared" si="5"/>
        <v>1</v>
      </c>
      <c r="X32" s="145">
        <v>0</v>
      </c>
      <c r="Y32" s="278">
        <v>2021003630018</v>
      </c>
      <c r="Z32" s="279" t="s">
        <v>206</v>
      </c>
      <c r="AA32" s="260" t="s">
        <v>207</v>
      </c>
      <c r="AB32" s="138"/>
      <c r="AC32" s="138"/>
      <c r="AD32" s="138"/>
      <c r="AE32" s="280"/>
      <c r="AF32" s="280"/>
      <c r="AG32" s="280"/>
      <c r="AH32" s="280"/>
      <c r="AI32" s="280"/>
      <c r="AJ32" s="280"/>
      <c r="AK32" s="280"/>
      <c r="AL32" s="280"/>
      <c r="AM32" s="280"/>
      <c r="AN32" s="280"/>
      <c r="AO32" s="280"/>
      <c r="AP32" s="280"/>
      <c r="AQ32" s="280"/>
      <c r="AR32" s="280"/>
      <c r="AS32" s="280"/>
      <c r="AT32" s="135">
        <v>1000000</v>
      </c>
      <c r="AU32" s="135"/>
      <c r="AV32" s="135"/>
      <c r="AW32" s="280"/>
      <c r="AX32" s="280"/>
      <c r="AY32" s="280"/>
      <c r="AZ32" s="280"/>
      <c r="BA32" s="280"/>
      <c r="BB32" s="280"/>
      <c r="BC32" s="280"/>
      <c r="BD32" s="280"/>
      <c r="BE32" s="280"/>
      <c r="BF32" s="138">
        <f t="shared" si="0"/>
        <v>1000000</v>
      </c>
      <c r="BG32" s="138">
        <f t="shared" si="1"/>
        <v>0</v>
      </c>
      <c r="BH32" s="138">
        <f t="shared" si="2"/>
        <v>0</v>
      </c>
      <c r="BI32" s="141" t="s">
        <v>10</v>
      </c>
      <c r="BJ32" s="138"/>
    </row>
    <row r="33" spans="1:74" s="151" customFormat="1" ht="73.5" customHeight="1">
      <c r="A33" s="139">
        <v>308</v>
      </c>
      <c r="B33" s="140" t="s">
        <v>147</v>
      </c>
      <c r="C33" s="139">
        <v>2</v>
      </c>
      <c r="D33" s="140" t="s">
        <v>199</v>
      </c>
      <c r="E33" s="139">
        <v>17</v>
      </c>
      <c r="F33" s="140" t="s">
        <v>200</v>
      </c>
      <c r="G33" s="139">
        <v>1709</v>
      </c>
      <c r="H33" s="140" t="s">
        <v>201</v>
      </c>
      <c r="I33" s="139">
        <v>1709</v>
      </c>
      <c r="J33" s="140" t="s">
        <v>202</v>
      </c>
      <c r="K33" s="279" t="s">
        <v>203</v>
      </c>
      <c r="L33" s="132">
        <v>1709078</v>
      </c>
      <c r="M33" s="279" t="s">
        <v>208</v>
      </c>
      <c r="N33" s="132">
        <v>1709078</v>
      </c>
      <c r="O33" s="279" t="s">
        <v>208</v>
      </c>
      <c r="P33" s="132">
        <v>170907800</v>
      </c>
      <c r="Q33" s="279" t="s">
        <v>208</v>
      </c>
      <c r="R33" s="132">
        <v>170907800</v>
      </c>
      <c r="S33" s="279" t="s">
        <v>208</v>
      </c>
      <c r="T33" s="143" t="s">
        <v>69</v>
      </c>
      <c r="U33" s="139">
        <v>1</v>
      </c>
      <c r="V33" s="139"/>
      <c r="W33" s="145">
        <f t="shared" si="5"/>
        <v>1</v>
      </c>
      <c r="X33" s="145">
        <v>0</v>
      </c>
      <c r="Y33" s="278">
        <v>2021003630019</v>
      </c>
      <c r="Z33" s="279" t="s">
        <v>209</v>
      </c>
      <c r="AA33" s="260" t="s">
        <v>210</v>
      </c>
      <c r="AB33" s="138"/>
      <c r="AC33" s="138"/>
      <c r="AD33" s="138"/>
      <c r="AE33" s="280"/>
      <c r="AF33" s="280"/>
      <c r="AG33" s="280"/>
      <c r="AH33" s="280"/>
      <c r="AI33" s="280"/>
      <c r="AJ33" s="280"/>
      <c r="AK33" s="280"/>
      <c r="AL33" s="280"/>
      <c r="AM33" s="280"/>
      <c r="AN33" s="280"/>
      <c r="AO33" s="280"/>
      <c r="AP33" s="280"/>
      <c r="AQ33" s="280"/>
      <c r="AR33" s="280"/>
      <c r="AS33" s="280"/>
      <c r="AT33" s="135">
        <v>40000000</v>
      </c>
      <c r="AU33" s="135">
        <v>30900000</v>
      </c>
      <c r="AV33" s="135"/>
      <c r="AW33" s="280"/>
      <c r="AX33" s="280"/>
      <c r="AY33" s="280"/>
      <c r="AZ33" s="280"/>
      <c r="BA33" s="280"/>
      <c r="BB33" s="280"/>
      <c r="BC33" s="280"/>
      <c r="BD33" s="280"/>
      <c r="BE33" s="280"/>
      <c r="BF33" s="138">
        <f t="shared" si="0"/>
        <v>40000000</v>
      </c>
      <c r="BG33" s="138">
        <f t="shared" si="1"/>
        <v>30900000</v>
      </c>
      <c r="BH33" s="138">
        <f t="shared" si="2"/>
        <v>0</v>
      </c>
      <c r="BI33" s="141" t="s">
        <v>10</v>
      </c>
      <c r="BJ33" s="138"/>
    </row>
    <row r="34" spans="1:74" s="151" customFormat="1" ht="123.75" customHeight="1">
      <c r="A34" s="139">
        <v>308</v>
      </c>
      <c r="B34" s="140" t="s">
        <v>147</v>
      </c>
      <c r="C34" s="139">
        <v>3</v>
      </c>
      <c r="D34" s="140" t="s">
        <v>211</v>
      </c>
      <c r="E34" s="139">
        <v>24</v>
      </c>
      <c r="F34" s="140" t="s">
        <v>212</v>
      </c>
      <c r="G34" s="139">
        <v>2402</v>
      </c>
      <c r="H34" s="140" t="s">
        <v>213</v>
      </c>
      <c r="I34" s="139">
        <v>2402</v>
      </c>
      <c r="J34" s="140" t="s">
        <v>214</v>
      </c>
      <c r="K34" s="140" t="s">
        <v>215</v>
      </c>
      <c r="L34" s="139" t="s">
        <v>61</v>
      </c>
      <c r="M34" s="134" t="s">
        <v>216</v>
      </c>
      <c r="N34" s="139">
        <v>2402022</v>
      </c>
      <c r="O34" s="134" t="s">
        <v>217</v>
      </c>
      <c r="P34" s="139" t="s">
        <v>61</v>
      </c>
      <c r="Q34" s="134" t="s">
        <v>218</v>
      </c>
      <c r="R34" s="139">
        <v>240202200</v>
      </c>
      <c r="S34" s="134" t="s">
        <v>219</v>
      </c>
      <c r="T34" s="143" t="s">
        <v>69</v>
      </c>
      <c r="U34" s="132">
        <v>1</v>
      </c>
      <c r="V34" s="132"/>
      <c r="W34" s="145">
        <f t="shared" si="5"/>
        <v>1</v>
      </c>
      <c r="X34" s="145">
        <v>0</v>
      </c>
      <c r="Y34" s="146">
        <v>2020003630053</v>
      </c>
      <c r="Z34" s="140" t="s">
        <v>220</v>
      </c>
      <c r="AA34" s="140" t="s">
        <v>221</v>
      </c>
      <c r="AB34" s="130"/>
      <c r="AC34" s="130"/>
      <c r="AD34" s="130"/>
      <c r="AE34" s="130"/>
      <c r="AF34" s="130"/>
      <c r="AG34" s="130"/>
      <c r="AH34" s="130"/>
      <c r="AI34" s="130"/>
      <c r="AJ34" s="130"/>
      <c r="AK34" s="130"/>
      <c r="AL34" s="130"/>
      <c r="AM34" s="130"/>
      <c r="AN34" s="130"/>
      <c r="AO34" s="130"/>
      <c r="AP34" s="130"/>
      <c r="AQ34" s="130"/>
      <c r="AR34" s="130"/>
      <c r="AS34" s="130"/>
      <c r="AT34" s="135">
        <v>40000000</v>
      </c>
      <c r="AU34" s="135">
        <v>16500000</v>
      </c>
      <c r="AV34" s="135">
        <v>6400000</v>
      </c>
      <c r="AW34" s="136">
        <f>100000000+100000000-100000000</f>
        <v>100000000</v>
      </c>
      <c r="AX34" s="136"/>
      <c r="AY34" s="136"/>
      <c r="AZ34" s="136"/>
      <c r="BA34" s="136"/>
      <c r="BB34" s="136"/>
      <c r="BC34" s="130"/>
      <c r="BD34" s="130"/>
      <c r="BE34" s="130"/>
      <c r="BF34" s="138">
        <f t="shared" si="0"/>
        <v>140000000</v>
      </c>
      <c r="BG34" s="138">
        <f t="shared" si="1"/>
        <v>16500000</v>
      </c>
      <c r="BH34" s="138">
        <f t="shared" si="2"/>
        <v>6400000</v>
      </c>
      <c r="BI34" s="141" t="s">
        <v>10</v>
      </c>
      <c r="BJ34" s="138"/>
    </row>
    <row r="35" spans="1:74" s="151" customFormat="1" ht="120.75" customHeight="1">
      <c r="A35" s="139">
        <v>308</v>
      </c>
      <c r="B35" s="140" t="s">
        <v>147</v>
      </c>
      <c r="C35" s="139">
        <v>3</v>
      </c>
      <c r="D35" s="140" t="s">
        <v>211</v>
      </c>
      <c r="E35" s="139">
        <v>24</v>
      </c>
      <c r="F35" s="140" t="s">
        <v>212</v>
      </c>
      <c r="G35" s="139">
        <v>2402</v>
      </c>
      <c r="H35" s="141" t="s">
        <v>213</v>
      </c>
      <c r="I35" s="139">
        <v>2402</v>
      </c>
      <c r="J35" s="141" t="s">
        <v>214</v>
      </c>
      <c r="K35" s="134" t="s">
        <v>215</v>
      </c>
      <c r="L35" s="139" t="s">
        <v>61</v>
      </c>
      <c r="M35" s="134" t="s">
        <v>222</v>
      </c>
      <c r="N35" s="281">
        <v>2402041</v>
      </c>
      <c r="O35" s="134" t="s">
        <v>223</v>
      </c>
      <c r="P35" s="139" t="s">
        <v>61</v>
      </c>
      <c r="Q35" s="134" t="s">
        <v>224</v>
      </c>
      <c r="R35" s="137">
        <v>240204100</v>
      </c>
      <c r="S35" s="134" t="s">
        <v>225</v>
      </c>
      <c r="T35" s="143" t="s">
        <v>69</v>
      </c>
      <c r="U35" s="132">
        <v>70.379000000000005</v>
      </c>
      <c r="V35" s="132"/>
      <c r="W35" s="145">
        <f t="shared" si="5"/>
        <v>70.379000000000005</v>
      </c>
      <c r="X35" s="145">
        <v>65.5</v>
      </c>
      <c r="Y35" s="146">
        <v>2020003630053</v>
      </c>
      <c r="Z35" s="140" t="s">
        <v>220</v>
      </c>
      <c r="AA35" s="140" t="s">
        <v>221</v>
      </c>
      <c r="AB35" s="130"/>
      <c r="AC35" s="130"/>
      <c r="AD35" s="130"/>
      <c r="AE35" s="130"/>
      <c r="AF35" s="130"/>
      <c r="AG35" s="130"/>
      <c r="AH35" s="130"/>
      <c r="AI35" s="130"/>
      <c r="AJ35" s="130"/>
      <c r="AK35" s="130"/>
      <c r="AL35" s="130"/>
      <c r="AM35" s="130"/>
      <c r="AN35" s="130"/>
      <c r="AO35" s="130"/>
      <c r="AP35" s="130"/>
      <c r="AQ35" s="130"/>
      <c r="AR35" s="130"/>
      <c r="AS35" s="130"/>
      <c r="AT35" s="135">
        <v>300000000</v>
      </c>
      <c r="AU35" s="135">
        <v>104933333</v>
      </c>
      <c r="AV35" s="135">
        <v>13750000</v>
      </c>
      <c r="AW35" s="131">
        <f>400000000+45561481+460477394.52-42514047</f>
        <v>863524828.51999998</v>
      </c>
      <c r="AX35" s="131">
        <v>289250000</v>
      </c>
      <c r="AY35" s="131">
        <v>50650000</v>
      </c>
      <c r="AZ35" s="131"/>
      <c r="BA35" s="131"/>
      <c r="BB35" s="131"/>
      <c r="BC35" s="130">
        <f>19788720416+9326778094</f>
        <v>29115498510</v>
      </c>
      <c r="BD35" s="130">
        <v>15750000</v>
      </c>
      <c r="BE35" s="130">
        <v>2450000</v>
      </c>
      <c r="BF35" s="138">
        <f t="shared" si="0"/>
        <v>30279023338.52</v>
      </c>
      <c r="BG35" s="138">
        <f t="shared" si="1"/>
        <v>409933333</v>
      </c>
      <c r="BH35" s="138">
        <f t="shared" si="2"/>
        <v>66850000</v>
      </c>
      <c r="BI35" s="141" t="s">
        <v>10</v>
      </c>
      <c r="BJ35" s="138"/>
    </row>
    <row r="36" spans="1:74" s="151" customFormat="1" ht="80.25" customHeight="1">
      <c r="A36" s="139">
        <v>308</v>
      </c>
      <c r="B36" s="141" t="s">
        <v>147</v>
      </c>
      <c r="C36" s="139">
        <v>3</v>
      </c>
      <c r="D36" s="141" t="s">
        <v>211</v>
      </c>
      <c r="E36" s="139">
        <v>24</v>
      </c>
      <c r="F36" s="141" t="s">
        <v>212</v>
      </c>
      <c r="G36" s="139">
        <v>2402</v>
      </c>
      <c r="H36" s="141" t="s">
        <v>213</v>
      </c>
      <c r="I36" s="139">
        <v>2402</v>
      </c>
      <c r="J36" s="141" t="s">
        <v>214</v>
      </c>
      <c r="K36" s="134" t="s">
        <v>215</v>
      </c>
      <c r="L36" s="143" t="s">
        <v>61</v>
      </c>
      <c r="M36" s="141" t="s">
        <v>1433</v>
      </c>
      <c r="N36" s="139">
        <v>2402118</v>
      </c>
      <c r="O36" s="141" t="s">
        <v>1434</v>
      </c>
      <c r="P36" s="143" t="s">
        <v>61</v>
      </c>
      <c r="Q36" s="142" t="s">
        <v>1435</v>
      </c>
      <c r="R36" s="139">
        <v>240211800</v>
      </c>
      <c r="S36" s="142" t="s">
        <v>1436</v>
      </c>
      <c r="T36" s="143" t="s">
        <v>157</v>
      </c>
      <c r="U36" s="145" t="s">
        <v>256</v>
      </c>
      <c r="V36" s="144">
        <v>3</v>
      </c>
      <c r="W36" s="129">
        <f t="shared" ref="W36" si="6">SUM(U36:V36)</f>
        <v>3</v>
      </c>
      <c r="X36" s="129">
        <v>0</v>
      </c>
      <c r="Y36" s="146">
        <v>2020003630054</v>
      </c>
      <c r="Z36" s="142" t="s">
        <v>1437</v>
      </c>
      <c r="AA36" s="140" t="s">
        <v>1438</v>
      </c>
      <c r="AB36" s="130"/>
      <c r="AC36" s="130"/>
      <c r="AD36" s="130"/>
      <c r="AE36" s="130"/>
      <c r="AF36" s="130"/>
      <c r="AG36" s="130"/>
      <c r="AH36" s="130"/>
      <c r="AI36" s="130"/>
      <c r="AJ36" s="130"/>
      <c r="AK36" s="130"/>
      <c r="AL36" s="130"/>
      <c r="AM36" s="130"/>
      <c r="AN36" s="130"/>
      <c r="AO36" s="130"/>
      <c r="AP36" s="130"/>
      <c r="AQ36" s="130"/>
      <c r="AR36" s="130"/>
      <c r="AS36" s="130"/>
      <c r="AT36" s="135"/>
      <c r="AU36" s="135"/>
      <c r="AV36" s="135"/>
      <c r="AW36" s="135">
        <f>250000000+142514047</f>
        <v>392514047</v>
      </c>
      <c r="AX36" s="135">
        <v>62514047</v>
      </c>
      <c r="AY36" s="135"/>
      <c r="AZ36" s="131"/>
      <c r="BA36" s="131"/>
      <c r="BB36" s="131"/>
      <c r="BC36" s="130"/>
      <c r="BD36" s="130"/>
      <c r="BE36" s="130"/>
      <c r="BF36" s="138">
        <f t="shared" si="0"/>
        <v>392514047</v>
      </c>
      <c r="BG36" s="138">
        <f t="shared" si="1"/>
        <v>62514047</v>
      </c>
      <c r="BH36" s="138">
        <f t="shared" si="2"/>
        <v>0</v>
      </c>
      <c r="BI36" s="141" t="s">
        <v>10</v>
      </c>
      <c r="BJ36" s="258"/>
    </row>
    <row r="37" spans="1:74" s="151" customFormat="1" ht="38.25">
      <c r="A37" s="146">
        <v>308</v>
      </c>
      <c r="B37" s="141" t="s">
        <v>147</v>
      </c>
      <c r="C37" s="146">
        <v>3</v>
      </c>
      <c r="D37" s="141" t="s">
        <v>211</v>
      </c>
      <c r="E37" s="146">
        <v>24</v>
      </c>
      <c r="F37" s="141" t="s">
        <v>212</v>
      </c>
      <c r="G37" s="146">
        <v>2402</v>
      </c>
      <c r="H37" s="141" t="s">
        <v>213</v>
      </c>
      <c r="I37" s="146">
        <v>2402</v>
      </c>
      <c r="J37" s="141" t="s">
        <v>214</v>
      </c>
      <c r="K37" s="134" t="s">
        <v>1439</v>
      </c>
      <c r="L37" s="143" t="s">
        <v>61</v>
      </c>
      <c r="M37" s="141" t="s">
        <v>222</v>
      </c>
      <c r="N37" s="146">
        <v>2402006</v>
      </c>
      <c r="O37" s="141" t="s">
        <v>1440</v>
      </c>
      <c r="P37" s="143" t="s">
        <v>61</v>
      </c>
      <c r="Q37" s="142" t="s">
        <v>1441</v>
      </c>
      <c r="R37" s="146">
        <v>240200606</v>
      </c>
      <c r="S37" s="142" t="s">
        <v>1442</v>
      </c>
      <c r="T37" s="143" t="s">
        <v>157</v>
      </c>
      <c r="U37" s="254">
        <v>4.6950000000000003</v>
      </c>
      <c r="V37" s="253"/>
      <c r="W37" s="133"/>
      <c r="X37" s="129">
        <v>0</v>
      </c>
      <c r="Y37" s="146">
        <v>2018000040059</v>
      </c>
      <c r="Z37" s="142" t="s">
        <v>1443</v>
      </c>
      <c r="AA37" s="141" t="s">
        <v>1444</v>
      </c>
      <c r="AB37" s="130"/>
      <c r="AC37" s="130"/>
      <c r="AD37" s="130"/>
      <c r="AE37" s="130"/>
      <c r="AF37" s="130"/>
      <c r="AG37" s="130"/>
      <c r="AH37" s="130"/>
      <c r="AI37" s="130"/>
      <c r="AJ37" s="130"/>
      <c r="AK37" s="130"/>
      <c r="AL37" s="130"/>
      <c r="AM37" s="130"/>
      <c r="AN37" s="130"/>
      <c r="AO37" s="130"/>
      <c r="AP37" s="130"/>
      <c r="AQ37" s="130"/>
      <c r="AR37" s="130"/>
      <c r="AS37" s="130"/>
      <c r="AT37" s="135"/>
      <c r="AU37" s="135"/>
      <c r="AV37" s="135"/>
      <c r="AW37" s="136"/>
      <c r="AX37" s="136"/>
      <c r="AY37" s="136"/>
      <c r="AZ37" s="136">
        <v>6536661612</v>
      </c>
      <c r="BA37" s="136"/>
      <c r="BB37" s="136"/>
      <c r="BC37" s="258"/>
      <c r="BD37" s="258"/>
      <c r="BE37" s="258"/>
      <c r="BF37" s="138">
        <f t="shared" si="0"/>
        <v>6536661612</v>
      </c>
      <c r="BG37" s="138">
        <f t="shared" si="1"/>
        <v>0</v>
      </c>
      <c r="BH37" s="138">
        <f t="shared" si="2"/>
        <v>0</v>
      </c>
      <c r="BI37" s="143" t="s">
        <v>10</v>
      </c>
      <c r="BJ37" s="258"/>
    </row>
    <row r="38" spans="1:74" s="151" customFormat="1" ht="38.25">
      <c r="A38" s="146">
        <v>308</v>
      </c>
      <c r="B38" s="141" t="s">
        <v>147</v>
      </c>
      <c r="C38" s="146">
        <v>3</v>
      </c>
      <c r="D38" s="141" t="s">
        <v>211</v>
      </c>
      <c r="E38" s="146">
        <v>24</v>
      </c>
      <c r="F38" s="141" t="s">
        <v>212</v>
      </c>
      <c r="G38" s="146">
        <v>2402</v>
      </c>
      <c r="H38" s="141" t="s">
        <v>213</v>
      </c>
      <c r="I38" s="146">
        <v>2402</v>
      </c>
      <c r="J38" s="141" t="s">
        <v>214</v>
      </c>
      <c r="K38" s="134" t="s">
        <v>1439</v>
      </c>
      <c r="L38" s="143" t="s">
        <v>61</v>
      </c>
      <c r="M38" s="141" t="s">
        <v>222</v>
      </c>
      <c r="N38" s="146">
        <v>2402006</v>
      </c>
      <c r="O38" s="141" t="s">
        <v>1440</v>
      </c>
      <c r="P38" s="143" t="s">
        <v>61</v>
      </c>
      <c r="Q38" s="142" t="s">
        <v>1441</v>
      </c>
      <c r="R38" s="146">
        <v>240200606</v>
      </c>
      <c r="S38" s="142" t="s">
        <v>1442</v>
      </c>
      <c r="T38" s="143" t="s">
        <v>157</v>
      </c>
      <c r="U38" s="253">
        <v>1.02</v>
      </c>
      <c r="V38" s="253"/>
      <c r="W38" s="133"/>
      <c r="X38" s="129">
        <v>0</v>
      </c>
      <c r="Y38" s="146">
        <v>2022003630010</v>
      </c>
      <c r="Z38" s="142" t="s">
        <v>1445</v>
      </c>
      <c r="AA38" s="141" t="s">
        <v>1446</v>
      </c>
      <c r="AB38" s="130"/>
      <c r="AC38" s="130"/>
      <c r="AD38" s="130"/>
      <c r="AE38" s="130"/>
      <c r="AF38" s="130"/>
      <c r="AG38" s="130"/>
      <c r="AH38" s="130"/>
      <c r="AI38" s="130"/>
      <c r="AJ38" s="130"/>
      <c r="AK38" s="130"/>
      <c r="AL38" s="130"/>
      <c r="AM38" s="130"/>
      <c r="AN38" s="130"/>
      <c r="AO38" s="130"/>
      <c r="AP38" s="130"/>
      <c r="AQ38" s="130"/>
      <c r="AR38" s="130"/>
      <c r="AS38" s="130"/>
      <c r="AT38" s="135"/>
      <c r="AU38" s="135"/>
      <c r="AV38" s="135"/>
      <c r="AW38" s="136"/>
      <c r="AX38" s="136"/>
      <c r="AY38" s="136"/>
      <c r="AZ38" s="136">
        <v>9133426135</v>
      </c>
      <c r="BA38" s="136"/>
      <c r="BB38" s="136"/>
      <c r="BC38" s="258"/>
      <c r="BD38" s="258"/>
      <c r="BE38" s="258"/>
      <c r="BF38" s="138">
        <f t="shared" si="0"/>
        <v>9133426135</v>
      </c>
      <c r="BG38" s="138">
        <f t="shared" si="1"/>
        <v>0</v>
      </c>
      <c r="BH38" s="138">
        <f t="shared" si="2"/>
        <v>0</v>
      </c>
      <c r="BI38" s="143" t="s">
        <v>10</v>
      </c>
      <c r="BJ38" s="258"/>
    </row>
    <row r="39" spans="1:74" s="151" customFormat="1" ht="74.25" customHeight="1">
      <c r="A39" s="139">
        <v>308</v>
      </c>
      <c r="B39" s="140" t="s">
        <v>147</v>
      </c>
      <c r="C39" s="139">
        <v>3</v>
      </c>
      <c r="D39" s="140" t="s">
        <v>211</v>
      </c>
      <c r="E39" s="139">
        <v>32</v>
      </c>
      <c r="F39" s="140" t="s">
        <v>226</v>
      </c>
      <c r="G39" s="139">
        <v>3205</v>
      </c>
      <c r="H39" s="140" t="s">
        <v>227</v>
      </c>
      <c r="I39" s="139">
        <v>3205</v>
      </c>
      <c r="J39" s="140" t="s">
        <v>228</v>
      </c>
      <c r="K39" s="140" t="s">
        <v>229</v>
      </c>
      <c r="L39" s="137">
        <v>3205010</v>
      </c>
      <c r="M39" s="140" t="s">
        <v>230</v>
      </c>
      <c r="N39" s="137">
        <v>3205010</v>
      </c>
      <c r="O39" s="140" t="s">
        <v>230</v>
      </c>
      <c r="P39" s="137" t="s">
        <v>231</v>
      </c>
      <c r="Q39" s="142" t="s">
        <v>232</v>
      </c>
      <c r="R39" s="137" t="s">
        <v>231</v>
      </c>
      <c r="S39" s="142" t="s">
        <v>232</v>
      </c>
      <c r="T39" s="143" t="s">
        <v>157</v>
      </c>
      <c r="U39" s="145">
        <v>3</v>
      </c>
      <c r="V39" s="145"/>
      <c r="W39" s="145">
        <f>U39+V39</f>
        <v>3</v>
      </c>
      <c r="X39" s="145">
        <v>0</v>
      </c>
      <c r="Y39" s="278">
        <v>2021003630004</v>
      </c>
      <c r="Z39" s="142" t="s">
        <v>233</v>
      </c>
      <c r="AA39" s="140" t="s">
        <v>234</v>
      </c>
      <c r="AB39" s="130"/>
      <c r="AC39" s="130"/>
      <c r="AD39" s="130"/>
      <c r="AE39" s="130"/>
      <c r="AF39" s="130"/>
      <c r="AG39" s="130"/>
      <c r="AH39" s="130"/>
      <c r="AI39" s="130"/>
      <c r="AJ39" s="130"/>
      <c r="AK39" s="130"/>
      <c r="AL39" s="130"/>
      <c r="AM39" s="130"/>
      <c r="AN39" s="130"/>
      <c r="AO39" s="130"/>
      <c r="AP39" s="130"/>
      <c r="AQ39" s="130"/>
      <c r="AR39" s="130"/>
      <c r="AS39" s="130"/>
      <c r="AT39" s="135">
        <v>35000000</v>
      </c>
      <c r="AU39" s="135"/>
      <c r="AV39" s="135"/>
      <c r="AW39" s="136">
        <f>400000000+300000000</f>
        <v>700000000</v>
      </c>
      <c r="AX39" s="136"/>
      <c r="AY39" s="136"/>
      <c r="AZ39" s="136"/>
      <c r="BA39" s="136"/>
      <c r="BB39" s="136"/>
      <c r="BC39" s="130"/>
      <c r="BD39" s="130"/>
      <c r="BE39" s="130"/>
      <c r="BF39" s="138">
        <f t="shared" si="0"/>
        <v>735000000</v>
      </c>
      <c r="BG39" s="138">
        <f t="shared" si="1"/>
        <v>0</v>
      </c>
      <c r="BH39" s="138">
        <f t="shared" si="2"/>
        <v>0</v>
      </c>
      <c r="BI39" s="141" t="s">
        <v>10</v>
      </c>
      <c r="BJ39" s="138"/>
      <c r="BM39" s="282"/>
      <c r="BN39" s="282"/>
      <c r="BO39" s="282"/>
      <c r="BP39" s="283"/>
      <c r="BQ39" s="282"/>
      <c r="BR39" s="282"/>
      <c r="BS39" s="282"/>
      <c r="BT39" s="282"/>
      <c r="BU39" s="282"/>
      <c r="BV39" s="282"/>
    </row>
    <row r="40" spans="1:74" s="151" customFormat="1" ht="96" customHeight="1">
      <c r="A40" s="139">
        <v>308</v>
      </c>
      <c r="B40" s="140" t="s">
        <v>147</v>
      </c>
      <c r="C40" s="139">
        <v>3</v>
      </c>
      <c r="D40" s="140" t="s">
        <v>211</v>
      </c>
      <c r="E40" s="139">
        <v>32</v>
      </c>
      <c r="F40" s="140" t="s">
        <v>226</v>
      </c>
      <c r="G40" s="139">
        <v>3205</v>
      </c>
      <c r="H40" s="140" t="s">
        <v>227</v>
      </c>
      <c r="I40" s="139">
        <v>3205</v>
      </c>
      <c r="J40" s="140" t="s">
        <v>228</v>
      </c>
      <c r="K40" s="140" t="s">
        <v>235</v>
      </c>
      <c r="L40" s="137">
        <v>3205021</v>
      </c>
      <c r="M40" s="140" t="s">
        <v>236</v>
      </c>
      <c r="N40" s="137">
        <v>3205021</v>
      </c>
      <c r="O40" s="140" t="s">
        <v>236</v>
      </c>
      <c r="P40" s="137">
        <v>320502100</v>
      </c>
      <c r="Q40" s="142" t="s">
        <v>237</v>
      </c>
      <c r="R40" s="137">
        <v>320502100</v>
      </c>
      <c r="S40" s="142" t="s">
        <v>237</v>
      </c>
      <c r="T40" s="143" t="s">
        <v>157</v>
      </c>
      <c r="U40" s="145">
        <v>4</v>
      </c>
      <c r="V40" s="145">
        <v>1</v>
      </c>
      <c r="W40" s="145">
        <f t="shared" ref="W40:W50" si="7">U40+V40</f>
        <v>5</v>
      </c>
      <c r="X40" s="145">
        <v>0</v>
      </c>
      <c r="Y40" s="278">
        <v>2021003630002</v>
      </c>
      <c r="Z40" s="142" t="s">
        <v>238</v>
      </c>
      <c r="AA40" s="141" t="s">
        <v>239</v>
      </c>
      <c r="AB40" s="130"/>
      <c r="AC40" s="130"/>
      <c r="AD40" s="130"/>
      <c r="AE40" s="130"/>
      <c r="AF40" s="130"/>
      <c r="AG40" s="130"/>
      <c r="AH40" s="130"/>
      <c r="AI40" s="130"/>
      <c r="AJ40" s="130"/>
      <c r="AK40" s="130"/>
      <c r="AL40" s="130"/>
      <c r="AM40" s="130"/>
      <c r="AN40" s="130"/>
      <c r="AO40" s="130"/>
      <c r="AP40" s="130"/>
      <c r="AQ40" s="130"/>
      <c r="AR40" s="130"/>
      <c r="AS40" s="130"/>
      <c r="AT40" s="135">
        <v>35000000</v>
      </c>
      <c r="AU40" s="135">
        <v>13400000</v>
      </c>
      <c r="AV40" s="135">
        <v>7400000</v>
      </c>
      <c r="AW40" s="136">
        <f>300000000+770000000</f>
        <v>1070000000</v>
      </c>
      <c r="AX40" s="136">
        <v>4800000</v>
      </c>
      <c r="AY40" s="136"/>
      <c r="AZ40" s="136"/>
      <c r="BA40" s="136"/>
      <c r="BB40" s="136"/>
      <c r="BC40" s="130"/>
      <c r="BD40" s="130"/>
      <c r="BE40" s="130"/>
      <c r="BF40" s="138">
        <f t="shared" si="0"/>
        <v>1105000000</v>
      </c>
      <c r="BG40" s="138">
        <f t="shared" si="1"/>
        <v>18200000</v>
      </c>
      <c r="BH40" s="138">
        <f t="shared" si="2"/>
        <v>7400000</v>
      </c>
      <c r="BI40" s="141" t="s">
        <v>10</v>
      </c>
      <c r="BJ40" s="138"/>
    </row>
    <row r="41" spans="1:74" s="151" customFormat="1" ht="60.75" customHeight="1">
      <c r="A41" s="139">
        <v>308</v>
      </c>
      <c r="B41" s="140" t="s">
        <v>147</v>
      </c>
      <c r="C41" s="139">
        <v>3</v>
      </c>
      <c r="D41" s="140" t="s">
        <v>211</v>
      </c>
      <c r="E41" s="139">
        <v>40</v>
      </c>
      <c r="F41" s="140" t="s">
        <v>240</v>
      </c>
      <c r="G41" s="139">
        <v>4001</v>
      </c>
      <c r="H41" s="140" t="s">
        <v>241</v>
      </c>
      <c r="I41" s="139">
        <v>4001</v>
      </c>
      <c r="J41" s="140" t="s">
        <v>242</v>
      </c>
      <c r="K41" s="140" t="s">
        <v>243</v>
      </c>
      <c r="L41" s="281">
        <v>4001015</v>
      </c>
      <c r="M41" s="140" t="s">
        <v>244</v>
      </c>
      <c r="N41" s="281">
        <v>4001015</v>
      </c>
      <c r="O41" s="140" t="s">
        <v>244</v>
      </c>
      <c r="P41" s="145" t="s">
        <v>245</v>
      </c>
      <c r="Q41" s="142" t="s">
        <v>246</v>
      </c>
      <c r="R41" s="145" t="s">
        <v>245</v>
      </c>
      <c r="S41" s="142" t="s">
        <v>246</v>
      </c>
      <c r="T41" s="143" t="s">
        <v>157</v>
      </c>
      <c r="U41" s="145">
        <v>120</v>
      </c>
      <c r="V41" s="145"/>
      <c r="W41" s="145">
        <f t="shared" si="7"/>
        <v>120</v>
      </c>
      <c r="X41" s="145">
        <v>0</v>
      </c>
      <c r="Y41" s="146">
        <v>2020003630057</v>
      </c>
      <c r="Z41" s="142" t="s">
        <v>247</v>
      </c>
      <c r="AA41" s="141" t="s">
        <v>248</v>
      </c>
      <c r="AB41" s="130">
        <f>250000000+80000000</f>
        <v>330000000</v>
      </c>
      <c r="AC41" s="130"/>
      <c r="AD41" s="130"/>
      <c r="AE41" s="130"/>
      <c r="AF41" s="130"/>
      <c r="AG41" s="130"/>
      <c r="AH41" s="130"/>
      <c r="AI41" s="130"/>
      <c r="AJ41" s="130"/>
      <c r="AK41" s="130"/>
      <c r="AL41" s="130"/>
      <c r="AM41" s="130"/>
      <c r="AN41" s="130"/>
      <c r="AO41" s="130"/>
      <c r="AP41" s="130"/>
      <c r="AQ41" s="130"/>
      <c r="AR41" s="130"/>
      <c r="AS41" s="130"/>
      <c r="AT41" s="135">
        <v>20000000</v>
      </c>
      <c r="AU41" s="135"/>
      <c r="AV41" s="135"/>
      <c r="AW41" s="136"/>
      <c r="AX41" s="136"/>
      <c r="AY41" s="136"/>
      <c r="AZ41" s="136"/>
      <c r="BA41" s="136"/>
      <c r="BB41" s="136"/>
      <c r="BC41" s="130"/>
      <c r="BD41" s="130"/>
      <c r="BE41" s="130"/>
      <c r="BF41" s="138">
        <f t="shared" si="0"/>
        <v>350000000</v>
      </c>
      <c r="BG41" s="138">
        <f t="shared" si="1"/>
        <v>0</v>
      </c>
      <c r="BH41" s="138">
        <f t="shared" si="2"/>
        <v>0</v>
      </c>
      <c r="BI41" s="141" t="s">
        <v>10</v>
      </c>
      <c r="BJ41" s="138"/>
    </row>
    <row r="42" spans="1:74" s="151" customFormat="1" ht="99.75" customHeight="1">
      <c r="A42" s="139">
        <v>308</v>
      </c>
      <c r="B42" s="140" t="s">
        <v>147</v>
      </c>
      <c r="C42" s="139">
        <v>3</v>
      </c>
      <c r="D42" s="140" t="s">
        <v>211</v>
      </c>
      <c r="E42" s="139">
        <v>40</v>
      </c>
      <c r="F42" s="140" t="s">
        <v>240</v>
      </c>
      <c r="G42" s="139">
        <v>4003</v>
      </c>
      <c r="H42" s="140" t="s">
        <v>249</v>
      </c>
      <c r="I42" s="139">
        <v>4003</v>
      </c>
      <c r="J42" s="140" t="s">
        <v>250</v>
      </c>
      <c r="K42" s="134" t="s">
        <v>251</v>
      </c>
      <c r="L42" s="137" t="s">
        <v>61</v>
      </c>
      <c r="M42" s="140" t="s">
        <v>252</v>
      </c>
      <c r="N42" s="139">
        <v>4003006</v>
      </c>
      <c r="O42" s="140" t="s">
        <v>253</v>
      </c>
      <c r="P42" s="137" t="s">
        <v>61</v>
      </c>
      <c r="Q42" s="142" t="s">
        <v>254</v>
      </c>
      <c r="R42" s="139">
        <v>400300600</v>
      </c>
      <c r="S42" s="142" t="s">
        <v>255</v>
      </c>
      <c r="T42" s="143" t="s">
        <v>69</v>
      </c>
      <c r="U42" s="132" t="s">
        <v>256</v>
      </c>
      <c r="V42" s="132">
        <v>1</v>
      </c>
      <c r="W42" s="145">
        <f>V42</f>
        <v>1</v>
      </c>
      <c r="X42" s="145">
        <v>0</v>
      </c>
      <c r="Y42" s="146">
        <v>2020003630014</v>
      </c>
      <c r="Z42" s="142" t="s">
        <v>257</v>
      </c>
      <c r="AA42" s="140" t="s">
        <v>258</v>
      </c>
      <c r="AB42" s="130"/>
      <c r="AC42" s="130"/>
      <c r="AD42" s="130"/>
      <c r="AE42" s="130"/>
      <c r="AF42" s="130"/>
      <c r="AG42" s="130"/>
      <c r="AH42" s="130"/>
      <c r="AI42" s="130"/>
      <c r="AJ42" s="130"/>
      <c r="AK42" s="130"/>
      <c r="AL42" s="130"/>
      <c r="AM42" s="130"/>
      <c r="AN42" s="130"/>
      <c r="AO42" s="130"/>
      <c r="AP42" s="130"/>
      <c r="AQ42" s="130">
        <v>100000000</v>
      </c>
      <c r="AR42" s="130">
        <v>100000000</v>
      </c>
      <c r="AS42" s="130"/>
      <c r="AT42" s="135"/>
      <c r="AU42" s="135"/>
      <c r="AV42" s="135"/>
      <c r="AW42" s="136"/>
      <c r="AX42" s="136"/>
      <c r="AY42" s="136"/>
      <c r="AZ42" s="136"/>
      <c r="BA42" s="136"/>
      <c r="BB42" s="136"/>
      <c r="BC42" s="130"/>
      <c r="BD42" s="130"/>
      <c r="BE42" s="130"/>
      <c r="BF42" s="138">
        <f t="shared" si="0"/>
        <v>100000000</v>
      </c>
      <c r="BG42" s="138">
        <f t="shared" si="1"/>
        <v>100000000</v>
      </c>
      <c r="BH42" s="138">
        <f t="shared" si="2"/>
        <v>0</v>
      </c>
      <c r="BI42" s="141" t="s">
        <v>10</v>
      </c>
      <c r="BJ42" s="138"/>
    </row>
    <row r="43" spans="1:74" s="151" customFormat="1" ht="86.25" customHeight="1">
      <c r="A43" s="139">
        <v>308</v>
      </c>
      <c r="B43" s="140" t="s">
        <v>147</v>
      </c>
      <c r="C43" s="139">
        <v>3</v>
      </c>
      <c r="D43" s="140" t="s">
        <v>211</v>
      </c>
      <c r="E43" s="139">
        <v>40</v>
      </c>
      <c r="F43" s="140" t="s">
        <v>240</v>
      </c>
      <c r="G43" s="139">
        <v>4003</v>
      </c>
      <c r="H43" s="140" t="s">
        <v>249</v>
      </c>
      <c r="I43" s="139">
        <v>4003</v>
      </c>
      <c r="J43" s="140" t="s">
        <v>250</v>
      </c>
      <c r="K43" s="134" t="s">
        <v>259</v>
      </c>
      <c r="L43" s="137">
        <v>4003018</v>
      </c>
      <c r="M43" s="134" t="s">
        <v>260</v>
      </c>
      <c r="N43" s="137">
        <v>4003018</v>
      </c>
      <c r="O43" s="134" t="s">
        <v>260</v>
      </c>
      <c r="P43" s="137">
        <v>400301802</v>
      </c>
      <c r="Q43" s="142" t="s">
        <v>261</v>
      </c>
      <c r="R43" s="137">
        <v>400301802</v>
      </c>
      <c r="S43" s="142" t="s">
        <v>261</v>
      </c>
      <c r="T43" s="143" t="s">
        <v>157</v>
      </c>
      <c r="U43" s="132" t="s">
        <v>256</v>
      </c>
      <c r="V43" s="132">
        <v>1</v>
      </c>
      <c r="W43" s="145">
        <f>V43</f>
        <v>1</v>
      </c>
      <c r="X43" s="145">
        <v>0</v>
      </c>
      <c r="Y43" s="146">
        <v>2020003630014</v>
      </c>
      <c r="Z43" s="142" t="s">
        <v>257</v>
      </c>
      <c r="AA43" s="140" t="s">
        <v>258</v>
      </c>
      <c r="AB43" s="130"/>
      <c r="AC43" s="130"/>
      <c r="AD43" s="130"/>
      <c r="AE43" s="130"/>
      <c r="AF43" s="130"/>
      <c r="AG43" s="130"/>
      <c r="AH43" s="130"/>
      <c r="AI43" s="130"/>
      <c r="AJ43" s="130"/>
      <c r="AK43" s="130"/>
      <c r="AL43" s="130"/>
      <c r="AM43" s="130"/>
      <c r="AN43" s="130"/>
      <c r="AO43" s="130"/>
      <c r="AP43" s="130"/>
      <c r="AQ43" s="130">
        <f>700000000+748115568</f>
        <v>1448115568</v>
      </c>
      <c r="AR43" s="130">
        <v>1448115568</v>
      </c>
      <c r="AS43" s="130"/>
      <c r="AT43" s="135"/>
      <c r="AU43" s="135"/>
      <c r="AV43" s="135"/>
      <c r="AW43" s="136"/>
      <c r="AX43" s="136"/>
      <c r="AY43" s="136"/>
      <c r="AZ43" s="136"/>
      <c r="BA43" s="136"/>
      <c r="BB43" s="136"/>
      <c r="BC43" s="130"/>
      <c r="BD43" s="130"/>
      <c r="BE43" s="130"/>
      <c r="BF43" s="138">
        <f t="shared" si="0"/>
        <v>1448115568</v>
      </c>
      <c r="BG43" s="138">
        <f t="shared" si="1"/>
        <v>1448115568</v>
      </c>
      <c r="BH43" s="138">
        <f t="shared" si="2"/>
        <v>0</v>
      </c>
      <c r="BI43" s="141" t="s">
        <v>10</v>
      </c>
      <c r="BJ43" s="138"/>
    </row>
    <row r="44" spans="1:74" s="151" customFormat="1" ht="93" customHeight="1">
      <c r="A44" s="139">
        <v>308</v>
      </c>
      <c r="B44" s="140" t="s">
        <v>147</v>
      </c>
      <c r="C44" s="139">
        <v>3</v>
      </c>
      <c r="D44" s="140" t="s">
        <v>211</v>
      </c>
      <c r="E44" s="139">
        <v>40</v>
      </c>
      <c r="F44" s="140" t="s">
        <v>240</v>
      </c>
      <c r="G44" s="139">
        <v>4003</v>
      </c>
      <c r="H44" s="140" t="s">
        <v>249</v>
      </c>
      <c r="I44" s="139">
        <v>4003</v>
      </c>
      <c r="J44" s="140" t="s">
        <v>250</v>
      </c>
      <c r="K44" s="134" t="s">
        <v>251</v>
      </c>
      <c r="L44" s="137">
        <v>4003025</v>
      </c>
      <c r="M44" s="134" t="s">
        <v>262</v>
      </c>
      <c r="N44" s="137">
        <v>4003025</v>
      </c>
      <c r="O44" s="134" t="s">
        <v>262</v>
      </c>
      <c r="P44" s="132">
        <v>400302500</v>
      </c>
      <c r="Q44" s="279" t="s">
        <v>263</v>
      </c>
      <c r="R44" s="132">
        <v>400302500</v>
      </c>
      <c r="S44" s="279" t="s">
        <v>263</v>
      </c>
      <c r="T44" s="143" t="s">
        <v>157</v>
      </c>
      <c r="U44" s="132">
        <v>3</v>
      </c>
      <c r="V44" s="134"/>
      <c r="W44" s="145">
        <f t="shared" si="7"/>
        <v>3</v>
      </c>
      <c r="X44" s="145">
        <v>0</v>
      </c>
      <c r="Y44" s="146">
        <v>2020003630014</v>
      </c>
      <c r="Z44" s="142" t="s">
        <v>257</v>
      </c>
      <c r="AA44" s="140" t="s">
        <v>258</v>
      </c>
      <c r="AB44" s="130">
        <f>1000000000+172154353+324265291</f>
        <v>1496419644</v>
      </c>
      <c r="AC44" s="130">
        <v>169038155</v>
      </c>
      <c r="AD44" s="130"/>
      <c r="AE44" s="130"/>
      <c r="AF44" s="130"/>
      <c r="AG44" s="130"/>
      <c r="AH44" s="130"/>
      <c r="AI44" s="130"/>
      <c r="AJ44" s="130"/>
      <c r="AK44" s="130"/>
      <c r="AL44" s="130"/>
      <c r="AM44" s="130"/>
      <c r="AN44" s="130"/>
      <c r="AO44" s="130"/>
      <c r="AP44" s="130"/>
      <c r="AQ44" s="130">
        <f>500000000+311522</f>
        <v>500311522</v>
      </c>
      <c r="AR44" s="130">
        <v>500311522</v>
      </c>
      <c r="AS44" s="130"/>
      <c r="AT44" s="135"/>
      <c r="AU44" s="135"/>
      <c r="AV44" s="135"/>
      <c r="AW44" s="136"/>
      <c r="AX44" s="136"/>
      <c r="AY44" s="136"/>
      <c r="AZ44" s="136"/>
      <c r="BA44" s="136"/>
      <c r="BB44" s="136"/>
      <c r="BC44" s="130"/>
      <c r="BD44" s="130"/>
      <c r="BE44" s="130"/>
      <c r="BF44" s="138">
        <f t="shared" si="0"/>
        <v>1996731166</v>
      </c>
      <c r="BG44" s="138">
        <f t="shared" si="1"/>
        <v>669349677</v>
      </c>
      <c r="BH44" s="138">
        <f t="shared" si="2"/>
        <v>0</v>
      </c>
      <c r="BI44" s="141" t="s">
        <v>10</v>
      </c>
      <c r="BJ44" s="138"/>
    </row>
    <row r="45" spans="1:74" s="151" customFormat="1" ht="101.25" customHeight="1">
      <c r="A45" s="139">
        <v>308</v>
      </c>
      <c r="B45" s="140" t="s">
        <v>147</v>
      </c>
      <c r="C45" s="139">
        <v>3</v>
      </c>
      <c r="D45" s="140" t="s">
        <v>211</v>
      </c>
      <c r="E45" s="139">
        <v>40</v>
      </c>
      <c r="F45" s="140" t="s">
        <v>240</v>
      </c>
      <c r="G45" s="139">
        <v>4003</v>
      </c>
      <c r="H45" s="140" t="s">
        <v>249</v>
      </c>
      <c r="I45" s="139">
        <v>4003</v>
      </c>
      <c r="J45" s="140" t="s">
        <v>250</v>
      </c>
      <c r="K45" s="134" t="s">
        <v>251</v>
      </c>
      <c r="L45" s="137">
        <v>4003028</v>
      </c>
      <c r="M45" s="134" t="s">
        <v>264</v>
      </c>
      <c r="N45" s="137">
        <v>4003028</v>
      </c>
      <c r="O45" s="134" t="s">
        <v>264</v>
      </c>
      <c r="P45" s="137">
        <v>400302801</v>
      </c>
      <c r="Q45" s="142" t="s">
        <v>265</v>
      </c>
      <c r="R45" s="137">
        <v>400302801</v>
      </c>
      <c r="S45" s="142" t="s">
        <v>265</v>
      </c>
      <c r="T45" s="143" t="s">
        <v>69</v>
      </c>
      <c r="U45" s="132">
        <v>4</v>
      </c>
      <c r="V45" s="132"/>
      <c r="W45" s="145">
        <f>U45+V45</f>
        <v>4</v>
      </c>
      <c r="X45" s="145">
        <v>0</v>
      </c>
      <c r="Y45" s="146">
        <v>2020003630014</v>
      </c>
      <c r="Z45" s="142" t="s">
        <v>257</v>
      </c>
      <c r="AA45" s="140" t="s">
        <v>258</v>
      </c>
      <c r="AB45" s="130"/>
      <c r="AC45" s="130"/>
      <c r="AD45" s="130"/>
      <c r="AE45" s="130"/>
      <c r="AF45" s="130"/>
      <c r="AG45" s="130"/>
      <c r="AH45" s="130"/>
      <c r="AI45" s="130"/>
      <c r="AJ45" s="130"/>
      <c r="AK45" s="130"/>
      <c r="AL45" s="130"/>
      <c r="AM45" s="130"/>
      <c r="AN45" s="130"/>
      <c r="AO45" s="130"/>
      <c r="AP45" s="130"/>
      <c r="AQ45" s="130">
        <v>300000000</v>
      </c>
      <c r="AR45" s="130">
        <v>300000000</v>
      </c>
      <c r="AS45" s="130"/>
      <c r="AT45" s="135"/>
      <c r="AU45" s="135"/>
      <c r="AV45" s="135"/>
      <c r="AW45" s="136"/>
      <c r="AX45" s="136"/>
      <c r="AY45" s="136"/>
      <c r="AZ45" s="136"/>
      <c r="BA45" s="136"/>
      <c r="BB45" s="136"/>
      <c r="BC45" s="130"/>
      <c r="BD45" s="130"/>
      <c r="BE45" s="130"/>
      <c r="BF45" s="138">
        <f t="shared" si="0"/>
        <v>300000000</v>
      </c>
      <c r="BG45" s="138">
        <f t="shared" si="1"/>
        <v>300000000</v>
      </c>
      <c r="BH45" s="138">
        <f t="shared" si="2"/>
        <v>0</v>
      </c>
      <c r="BI45" s="141" t="s">
        <v>10</v>
      </c>
      <c r="BJ45" s="138"/>
    </row>
    <row r="46" spans="1:74" s="151" customFormat="1" ht="88.5" customHeight="1">
      <c r="A46" s="139">
        <v>308</v>
      </c>
      <c r="B46" s="140" t="s">
        <v>147</v>
      </c>
      <c r="C46" s="139">
        <v>3</v>
      </c>
      <c r="D46" s="140" t="s">
        <v>211</v>
      </c>
      <c r="E46" s="139">
        <v>40</v>
      </c>
      <c r="F46" s="140" t="s">
        <v>240</v>
      </c>
      <c r="G46" s="139">
        <v>4003</v>
      </c>
      <c r="H46" s="140" t="s">
        <v>249</v>
      </c>
      <c r="I46" s="139">
        <v>4003</v>
      </c>
      <c r="J46" s="140" t="s">
        <v>250</v>
      </c>
      <c r="K46" s="134" t="s">
        <v>251</v>
      </c>
      <c r="L46" s="137">
        <v>4003042</v>
      </c>
      <c r="M46" s="134" t="s">
        <v>266</v>
      </c>
      <c r="N46" s="137">
        <v>4003042</v>
      </c>
      <c r="O46" s="134" t="s">
        <v>266</v>
      </c>
      <c r="P46" s="137">
        <v>400304200</v>
      </c>
      <c r="Q46" s="142" t="s">
        <v>267</v>
      </c>
      <c r="R46" s="137">
        <v>400304200</v>
      </c>
      <c r="S46" s="284" t="s">
        <v>267</v>
      </c>
      <c r="T46" s="143" t="s">
        <v>157</v>
      </c>
      <c r="U46" s="132">
        <v>2</v>
      </c>
      <c r="V46" s="132"/>
      <c r="W46" s="145">
        <f>U46+V46</f>
        <v>2</v>
      </c>
      <c r="X46" s="145">
        <v>0</v>
      </c>
      <c r="Y46" s="146">
        <v>2020003630014</v>
      </c>
      <c r="Z46" s="142" t="s">
        <v>257</v>
      </c>
      <c r="AA46" s="140" t="s">
        <v>258</v>
      </c>
      <c r="AB46" s="130"/>
      <c r="AC46" s="130"/>
      <c r="AD46" s="130"/>
      <c r="AE46" s="130"/>
      <c r="AF46" s="130"/>
      <c r="AG46" s="130"/>
      <c r="AH46" s="130"/>
      <c r="AI46" s="130"/>
      <c r="AJ46" s="130"/>
      <c r="AK46" s="130"/>
      <c r="AL46" s="130"/>
      <c r="AM46" s="130"/>
      <c r="AN46" s="130"/>
      <c r="AO46" s="130"/>
      <c r="AP46" s="130"/>
      <c r="AQ46" s="130">
        <v>200000000</v>
      </c>
      <c r="AR46" s="130">
        <v>200000000</v>
      </c>
      <c r="AS46" s="130"/>
      <c r="AT46" s="135"/>
      <c r="AU46" s="135"/>
      <c r="AV46" s="135"/>
      <c r="AW46" s="136"/>
      <c r="AX46" s="136"/>
      <c r="AY46" s="136"/>
      <c r="AZ46" s="136"/>
      <c r="BA46" s="136"/>
      <c r="BB46" s="136"/>
      <c r="BC46" s="130"/>
      <c r="BD46" s="130"/>
      <c r="BE46" s="130"/>
      <c r="BF46" s="138">
        <f t="shared" si="0"/>
        <v>200000000</v>
      </c>
      <c r="BG46" s="138">
        <f t="shared" si="1"/>
        <v>200000000</v>
      </c>
      <c r="BH46" s="138">
        <f t="shared" si="2"/>
        <v>0</v>
      </c>
      <c r="BI46" s="141" t="s">
        <v>10</v>
      </c>
      <c r="BJ46" s="138"/>
    </row>
    <row r="47" spans="1:74" s="151" customFormat="1" ht="102.75" customHeight="1">
      <c r="A47" s="139">
        <v>308</v>
      </c>
      <c r="B47" s="140" t="s">
        <v>147</v>
      </c>
      <c r="C47" s="139">
        <v>3</v>
      </c>
      <c r="D47" s="140" t="s">
        <v>211</v>
      </c>
      <c r="E47" s="139">
        <v>40</v>
      </c>
      <c r="F47" s="140" t="s">
        <v>240</v>
      </c>
      <c r="G47" s="139">
        <v>4003</v>
      </c>
      <c r="H47" s="140" t="s">
        <v>249</v>
      </c>
      <c r="I47" s="139">
        <v>4003</v>
      </c>
      <c r="J47" s="140" t="s">
        <v>250</v>
      </c>
      <c r="K47" s="134" t="s">
        <v>251</v>
      </c>
      <c r="L47" s="137" t="s">
        <v>268</v>
      </c>
      <c r="M47" s="134" t="s">
        <v>269</v>
      </c>
      <c r="N47" s="137" t="s">
        <v>268</v>
      </c>
      <c r="O47" s="134" t="s">
        <v>269</v>
      </c>
      <c r="P47" s="132">
        <v>400302600</v>
      </c>
      <c r="Q47" s="279" t="s">
        <v>270</v>
      </c>
      <c r="R47" s="132">
        <v>400302600</v>
      </c>
      <c r="S47" s="279" t="s">
        <v>270</v>
      </c>
      <c r="T47" s="143" t="s">
        <v>157</v>
      </c>
      <c r="U47" s="132">
        <v>0.4</v>
      </c>
      <c r="V47" s="132">
        <v>1.1000000000000001</v>
      </c>
      <c r="W47" s="145">
        <f t="shared" si="7"/>
        <v>1.5</v>
      </c>
      <c r="X47" s="145">
        <v>0</v>
      </c>
      <c r="Y47" s="146">
        <v>2020003630014</v>
      </c>
      <c r="Z47" s="142" t="s">
        <v>257</v>
      </c>
      <c r="AA47" s="140" t="s">
        <v>271</v>
      </c>
      <c r="AB47" s="130"/>
      <c r="AC47" s="130"/>
      <c r="AD47" s="130"/>
      <c r="AE47" s="130"/>
      <c r="AF47" s="130"/>
      <c r="AG47" s="130"/>
      <c r="AH47" s="130"/>
      <c r="AI47" s="130"/>
      <c r="AJ47" s="130"/>
      <c r="AK47" s="130"/>
      <c r="AL47" s="130"/>
      <c r="AM47" s="130"/>
      <c r="AN47" s="130"/>
      <c r="AO47" s="130"/>
      <c r="AP47" s="130"/>
      <c r="AQ47" s="130">
        <f>1152931316+19052645.84</f>
        <v>1171983961.8399999</v>
      </c>
      <c r="AR47" s="130">
        <v>1152931316</v>
      </c>
      <c r="AS47" s="130"/>
      <c r="AT47" s="135"/>
      <c r="AU47" s="135"/>
      <c r="AV47" s="135"/>
      <c r="AW47" s="136"/>
      <c r="AX47" s="136"/>
      <c r="AY47" s="136"/>
      <c r="AZ47" s="136"/>
      <c r="BA47" s="136"/>
      <c r="BB47" s="136"/>
      <c r="BC47" s="130"/>
      <c r="BD47" s="130"/>
      <c r="BE47" s="130"/>
      <c r="BF47" s="138">
        <f t="shared" si="0"/>
        <v>1171983961.8399999</v>
      </c>
      <c r="BG47" s="138">
        <f t="shared" si="1"/>
        <v>1152931316</v>
      </c>
      <c r="BH47" s="138">
        <f t="shared" si="2"/>
        <v>0</v>
      </c>
      <c r="BI47" s="141" t="s">
        <v>10</v>
      </c>
      <c r="BJ47" s="138"/>
    </row>
    <row r="48" spans="1:74" s="151" customFormat="1" ht="63.75">
      <c r="A48" s="139">
        <v>308</v>
      </c>
      <c r="B48" s="140" t="s">
        <v>147</v>
      </c>
      <c r="C48" s="139">
        <v>4</v>
      </c>
      <c r="D48" s="140" t="s">
        <v>59</v>
      </c>
      <c r="E48" s="139">
        <v>45</v>
      </c>
      <c r="F48" s="140" t="s">
        <v>60</v>
      </c>
      <c r="G48" s="139" t="s">
        <v>61</v>
      </c>
      <c r="H48" s="140" t="s">
        <v>62</v>
      </c>
      <c r="I48" s="139">
        <v>4599</v>
      </c>
      <c r="J48" s="140" t="s">
        <v>63</v>
      </c>
      <c r="K48" s="140" t="s">
        <v>64</v>
      </c>
      <c r="L48" s="139" t="s">
        <v>61</v>
      </c>
      <c r="M48" s="140" t="s">
        <v>272</v>
      </c>
      <c r="N48" s="137" t="s">
        <v>273</v>
      </c>
      <c r="O48" s="140" t="s">
        <v>167</v>
      </c>
      <c r="P48" s="139" t="s">
        <v>61</v>
      </c>
      <c r="Q48" s="142" t="s">
        <v>274</v>
      </c>
      <c r="R48" s="137">
        <v>459901600</v>
      </c>
      <c r="S48" s="141" t="s">
        <v>167</v>
      </c>
      <c r="T48" s="143" t="s">
        <v>69</v>
      </c>
      <c r="U48" s="145">
        <v>4</v>
      </c>
      <c r="V48" s="145"/>
      <c r="W48" s="145">
        <f t="shared" si="7"/>
        <v>4</v>
      </c>
      <c r="X48" s="145">
        <v>0</v>
      </c>
      <c r="Y48" s="278">
        <v>2021003630003</v>
      </c>
      <c r="Z48" s="142" t="s">
        <v>275</v>
      </c>
      <c r="AA48" s="142" t="s">
        <v>276</v>
      </c>
      <c r="AB48" s="138"/>
      <c r="AC48" s="138"/>
      <c r="AD48" s="138"/>
      <c r="AE48" s="130"/>
      <c r="AF48" s="130"/>
      <c r="AG48" s="130"/>
      <c r="AH48" s="130"/>
      <c r="AI48" s="130"/>
      <c r="AJ48" s="130"/>
      <c r="AK48" s="130"/>
      <c r="AL48" s="130"/>
      <c r="AM48" s="130"/>
      <c r="AN48" s="130"/>
      <c r="AO48" s="130"/>
      <c r="AP48" s="130"/>
      <c r="AQ48" s="130"/>
      <c r="AR48" s="130"/>
      <c r="AS48" s="130"/>
      <c r="AT48" s="135">
        <f>50000000+263000000+250000000</f>
        <v>563000000</v>
      </c>
      <c r="AU48" s="135">
        <v>49800000</v>
      </c>
      <c r="AV48" s="135">
        <v>3250000</v>
      </c>
      <c r="AW48" s="130"/>
      <c r="AX48" s="130"/>
      <c r="AY48" s="130"/>
      <c r="AZ48" s="130"/>
      <c r="BA48" s="130"/>
      <c r="BB48" s="130"/>
      <c r="BC48" s="130"/>
      <c r="BD48" s="130"/>
      <c r="BE48" s="130"/>
      <c r="BF48" s="138">
        <f t="shared" si="0"/>
        <v>563000000</v>
      </c>
      <c r="BG48" s="138">
        <f t="shared" si="1"/>
        <v>49800000</v>
      </c>
      <c r="BH48" s="138">
        <f t="shared" si="2"/>
        <v>3250000</v>
      </c>
      <c r="BI48" s="141" t="s">
        <v>10</v>
      </c>
      <c r="BJ48" s="138"/>
    </row>
    <row r="49" spans="1:62" s="151" customFormat="1" ht="63.75">
      <c r="A49" s="146">
        <v>308</v>
      </c>
      <c r="B49" s="141" t="s">
        <v>147</v>
      </c>
      <c r="C49" s="139">
        <v>4</v>
      </c>
      <c r="D49" s="141" t="s">
        <v>59</v>
      </c>
      <c r="E49" s="146">
        <v>45</v>
      </c>
      <c r="F49" s="141" t="s">
        <v>60</v>
      </c>
      <c r="G49" s="143" t="s">
        <v>61</v>
      </c>
      <c r="H49" s="141" t="s">
        <v>62</v>
      </c>
      <c r="I49" s="146">
        <v>4599</v>
      </c>
      <c r="J49" s="141" t="s">
        <v>63</v>
      </c>
      <c r="K49" s="141" t="s">
        <v>64</v>
      </c>
      <c r="L49" s="143" t="s">
        <v>61</v>
      </c>
      <c r="M49" s="141" t="s">
        <v>272</v>
      </c>
      <c r="N49" s="137" t="s">
        <v>273</v>
      </c>
      <c r="O49" s="141" t="s">
        <v>167</v>
      </c>
      <c r="P49" s="143" t="s">
        <v>61</v>
      </c>
      <c r="Q49" s="142" t="s">
        <v>274</v>
      </c>
      <c r="R49" s="137">
        <v>459901600</v>
      </c>
      <c r="S49" s="141" t="s">
        <v>167</v>
      </c>
      <c r="T49" s="143" t="s">
        <v>69</v>
      </c>
      <c r="U49" s="253">
        <v>1</v>
      </c>
      <c r="V49" s="253"/>
      <c r="W49" s="133"/>
      <c r="X49" s="129">
        <v>0</v>
      </c>
      <c r="Y49" s="278">
        <v>2022003630008</v>
      </c>
      <c r="Z49" s="285" t="s">
        <v>1447</v>
      </c>
      <c r="AA49" s="142" t="s">
        <v>1448</v>
      </c>
      <c r="AB49" s="138"/>
      <c r="AC49" s="138"/>
      <c r="AD49" s="138"/>
      <c r="AE49" s="130"/>
      <c r="AF49" s="130"/>
      <c r="AG49" s="130"/>
      <c r="AH49" s="130"/>
      <c r="AI49" s="130"/>
      <c r="AJ49" s="130"/>
      <c r="AK49" s="130"/>
      <c r="AL49" s="130"/>
      <c r="AM49" s="130"/>
      <c r="AN49" s="130"/>
      <c r="AO49" s="130"/>
      <c r="AP49" s="130"/>
      <c r="AQ49" s="130"/>
      <c r="AR49" s="130"/>
      <c r="AS49" s="130"/>
      <c r="AT49" s="135"/>
      <c r="AU49" s="135"/>
      <c r="AV49" s="135"/>
      <c r="AW49" s="135"/>
      <c r="AX49" s="135"/>
      <c r="AY49" s="135"/>
      <c r="AZ49" s="135">
        <v>499979386</v>
      </c>
      <c r="BA49" s="135"/>
      <c r="BB49" s="135"/>
      <c r="BC49" s="258"/>
      <c r="BD49" s="258"/>
      <c r="BE49" s="258"/>
      <c r="BF49" s="138">
        <f t="shared" si="0"/>
        <v>499979386</v>
      </c>
      <c r="BG49" s="138">
        <f t="shared" si="1"/>
        <v>0</v>
      </c>
      <c r="BH49" s="138">
        <f t="shared" si="2"/>
        <v>0</v>
      </c>
      <c r="BI49" s="141" t="s">
        <v>10</v>
      </c>
      <c r="BJ49" s="258"/>
    </row>
    <row r="50" spans="1:62" s="151" customFormat="1" ht="104.25" customHeight="1">
      <c r="A50" s="139">
        <v>308</v>
      </c>
      <c r="B50" s="140" t="s">
        <v>147</v>
      </c>
      <c r="C50" s="139">
        <v>4</v>
      </c>
      <c r="D50" s="140" t="s">
        <v>59</v>
      </c>
      <c r="E50" s="139">
        <v>45</v>
      </c>
      <c r="F50" s="140" t="s">
        <v>60</v>
      </c>
      <c r="G50" s="139">
        <v>4502</v>
      </c>
      <c r="H50" s="140" t="s">
        <v>78</v>
      </c>
      <c r="I50" s="139">
        <v>4502</v>
      </c>
      <c r="J50" s="140" t="s">
        <v>79</v>
      </c>
      <c r="K50" s="140" t="s">
        <v>88</v>
      </c>
      <c r="L50" s="137">
        <v>4502003</v>
      </c>
      <c r="M50" s="134" t="s">
        <v>277</v>
      </c>
      <c r="N50" s="137">
        <v>4502003</v>
      </c>
      <c r="O50" s="134" t="s">
        <v>278</v>
      </c>
      <c r="P50" s="137">
        <v>450200300</v>
      </c>
      <c r="Q50" s="142" t="s">
        <v>277</v>
      </c>
      <c r="R50" s="137">
        <v>450200300</v>
      </c>
      <c r="S50" s="142" t="s">
        <v>277</v>
      </c>
      <c r="T50" s="143" t="s">
        <v>157</v>
      </c>
      <c r="U50" s="145">
        <v>2</v>
      </c>
      <c r="V50" s="145"/>
      <c r="W50" s="145">
        <f t="shared" si="7"/>
        <v>2</v>
      </c>
      <c r="X50" s="145">
        <v>0</v>
      </c>
      <c r="Y50" s="278">
        <v>2021003630006</v>
      </c>
      <c r="Z50" s="142" t="s">
        <v>279</v>
      </c>
      <c r="AA50" s="142" t="s">
        <v>280</v>
      </c>
      <c r="AB50" s="138"/>
      <c r="AC50" s="138"/>
      <c r="AD50" s="138"/>
      <c r="AE50" s="130"/>
      <c r="AF50" s="130"/>
      <c r="AG50" s="130"/>
      <c r="AH50" s="130"/>
      <c r="AI50" s="130"/>
      <c r="AJ50" s="130"/>
      <c r="AK50" s="130"/>
      <c r="AL50" s="130"/>
      <c r="AM50" s="130"/>
      <c r="AN50" s="130"/>
      <c r="AO50" s="130"/>
      <c r="AP50" s="130"/>
      <c r="AQ50" s="130"/>
      <c r="AR50" s="130"/>
      <c r="AS50" s="130"/>
      <c r="AT50" s="135">
        <v>40000000</v>
      </c>
      <c r="AU50" s="135">
        <v>40000000</v>
      </c>
      <c r="AV50" s="135">
        <v>2000000</v>
      </c>
      <c r="AW50" s="130"/>
      <c r="AX50" s="130"/>
      <c r="AY50" s="130"/>
      <c r="AZ50" s="130"/>
      <c r="BA50" s="130"/>
      <c r="BB50" s="130"/>
      <c r="BC50" s="130"/>
      <c r="BD50" s="130"/>
      <c r="BE50" s="130"/>
      <c r="BF50" s="138">
        <f t="shared" si="0"/>
        <v>40000000</v>
      </c>
      <c r="BG50" s="138">
        <f t="shared" si="1"/>
        <v>40000000</v>
      </c>
      <c r="BH50" s="138">
        <f t="shared" si="2"/>
        <v>2000000</v>
      </c>
      <c r="BI50" s="141" t="s">
        <v>10</v>
      </c>
      <c r="BJ50" s="138"/>
    </row>
    <row r="51" spans="1:62" s="151" customFormat="1" ht="63.75">
      <c r="A51" s="139">
        <v>308</v>
      </c>
      <c r="B51" s="140" t="s">
        <v>147</v>
      </c>
      <c r="C51" s="139">
        <v>1</v>
      </c>
      <c r="D51" s="140" t="s">
        <v>148</v>
      </c>
      <c r="E51" s="139">
        <v>19</v>
      </c>
      <c r="F51" s="140" t="s">
        <v>755</v>
      </c>
      <c r="G51" s="139" t="s">
        <v>61</v>
      </c>
      <c r="H51" s="140" t="s">
        <v>62</v>
      </c>
      <c r="I51" s="139">
        <v>1903</v>
      </c>
      <c r="J51" s="141" t="s">
        <v>934</v>
      </c>
      <c r="K51" s="141" t="s">
        <v>1452</v>
      </c>
      <c r="L51" s="137" t="s">
        <v>61</v>
      </c>
      <c r="M51" s="134" t="s">
        <v>272</v>
      </c>
      <c r="N51" s="137">
        <v>1903043</v>
      </c>
      <c r="O51" s="134" t="s">
        <v>1449</v>
      </c>
      <c r="P51" s="139" t="s">
        <v>61</v>
      </c>
      <c r="Q51" s="142" t="s">
        <v>274</v>
      </c>
      <c r="R51" s="137">
        <v>190304300</v>
      </c>
      <c r="S51" s="142" t="s">
        <v>1453</v>
      </c>
      <c r="T51" s="143" t="s">
        <v>1454</v>
      </c>
      <c r="U51" s="144">
        <v>1</v>
      </c>
      <c r="V51" s="144"/>
      <c r="W51" s="129">
        <f>U51+V51</f>
        <v>1</v>
      </c>
      <c r="X51" s="129">
        <v>0</v>
      </c>
      <c r="Y51" s="278">
        <v>2022000040007</v>
      </c>
      <c r="Z51" s="285" t="s">
        <v>1450</v>
      </c>
      <c r="AA51" s="142" t="s">
        <v>1451</v>
      </c>
      <c r="AB51" s="138"/>
      <c r="AC51" s="138"/>
      <c r="AD51" s="138"/>
      <c r="AE51" s="130"/>
      <c r="AF51" s="130"/>
      <c r="AG51" s="130"/>
      <c r="AH51" s="130"/>
      <c r="AI51" s="130"/>
      <c r="AJ51" s="130"/>
      <c r="AK51" s="130"/>
      <c r="AL51" s="130"/>
      <c r="AM51" s="130"/>
      <c r="AN51" s="130"/>
      <c r="AO51" s="130"/>
      <c r="AP51" s="130"/>
      <c r="AQ51" s="130"/>
      <c r="AR51" s="130"/>
      <c r="AS51" s="130"/>
      <c r="AT51" s="135"/>
      <c r="AU51" s="135"/>
      <c r="AV51" s="135"/>
      <c r="AW51" s="286"/>
      <c r="AX51" s="286"/>
      <c r="AY51" s="287"/>
      <c r="AZ51" s="148">
        <v>6000000000</v>
      </c>
      <c r="BA51" s="148"/>
      <c r="BB51" s="148"/>
      <c r="BC51" s="130">
        <v>15612200000</v>
      </c>
      <c r="BD51" s="130"/>
      <c r="BE51" s="130"/>
      <c r="BF51" s="138">
        <f t="shared" si="0"/>
        <v>21612200000</v>
      </c>
      <c r="BG51" s="138">
        <f t="shared" si="1"/>
        <v>0</v>
      </c>
      <c r="BH51" s="138">
        <f t="shared" si="2"/>
        <v>0</v>
      </c>
      <c r="BI51" s="141" t="s">
        <v>10</v>
      </c>
      <c r="BJ51" s="258"/>
    </row>
    <row r="52" spans="1:62" s="288" customFormat="1" ht="114" customHeight="1">
      <c r="A52" s="139">
        <v>309</v>
      </c>
      <c r="B52" s="140" t="s">
        <v>281</v>
      </c>
      <c r="C52" s="139">
        <v>1</v>
      </c>
      <c r="D52" s="140" t="s">
        <v>148</v>
      </c>
      <c r="E52" s="139">
        <v>12</v>
      </c>
      <c r="F52" s="140" t="s">
        <v>149</v>
      </c>
      <c r="G52" s="139">
        <v>1202</v>
      </c>
      <c r="H52" s="140" t="s">
        <v>150</v>
      </c>
      <c r="I52" s="139">
        <v>1202</v>
      </c>
      <c r="J52" s="140" t="s">
        <v>151</v>
      </c>
      <c r="K52" s="140" t="s">
        <v>152</v>
      </c>
      <c r="L52" s="139">
        <v>1202004</v>
      </c>
      <c r="M52" s="140" t="s">
        <v>282</v>
      </c>
      <c r="N52" s="139">
        <v>1202004</v>
      </c>
      <c r="O52" s="140" t="s">
        <v>282</v>
      </c>
      <c r="P52" s="137">
        <v>120200400</v>
      </c>
      <c r="Q52" s="142" t="s">
        <v>121</v>
      </c>
      <c r="R52" s="137">
        <v>120200400</v>
      </c>
      <c r="S52" s="142" t="s">
        <v>121</v>
      </c>
      <c r="T52" s="143" t="s">
        <v>69</v>
      </c>
      <c r="U52" s="145">
        <v>12</v>
      </c>
      <c r="V52" s="145"/>
      <c r="W52" s="145">
        <f>U52+V52</f>
        <v>12</v>
      </c>
      <c r="X52" s="145">
        <v>10</v>
      </c>
      <c r="Y52" s="146">
        <v>2020003630060</v>
      </c>
      <c r="Z52" s="142" t="s">
        <v>283</v>
      </c>
      <c r="AA52" s="142" t="s">
        <v>284</v>
      </c>
      <c r="AB52" s="130"/>
      <c r="AC52" s="130"/>
      <c r="AD52" s="130"/>
      <c r="AE52" s="130"/>
      <c r="AF52" s="130"/>
      <c r="AG52" s="130"/>
      <c r="AH52" s="130"/>
      <c r="AI52" s="130"/>
      <c r="AJ52" s="130"/>
      <c r="AK52" s="130"/>
      <c r="AL52" s="130"/>
      <c r="AM52" s="130"/>
      <c r="AN52" s="130"/>
      <c r="AO52" s="130"/>
      <c r="AP52" s="130"/>
      <c r="AQ52" s="130"/>
      <c r="AR52" s="130"/>
      <c r="AS52" s="130"/>
      <c r="AT52" s="135">
        <f>74000000+20000000+45000000</f>
        <v>139000000</v>
      </c>
      <c r="AU52" s="135">
        <v>35188012</v>
      </c>
      <c r="AV52" s="135">
        <v>14800000</v>
      </c>
      <c r="AW52" s="130"/>
      <c r="AX52" s="130"/>
      <c r="AY52" s="130"/>
      <c r="AZ52" s="130"/>
      <c r="BA52" s="130"/>
      <c r="BB52" s="130"/>
      <c r="BC52" s="130"/>
      <c r="BD52" s="130"/>
      <c r="BE52" s="130"/>
      <c r="BF52" s="138">
        <f t="shared" si="0"/>
        <v>139000000</v>
      </c>
      <c r="BG52" s="138">
        <f t="shared" si="1"/>
        <v>35188012</v>
      </c>
      <c r="BH52" s="138">
        <f t="shared" si="2"/>
        <v>14800000</v>
      </c>
      <c r="BI52" s="141" t="s">
        <v>8</v>
      </c>
    </row>
    <row r="53" spans="1:62" s="288" customFormat="1" ht="114" customHeight="1">
      <c r="A53" s="139">
        <v>309</v>
      </c>
      <c r="B53" s="140" t="s">
        <v>281</v>
      </c>
      <c r="C53" s="139">
        <v>1</v>
      </c>
      <c r="D53" s="140" t="s">
        <v>148</v>
      </c>
      <c r="E53" s="139">
        <v>12</v>
      </c>
      <c r="F53" s="140" t="s">
        <v>149</v>
      </c>
      <c r="G53" s="139">
        <v>1203</v>
      </c>
      <c r="H53" s="140" t="s">
        <v>285</v>
      </c>
      <c r="I53" s="139">
        <v>1203</v>
      </c>
      <c r="J53" s="140" t="s">
        <v>286</v>
      </c>
      <c r="K53" s="140" t="s">
        <v>152</v>
      </c>
      <c r="L53" s="139">
        <v>1203002</v>
      </c>
      <c r="M53" s="140" t="s">
        <v>287</v>
      </c>
      <c r="N53" s="139">
        <v>1203002</v>
      </c>
      <c r="O53" s="140" t="s">
        <v>287</v>
      </c>
      <c r="P53" s="139">
        <v>120300200</v>
      </c>
      <c r="Q53" s="142" t="s">
        <v>288</v>
      </c>
      <c r="R53" s="139">
        <v>120300200</v>
      </c>
      <c r="S53" s="142" t="s">
        <v>288</v>
      </c>
      <c r="T53" s="289" t="s">
        <v>157</v>
      </c>
      <c r="U53" s="145">
        <v>50</v>
      </c>
      <c r="V53" s="145"/>
      <c r="W53" s="145">
        <f t="shared" ref="W53:W72" si="8">U53+V53</f>
        <v>50</v>
      </c>
      <c r="X53" s="145">
        <v>18</v>
      </c>
      <c r="Y53" s="146">
        <v>2020003630061</v>
      </c>
      <c r="Z53" s="142" t="s">
        <v>289</v>
      </c>
      <c r="AA53" s="142" t="s">
        <v>290</v>
      </c>
      <c r="AB53" s="130"/>
      <c r="AC53" s="130"/>
      <c r="AD53" s="130"/>
      <c r="AE53" s="130"/>
      <c r="AF53" s="130"/>
      <c r="AG53" s="130"/>
      <c r="AH53" s="130"/>
      <c r="AI53" s="130"/>
      <c r="AJ53" s="130"/>
      <c r="AK53" s="130"/>
      <c r="AL53" s="130"/>
      <c r="AM53" s="130"/>
      <c r="AN53" s="130"/>
      <c r="AO53" s="130"/>
      <c r="AP53" s="130"/>
      <c r="AQ53" s="130"/>
      <c r="AR53" s="130"/>
      <c r="AS53" s="130"/>
      <c r="AT53" s="135">
        <f>34000000+15000000+18000000</f>
        <v>67000000</v>
      </c>
      <c r="AU53" s="135">
        <v>15300000</v>
      </c>
      <c r="AV53" s="135">
        <v>8200000</v>
      </c>
      <c r="AW53" s="130"/>
      <c r="AX53" s="130"/>
      <c r="AY53" s="130"/>
      <c r="AZ53" s="130"/>
      <c r="BA53" s="130"/>
      <c r="BB53" s="130"/>
      <c r="BC53" s="138"/>
      <c r="BD53" s="138"/>
      <c r="BE53" s="138"/>
      <c r="BF53" s="138">
        <f t="shared" si="0"/>
        <v>67000000</v>
      </c>
      <c r="BG53" s="138">
        <f t="shared" si="1"/>
        <v>15300000</v>
      </c>
      <c r="BH53" s="138">
        <f t="shared" si="2"/>
        <v>8200000</v>
      </c>
      <c r="BI53" s="141" t="s">
        <v>8</v>
      </c>
    </row>
    <row r="54" spans="1:62" s="288" customFormat="1" ht="114" customHeight="1">
      <c r="A54" s="139">
        <v>309</v>
      </c>
      <c r="B54" s="140" t="s">
        <v>281</v>
      </c>
      <c r="C54" s="139">
        <v>1</v>
      </c>
      <c r="D54" s="140" t="s">
        <v>148</v>
      </c>
      <c r="E54" s="139">
        <v>12</v>
      </c>
      <c r="F54" s="140" t="s">
        <v>149</v>
      </c>
      <c r="G54" s="139">
        <v>1206</v>
      </c>
      <c r="H54" s="140" t="s">
        <v>291</v>
      </c>
      <c r="I54" s="139">
        <v>1206</v>
      </c>
      <c r="J54" s="140" t="s">
        <v>292</v>
      </c>
      <c r="K54" s="140" t="s">
        <v>152</v>
      </c>
      <c r="L54" s="139">
        <v>1206005</v>
      </c>
      <c r="M54" s="140" t="s">
        <v>293</v>
      </c>
      <c r="N54" s="139">
        <v>1206005</v>
      </c>
      <c r="O54" s="140" t="s">
        <v>293</v>
      </c>
      <c r="P54" s="137">
        <v>120600500</v>
      </c>
      <c r="Q54" s="141" t="s">
        <v>294</v>
      </c>
      <c r="R54" s="137">
        <v>120600500</v>
      </c>
      <c r="S54" s="142" t="s">
        <v>294</v>
      </c>
      <c r="T54" s="289" t="s">
        <v>157</v>
      </c>
      <c r="U54" s="145">
        <v>35</v>
      </c>
      <c r="V54" s="145"/>
      <c r="W54" s="145">
        <f t="shared" si="8"/>
        <v>35</v>
      </c>
      <c r="X54" s="145">
        <v>10</v>
      </c>
      <c r="Y54" s="146">
        <v>2020003630062</v>
      </c>
      <c r="Z54" s="142" t="s">
        <v>295</v>
      </c>
      <c r="AA54" s="141" t="s">
        <v>296</v>
      </c>
      <c r="AB54" s="130"/>
      <c r="AC54" s="130"/>
      <c r="AD54" s="130"/>
      <c r="AE54" s="130"/>
      <c r="AF54" s="130"/>
      <c r="AG54" s="130"/>
      <c r="AH54" s="130"/>
      <c r="AI54" s="130"/>
      <c r="AJ54" s="130"/>
      <c r="AK54" s="130"/>
      <c r="AL54" s="130"/>
      <c r="AM54" s="130"/>
      <c r="AN54" s="130"/>
      <c r="AO54" s="130"/>
      <c r="AP54" s="130"/>
      <c r="AQ54" s="130"/>
      <c r="AR54" s="130"/>
      <c r="AS54" s="130"/>
      <c r="AT54" s="135">
        <f>34000000+33000000</f>
        <v>67000000</v>
      </c>
      <c r="AU54" s="135">
        <v>24782500</v>
      </c>
      <c r="AV54" s="135">
        <v>8400000</v>
      </c>
      <c r="AW54" s="130"/>
      <c r="AX54" s="130"/>
      <c r="AY54" s="130"/>
      <c r="AZ54" s="130"/>
      <c r="BA54" s="130"/>
      <c r="BB54" s="130"/>
      <c r="BC54" s="130"/>
      <c r="BD54" s="130"/>
      <c r="BE54" s="130"/>
      <c r="BF54" s="138">
        <f t="shared" si="0"/>
        <v>67000000</v>
      </c>
      <c r="BG54" s="138">
        <f t="shared" si="1"/>
        <v>24782500</v>
      </c>
      <c r="BH54" s="138">
        <f t="shared" si="2"/>
        <v>8400000</v>
      </c>
      <c r="BI54" s="141" t="s">
        <v>8</v>
      </c>
    </row>
    <row r="55" spans="1:62" s="288" customFormat="1" ht="51">
      <c r="A55" s="139">
        <v>309</v>
      </c>
      <c r="B55" s="140" t="s">
        <v>281</v>
      </c>
      <c r="C55" s="139">
        <v>1</v>
      </c>
      <c r="D55" s="140" t="s">
        <v>148</v>
      </c>
      <c r="E55" s="139">
        <v>22</v>
      </c>
      <c r="F55" s="140" t="s">
        <v>160</v>
      </c>
      <c r="G55" s="139">
        <v>2201</v>
      </c>
      <c r="H55" s="140" t="s">
        <v>297</v>
      </c>
      <c r="I55" s="139">
        <v>2201</v>
      </c>
      <c r="J55" s="140" t="s">
        <v>162</v>
      </c>
      <c r="K55" s="140" t="s">
        <v>298</v>
      </c>
      <c r="L55" s="281">
        <v>2201068</v>
      </c>
      <c r="M55" s="140" t="s">
        <v>299</v>
      </c>
      <c r="N55" s="281">
        <v>2201068</v>
      </c>
      <c r="O55" s="140" t="s">
        <v>299</v>
      </c>
      <c r="P55" s="137">
        <v>220106800</v>
      </c>
      <c r="Q55" s="142" t="s">
        <v>300</v>
      </c>
      <c r="R55" s="137">
        <v>220106800</v>
      </c>
      <c r="S55" s="142" t="s">
        <v>300</v>
      </c>
      <c r="T55" s="289" t="s">
        <v>157</v>
      </c>
      <c r="U55" s="145">
        <v>72</v>
      </c>
      <c r="V55" s="145"/>
      <c r="W55" s="145">
        <f t="shared" si="8"/>
        <v>72</v>
      </c>
      <c r="X55" s="145">
        <v>0</v>
      </c>
      <c r="Y55" s="146">
        <v>2020003630063</v>
      </c>
      <c r="Z55" s="142" t="s">
        <v>301</v>
      </c>
      <c r="AA55" s="141" t="s">
        <v>302</v>
      </c>
      <c r="AB55" s="130"/>
      <c r="AC55" s="130"/>
      <c r="AD55" s="130"/>
      <c r="AE55" s="130"/>
      <c r="AF55" s="130"/>
      <c r="AG55" s="130"/>
      <c r="AH55" s="130"/>
      <c r="AI55" s="130"/>
      <c r="AJ55" s="130"/>
      <c r="AK55" s="130"/>
      <c r="AL55" s="130"/>
      <c r="AM55" s="130"/>
      <c r="AN55" s="130"/>
      <c r="AO55" s="130"/>
      <c r="AP55" s="130"/>
      <c r="AQ55" s="130"/>
      <c r="AR55" s="130"/>
      <c r="AS55" s="130"/>
      <c r="AT55" s="135">
        <f>30000000+10000000+30000000</f>
        <v>70000000</v>
      </c>
      <c r="AU55" s="135">
        <v>45330000</v>
      </c>
      <c r="AV55" s="135">
        <v>13750000</v>
      </c>
      <c r="AW55" s="130"/>
      <c r="AX55" s="130"/>
      <c r="AY55" s="130"/>
      <c r="AZ55" s="130"/>
      <c r="BA55" s="130"/>
      <c r="BB55" s="130"/>
      <c r="BC55" s="130"/>
      <c r="BD55" s="130"/>
      <c r="BE55" s="130"/>
      <c r="BF55" s="138">
        <f t="shared" si="0"/>
        <v>70000000</v>
      </c>
      <c r="BG55" s="138">
        <f t="shared" si="1"/>
        <v>45330000</v>
      </c>
      <c r="BH55" s="138">
        <f t="shared" si="2"/>
        <v>13750000</v>
      </c>
      <c r="BI55" s="141" t="s">
        <v>8</v>
      </c>
    </row>
    <row r="56" spans="1:62" s="288" customFormat="1" ht="86.25" customHeight="1">
      <c r="A56" s="139">
        <v>309</v>
      </c>
      <c r="B56" s="140" t="s">
        <v>281</v>
      </c>
      <c r="C56" s="139">
        <v>1</v>
      </c>
      <c r="D56" s="140" t="s">
        <v>148</v>
      </c>
      <c r="E56" s="139">
        <v>41</v>
      </c>
      <c r="F56" s="140" t="s">
        <v>303</v>
      </c>
      <c r="G56" s="139">
        <v>4101</v>
      </c>
      <c r="H56" s="140" t="s">
        <v>304</v>
      </c>
      <c r="I56" s="139">
        <v>4101</v>
      </c>
      <c r="J56" s="140" t="s">
        <v>305</v>
      </c>
      <c r="K56" s="140" t="s">
        <v>306</v>
      </c>
      <c r="L56" s="137">
        <v>4101023</v>
      </c>
      <c r="M56" s="140" t="s">
        <v>307</v>
      </c>
      <c r="N56" s="137">
        <v>4101023</v>
      </c>
      <c r="O56" s="140" t="s">
        <v>307</v>
      </c>
      <c r="P56" s="137">
        <v>410102300</v>
      </c>
      <c r="Q56" s="142" t="s">
        <v>308</v>
      </c>
      <c r="R56" s="137">
        <v>410102300</v>
      </c>
      <c r="S56" s="142" t="s">
        <v>308</v>
      </c>
      <c r="T56" s="289" t="s">
        <v>157</v>
      </c>
      <c r="U56" s="145">
        <v>900</v>
      </c>
      <c r="V56" s="145"/>
      <c r="W56" s="145">
        <f t="shared" si="8"/>
        <v>900</v>
      </c>
      <c r="X56" s="145">
        <v>360</v>
      </c>
      <c r="Y56" s="146">
        <v>2020003630064</v>
      </c>
      <c r="Z56" s="142" t="s">
        <v>309</v>
      </c>
      <c r="AA56" s="140" t="s">
        <v>310</v>
      </c>
      <c r="AB56" s="130"/>
      <c r="AC56" s="130"/>
      <c r="AD56" s="130"/>
      <c r="AE56" s="130"/>
      <c r="AF56" s="130"/>
      <c r="AG56" s="130"/>
      <c r="AH56" s="130"/>
      <c r="AI56" s="130"/>
      <c r="AJ56" s="130"/>
      <c r="AK56" s="130"/>
      <c r="AL56" s="130"/>
      <c r="AM56" s="130"/>
      <c r="AN56" s="130"/>
      <c r="AO56" s="130"/>
      <c r="AP56" s="130"/>
      <c r="AQ56" s="130"/>
      <c r="AR56" s="130"/>
      <c r="AS56" s="130"/>
      <c r="AT56" s="135">
        <f>67000000+40000000+34000000</f>
        <v>141000000</v>
      </c>
      <c r="AU56" s="135">
        <v>91705000</v>
      </c>
      <c r="AV56" s="135">
        <v>46850000</v>
      </c>
      <c r="AW56" s="130"/>
      <c r="AX56" s="130"/>
      <c r="AY56" s="130"/>
      <c r="AZ56" s="130"/>
      <c r="BA56" s="130"/>
      <c r="BB56" s="130"/>
      <c r="BC56" s="130"/>
      <c r="BD56" s="130"/>
      <c r="BE56" s="130"/>
      <c r="BF56" s="138">
        <f t="shared" si="0"/>
        <v>141000000</v>
      </c>
      <c r="BG56" s="138">
        <f t="shared" si="1"/>
        <v>91705000</v>
      </c>
      <c r="BH56" s="138">
        <f t="shared" si="2"/>
        <v>46850000</v>
      </c>
      <c r="BI56" s="141" t="s">
        <v>8</v>
      </c>
    </row>
    <row r="57" spans="1:62" s="288" customFormat="1" ht="86.25" customHeight="1">
      <c r="A57" s="139">
        <v>309</v>
      </c>
      <c r="B57" s="140" t="s">
        <v>281</v>
      </c>
      <c r="C57" s="139">
        <v>1</v>
      </c>
      <c r="D57" s="140" t="s">
        <v>148</v>
      </c>
      <c r="E57" s="139">
        <v>41</v>
      </c>
      <c r="F57" s="140" t="s">
        <v>303</v>
      </c>
      <c r="G57" s="139">
        <v>4101</v>
      </c>
      <c r="H57" s="140" t="s">
        <v>304</v>
      </c>
      <c r="I57" s="139">
        <v>4101</v>
      </c>
      <c r="J57" s="140" t="s">
        <v>305</v>
      </c>
      <c r="K57" s="140" t="s">
        <v>306</v>
      </c>
      <c r="L57" s="132">
        <v>4101025</v>
      </c>
      <c r="M57" s="140" t="s">
        <v>311</v>
      </c>
      <c r="N57" s="137">
        <v>4101025</v>
      </c>
      <c r="O57" s="140" t="s">
        <v>311</v>
      </c>
      <c r="P57" s="137">
        <v>410102511</v>
      </c>
      <c r="Q57" s="142" t="s">
        <v>312</v>
      </c>
      <c r="R57" s="137">
        <v>410102511</v>
      </c>
      <c r="S57" s="142" t="s">
        <v>312</v>
      </c>
      <c r="T57" s="289" t="s">
        <v>157</v>
      </c>
      <c r="U57" s="145">
        <v>50</v>
      </c>
      <c r="V57" s="145"/>
      <c r="W57" s="145">
        <f t="shared" si="8"/>
        <v>50</v>
      </c>
      <c r="X57" s="145">
        <v>0</v>
      </c>
      <c r="Y57" s="146">
        <v>2020003630064</v>
      </c>
      <c r="Z57" s="142" t="s">
        <v>309</v>
      </c>
      <c r="AA57" s="140" t="s">
        <v>310</v>
      </c>
      <c r="AB57" s="130"/>
      <c r="AC57" s="130"/>
      <c r="AD57" s="130"/>
      <c r="AE57" s="130"/>
      <c r="AF57" s="130"/>
      <c r="AG57" s="130"/>
      <c r="AH57" s="130"/>
      <c r="AI57" s="130"/>
      <c r="AJ57" s="130"/>
      <c r="AK57" s="130"/>
      <c r="AL57" s="130"/>
      <c r="AM57" s="130"/>
      <c r="AN57" s="130"/>
      <c r="AO57" s="130"/>
      <c r="AP57" s="130"/>
      <c r="AQ57" s="130"/>
      <c r="AR57" s="130"/>
      <c r="AS57" s="130"/>
      <c r="AT57" s="135">
        <v>38000000</v>
      </c>
      <c r="AU57" s="135">
        <v>5000000</v>
      </c>
      <c r="AV57" s="135">
        <v>4400000</v>
      </c>
      <c r="AW57" s="130"/>
      <c r="AX57" s="130"/>
      <c r="AY57" s="130"/>
      <c r="AZ57" s="130"/>
      <c r="BA57" s="130"/>
      <c r="BB57" s="130"/>
      <c r="BC57" s="130"/>
      <c r="BD57" s="130"/>
      <c r="BE57" s="130"/>
      <c r="BF57" s="138">
        <f t="shared" si="0"/>
        <v>38000000</v>
      </c>
      <c r="BG57" s="138">
        <f t="shared" si="1"/>
        <v>5000000</v>
      </c>
      <c r="BH57" s="138">
        <f t="shared" si="2"/>
        <v>4400000</v>
      </c>
      <c r="BI57" s="141" t="s">
        <v>8</v>
      </c>
    </row>
    <row r="58" spans="1:62" s="288" customFormat="1" ht="86.25" customHeight="1">
      <c r="A58" s="139">
        <v>309</v>
      </c>
      <c r="B58" s="140" t="s">
        <v>281</v>
      </c>
      <c r="C58" s="139">
        <v>1</v>
      </c>
      <c r="D58" s="140" t="s">
        <v>148</v>
      </c>
      <c r="E58" s="139">
        <v>41</v>
      </c>
      <c r="F58" s="140" t="s">
        <v>303</v>
      </c>
      <c r="G58" s="139">
        <v>4101</v>
      </c>
      <c r="H58" s="140" t="s">
        <v>304</v>
      </c>
      <c r="I58" s="139">
        <v>4101</v>
      </c>
      <c r="J58" s="140" t="s">
        <v>305</v>
      </c>
      <c r="K58" s="140" t="s">
        <v>306</v>
      </c>
      <c r="L58" s="137">
        <v>4101038</v>
      </c>
      <c r="M58" s="140" t="s">
        <v>313</v>
      </c>
      <c r="N58" s="137">
        <v>4101038</v>
      </c>
      <c r="O58" s="140" t="s">
        <v>313</v>
      </c>
      <c r="P58" s="137">
        <v>410103800</v>
      </c>
      <c r="Q58" s="142" t="s">
        <v>314</v>
      </c>
      <c r="R58" s="137">
        <v>410103800</v>
      </c>
      <c r="S58" s="142" t="s">
        <v>314</v>
      </c>
      <c r="T58" s="289" t="s">
        <v>157</v>
      </c>
      <c r="U58" s="145">
        <v>12</v>
      </c>
      <c r="V58" s="145"/>
      <c r="W58" s="145">
        <f t="shared" si="8"/>
        <v>12</v>
      </c>
      <c r="X58" s="145">
        <v>2</v>
      </c>
      <c r="Y58" s="146">
        <v>2020003630064</v>
      </c>
      <c r="Z58" s="142" t="s">
        <v>309</v>
      </c>
      <c r="AA58" s="140" t="s">
        <v>310</v>
      </c>
      <c r="AB58" s="130"/>
      <c r="AC58" s="130"/>
      <c r="AD58" s="130"/>
      <c r="AE58" s="130"/>
      <c r="AF58" s="130"/>
      <c r="AG58" s="130"/>
      <c r="AH58" s="130"/>
      <c r="AI58" s="130"/>
      <c r="AJ58" s="130"/>
      <c r="AK58" s="130"/>
      <c r="AL58" s="130"/>
      <c r="AM58" s="130"/>
      <c r="AN58" s="130"/>
      <c r="AO58" s="130"/>
      <c r="AP58" s="130"/>
      <c r="AQ58" s="130"/>
      <c r="AR58" s="130"/>
      <c r="AS58" s="130"/>
      <c r="AT58" s="135">
        <f>39000000+4000000</f>
        <v>43000000</v>
      </c>
      <c r="AU58" s="135">
        <v>4129200</v>
      </c>
      <c r="AV58" s="135">
        <v>129200</v>
      </c>
      <c r="AW58" s="130"/>
      <c r="AX58" s="130"/>
      <c r="AY58" s="130"/>
      <c r="AZ58" s="130"/>
      <c r="BA58" s="130"/>
      <c r="BB58" s="130"/>
      <c r="BC58" s="130"/>
      <c r="BD58" s="130"/>
      <c r="BE58" s="130"/>
      <c r="BF58" s="138">
        <f t="shared" si="0"/>
        <v>43000000</v>
      </c>
      <c r="BG58" s="138">
        <f t="shared" si="1"/>
        <v>4129200</v>
      </c>
      <c r="BH58" s="138">
        <f t="shared" si="2"/>
        <v>129200</v>
      </c>
      <c r="BI58" s="141" t="s">
        <v>8</v>
      </c>
    </row>
    <row r="59" spans="1:62" s="288" customFormat="1" ht="86.25" customHeight="1">
      <c r="A59" s="139">
        <v>309</v>
      </c>
      <c r="B59" s="140" t="s">
        <v>281</v>
      </c>
      <c r="C59" s="139">
        <v>1</v>
      </c>
      <c r="D59" s="140" t="s">
        <v>148</v>
      </c>
      <c r="E59" s="139">
        <v>41</v>
      </c>
      <c r="F59" s="140" t="s">
        <v>303</v>
      </c>
      <c r="G59" s="139">
        <v>4101</v>
      </c>
      <c r="H59" s="140" t="s">
        <v>304</v>
      </c>
      <c r="I59" s="139">
        <v>4101</v>
      </c>
      <c r="J59" s="140" t="s">
        <v>305</v>
      </c>
      <c r="K59" s="140" t="s">
        <v>315</v>
      </c>
      <c r="L59" s="137">
        <v>4101073</v>
      </c>
      <c r="M59" s="140" t="s">
        <v>316</v>
      </c>
      <c r="N59" s="137">
        <v>4101073</v>
      </c>
      <c r="O59" s="140" t="s">
        <v>316</v>
      </c>
      <c r="P59" s="137">
        <v>410107300</v>
      </c>
      <c r="Q59" s="142" t="s">
        <v>317</v>
      </c>
      <c r="R59" s="137">
        <v>410107300</v>
      </c>
      <c r="S59" s="142" t="s">
        <v>317</v>
      </c>
      <c r="T59" s="289" t="s">
        <v>157</v>
      </c>
      <c r="U59" s="145">
        <v>75</v>
      </c>
      <c r="V59" s="145"/>
      <c r="W59" s="145">
        <f t="shared" si="8"/>
        <v>75</v>
      </c>
      <c r="X59" s="145">
        <v>0</v>
      </c>
      <c r="Y59" s="146">
        <v>2020003630064</v>
      </c>
      <c r="Z59" s="142" t="s">
        <v>309</v>
      </c>
      <c r="AA59" s="140" t="s">
        <v>310</v>
      </c>
      <c r="AB59" s="130"/>
      <c r="AC59" s="130"/>
      <c r="AD59" s="130"/>
      <c r="AE59" s="130"/>
      <c r="AF59" s="130"/>
      <c r="AG59" s="130"/>
      <c r="AH59" s="130"/>
      <c r="AI59" s="130"/>
      <c r="AJ59" s="130"/>
      <c r="AK59" s="130"/>
      <c r="AL59" s="130"/>
      <c r="AM59" s="130"/>
      <c r="AN59" s="130"/>
      <c r="AO59" s="130"/>
      <c r="AP59" s="130"/>
      <c r="AQ59" s="130"/>
      <c r="AR59" s="130"/>
      <c r="AS59" s="130"/>
      <c r="AT59" s="135">
        <v>38000000</v>
      </c>
      <c r="AU59" s="135">
        <v>5650000</v>
      </c>
      <c r="AV59" s="135">
        <v>3000000</v>
      </c>
      <c r="AW59" s="130"/>
      <c r="AX59" s="130"/>
      <c r="AY59" s="130"/>
      <c r="AZ59" s="130"/>
      <c r="BA59" s="130"/>
      <c r="BB59" s="130"/>
      <c r="BC59" s="130"/>
      <c r="BD59" s="130"/>
      <c r="BE59" s="130"/>
      <c r="BF59" s="138">
        <f t="shared" si="0"/>
        <v>38000000</v>
      </c>
      <c r="BG59" s="138">
        <f t="shared" si="1"/>
        <v>5650000</v>
      </c>
      <c r="BH59" s="138">
        <f t="shared" si="2"/>
        <v>3000000</v>
      </c>
      <c r="BI59" s="141" t="s">
        <v>8</v>
      </c>
    </row>
    <row r="60" spans="1:62" s="151" customFormat="1" ht="86.25" customHeight="1">
      <c r="A60" s="139">
        <v>309</v>
      </c>
      <c r="B60" s="140" t="s">
        <v>281</v>
      </c>
      <c r="C60" s="139">
        <v>1</v>
      </c>
      <c r="D60" s="140" t="s">
        <v>148</v>
      </c>
      <c r="E60" s="139">
        <v>41</v>
      </c>
      <c r="F60" s="140" t="s">
        <v>303</v>
      </c>
      <c r="G60" s="139">
        <v>4101</v>
      </c>
      <c r="H60" s="140" t="s">
        <v>304</v>
      </c>
      <c r="I60" s="139">
        <v>4101</v>
      </c>
      <c r="J60" s="140" t="s">
        <v>305</v>
      </c>
      <c r="K60" s="140" t="s">
        <v>318</v>
      </c>
      <c r="L60" s="137">
        <v>4101011</v>
      </c>
      <c r="M60" s="140" t="s">
        <v>319</v>
      </c>
      <c r="N60" s="137">
        <v>4101011</v>
      </c>
      <c r="O60" s="140" t="s">
        <v>319</v>
      </c>
      <c r="P60" s="137">
        <v>410101100</v>
      </c>
      <c r="Q60" s="142" t="s">
        <v>320</v>
      </c>
      <c r="R60" s="137">
        <v>410101100</v>
      </c>
      <c r="S60" s="142" t="s">
        <v>320</v>
      </c>
      <c r="T60" s="289" t="s">
        <v>157</v>
      </c>
      <c r="U60" s="145">
        <v>3</v>
      </c>
      <c r="V60" s="145"/>
      <c r="W60" s="145">
        <f t="shared" si="8"/>
        <v>3</v>
      </c>
      <c r="X60" s="145">
        <v>1</v>
      </c>
      <c r="Y60" s="146">
        <v>2020003630064</v>
      </c>
      <c r="Z60" s="142" t="s">
        <v>309</v>
      </c>
      <c r="AA60" s="140" t="s">
        <v>310</v>
      </c>
      <c r="AB60" s="130"/>
      <c r="AC60" s="130"/>
      <c r="AD60" s="130"/>
      <c r="AE60" s="130"/>
      <c r="AF60" s="130"/>
      <c r="AG60" s="130"/>
      <c r="AH60" s="130"/>
      <c r="AI60" s="130"/>
      <c r="AJ60" s="130"/>
      <c r="AK60" s="130"/>
      <c r="AL60" s="130"/>
      <c r="AM60" s="130"/>
      <c r="AN60" s="130"/>
      <c r="AO60" s="130"/>
      <c r="AP60" s="130"/>
      <c r="AQ60" s="130"/>
      <c r="AR60" s="130"/>
      <c r="AS60" s="130"/>
      <c r="AT60" s="135">
        <f>13000000+10000000+5000000</f>
        <v>28000000</v>
      </c>
      <c r="AU60" s="135">
        <v>10885000</v>
      </c>
      <c r="AV60" s="135">
        <v>8000000</v>
      </c>
      <c r="AW60" s="130"/>
      <c r="AX60" s="130"/>
      <c r="AY60" s="130"/>
      <c r="AZ60" s="130"/>
      <c r="BA60" s="130"/>
      <c r="BB60" s="130"/>
      <c r="BC60" s="130"/>
      <c r="BD60" s="130"/>
      <c r="BE60" s="130"/>
      <c r="BF60" s="138">
        <f t="shared" si="0"/>
        <v>28000000</v>
      </c>
      <c r="BG60" s="138">
        <f t="shared" si="1"/>
        <v>10885000</v>
      </c>
      <c r="BH60" s="138">
        <f t="shared" si="2"/>
        <v>8000000</v>
      </c>
      <c r="BI60" s="141" t="s">
        <v>8</v>
      </c>
    </row>
    <row r="61" spans="1:62" s="151" customFormat="1" ht="59.25" customHeight="1">
      <c r="A61" s="139">
        <v>309</v>
      </c>
      <c r="B61" s="140" t="s">
        <v>281</v>
      </c>
      <c r="C61" s="139">
        <v>1</v>
      </c>
      <c r="D61" s="140" t="s">
        <v>148</v>
      </c>
      <c r="E61" s="139">
        <v>41</v>
      </c>
      <c r="F61" s="140" t="s">
        <v>303</v>
      </c>
      <c r="G61" s="139">
        <v>4103</v>
      </c>
      <c r="H61" s="140" t="s">
        <v>321</v>
      </c>
      <c r="I61" s="139">
        <v>4103</v>
      </c>
      <c r="J61" s="140" t="s">
        <v>322</v>
      </c>
      <c r="K61" s="140" t="s">
        <v>323</v>
      </c>
      <c r="L61" s="139" t="s">
        <v>61</v>
      </c>
      <c r="M61" s="140" t="s">
        <v>324</v>
      </c>
      <c r="N61" s="137">
        <v>4103052</v>
      </c>
      <c r="O61" s="140" t="s">
        <v>325</v>
      </c>
      <c r="P61" s="139" t="s">
        <v>61</v>
      </c>
      <c r="Q61" s="142" t="s">
        <v>326</v>
      </c>
      <c r="R61" s="137">
        <v>410305201</v>
      </c>
      <c r="S61" s="142" t="s">
        <v>327</v>
      </c>
      <c r="T61" s="289" t="s">
        <v>157</v>
      </c>
      <c r="U61" s="145">
        <v>25</v>
      </c>
      <c r="V61" s="145"/>
      <c r="W61" s="145">
        <f t="shared" si="8"/>
        <v>25</v>
      </c>
      <c r="X61" s="145">
        <v>0</v>
      </c>
      <c r="Y61" s="146">
        <v>2020003630065</v>
      </c>
      <c r="Z61" s="142" t="s">
        <v>328</v>
      </c>
      <c r="AA61" s="140" t="s">
        <v>329</v>
      </c>
      <c r="AB61" s="130"/>
      <c r="AC61" s="130"/>
      <c r="AD61" s="130"/>
      <c r="AE61" s="130"/>
      <c r="AF61" s="130"/>
      <c r="AG61" s="130"/>
      <c r="AH61" s="130"/>
      <c r="AI61" s="130"/>
      <c r="AJ61" s="130"/>
      <c r="AK61" s="130"/>
      <c r="AL61" s="130"/>
      <c r="AM61" s="130"/>
      <c r="AN61" s="130"/>
      <c r="AO61" s="130"/>
      <c r="AP61" s="130"/>
      <c r="AQ61" s="130"/>
      <c r="AR61" s="130"/>
      <c r="AS61" s="130"/>
      <c r="AT61" s="135">
        <f>18000000+14000000</f>
        <v>32000000</v>
      </c>
      <c r="AU61" s="135">
        <v>16885000</v>
      </c>
      <c r="AV61" s="135">
        <v>6200000</v>
      </c>
      <c r="AW61" s="130"/>
      <c r="AX61" s="130"/>
      <c r="AY61" s="130"/>
      <c r="AZ61" s="130"/>
      <c r="BA61" s="130"/>
      <c r="BB61" s="130"/>
      <c r="BC61" s="130"/>
      <c r="BD61" s="130"/>
      <c r="BE61" s="130"/>
      <c r="BF61" s="138">
        <f t="shared" si="0"/>
        <v>32000000</v>
      </c>
      <c r="BG61" s="138">
        <f t="shared" si="1"/>
        <v>16885000</v>
      </c>
      <c r="BH61" s="138">
        <f t="shared" si="2"/>
        <v>6200000</v>
      </c>
      <c r="BI61" s="141" t="s">
        <v>8</v>
      </c>
    </row>
    <row r="62" spans="1:62" s="151" customFormat="1" ht="99" customHeight="1">
      <c r="A62" s="139">
        <v>309</v>
      </c>
      <c r="B62" s="140" t="s">
        <v>281</v>
      </c>
      <c r="C62" s="139">
        <v>1</v>
      </c>
      <c r="D62" s="140" t="s">
        <v>148</v>
      </c>
      <c r="E62" s="139">
        <v>45</v>
      </c>
      <c r="F62" s="140" t="s">
        <v>60</v>
      </c>
      <c r="G62" s="139">
        <v>4501</v>
      </c>
      <c r="H62" s="140" t="s">
        <v>330</v>
      </c>
      <c r="I62" s="139">
        <v>4501</v>
      </c>
      <c r="J62" s="140" t="s">
        <v>331</v>
      </c>
      <c r="K62" s="140" t="s">
        <v>152</v>
      </c>
      <c r="L62" s="139" t="s">
        <v>61</v>
      </c>
      <c r="M62" s="140" t="s">
        <v>332</v>
      </c>
      <c r="N62" s="137">
        <v>4501029</v>
      </c>
      <c r="O62" s="140" t="s">
        <v>333</v>
      </c>
      <c r="P62" s="139" t="s">
        <v>61</v>
      </c>
      <c r="Q62" s="142" t="s">
        <v>334</v>
      </c>
      <c r="R62" s="137">
        <v>450102900</v>
      </c>
      <c r="S62" s="142" t="s">
        <v>335</v>
      </c>
      <c r="T62" s="289" t="s">
        <v>69</v>
      </c>
      <c r="U62" s="145">
        <v>5</v>
      </c>
      <c r="V62" s="145"/>
      <c r="W62" s="145">
        <f t="shared" si="8"/>
        <v>5</v>
      </c>
      <c r="X62" s="145">
        <v>1</v>
      </c>
      <c r="Y62" s="146">
        <v>2020003630066</v>
      </c>
      <c r="Z62" s="142" t="s">
        <v>336</v>
      </c>
      <c r="AA62" s="140" t="s">
        <v>337</v>
      </c>
      <c r="AB62" s="130"/>
      <c r="AC62" s="130"/>
      <c r="AD62" s="130"/>
      <c r="AE62" s="130"/>
      <c r="AF62" s="130"/>
      <c r="AG62" s="130"/>
      <c r="AH62" s="130"/>
      <c r="AI62" s="130"/>
      <c r="AJ62" s="130"/>
      <c r="AK62" s="130"/>
      <c r="AL62" s="130"/>
      <c r="AM62" s="130"/>
      <c r="AN62" s="130"/>
      <c r="AO62" s="130"/>
      <c r="AP62" s="130"/>
      <c r="AQ62" s="130"/>
      <c r="AR62" s="130"/>
      <c r="AS62" s="130"/>
      <c r="AT62" s="135"/>
      <c r="AU62" s="135"/>
      <c r="AV62" s="135"/>
      <c r="AW62" s="130">
        <f>2314305+3159539006+4131423250.14</f>
        <v>7293276561.1399994</v>
      </c>
      <c r="AX62" s="130">
        <v>901033594.35000002</v>
      </c>
      <c r="AY62" s="130">
        <v>62364735.850000001</v>
      </c>
      <c r="AZ62" s="130"/>
      <c r="BA62" s="130"/>
      <c r="BB62" s="130"/>
      <c r="BC62" s="130"/>
      <c r="BD62" s="130"/>
      <c r="BE62" s="130"/>
      <c r="BF62" s="138">
        <f t="shared" si="0"/>
        <v>7293276561.1399994</v>
      </c>
      <c r="BG62" s="138">
        <f t="shared" si="1"/>
        <v>901033594.35000002</v>
      </c>
      <c r="BH62" s="138">
        <f t="shared" si="2"/>
        <v>62364735.850000001</v>
      </c>
      <c r="BI62" s="141" t="s">
        <v>8</v>
      </c>
    </row>
    <row r="63" spans="1:62" s="151" customFormat="1" ht="98.25" customHeight="1">
      <c r="A63" s="139">
        <v>309</v>
      </c>
      <c r="B63" s="140" t="s">
        <v>281</v>
      </c>
      <c r="C63" s="139">
        <v>1</v>
      </c>
      <c r="D63" s="140" t="s">
        <v>148</v>
      </c>
      <c r="E63" s="139">
        <v>45</v>
      </c>
      <c r="F63" s="140" t="s">
        <v>60</v>
      </c>
      <c r="G63" s="139">
        <v>4501</v>
      </c>
      <c r="H63" s="140" t="s">
        <v>330</v>
      </c>
      <c r="I63" s="139">
        <v>4501</v>
      </c>
      <c r="J63" s="140" t="s">
        <v>331</v>
      </c>
      <c r="K63" s="140" t="s">
        <v>152</v>
      </c>
      <c r="L63" s="139">
        <v>4501001</v>
      </c>
      <c r="M63" s="140" t="s">
        <v>119</v>
      </c>
      <c r="N63" s="139">
        <v>4501001</v>
      </c>
      <c r="O63" s="140" t="s">
        <v>119</v>
      </c>
      <c r="P63" s="139">
        <v>450100100</v>
      </c>
      <c r="Q63" s="142" t="s">
        <v>338</v>
      </c>
      <c r="R63" s="139">
        <v>450100100</v>
      </c>
      <c r="S63" s="142" t="s">
        <v>338</v>
      </c>
      <c r="T63" s="289" t="s">
        <v>69</v>
      </c>
      <c r="U63" s="145">
        <v>12</v>
      </c>
      <c r="V63" s="145"/>
      <c r="W63" s="145">
        <f t="shared" si="8"/>
        <v>12</v>
      </c>
      <c r="X63" s="145">
        <v>2</v>
      </c>
      <c r="Y63" s="146">
        <v>2020003630068</v>
      </c>
      <c r="Z63" s="142" t="s">
        <v>339</v>
      </c>
      <c r="AA63" s="140" t="s">
        <v>340</v>
      </c>
      <c r="AB63" s="290"/>
      <c r="AC63" s="290"/>
      <c r="AD63" s="290"/>
      <c r="AE63" s="130"/>
      <c r="AF63" s="130"/>
      <c r="AG63" s="130"/>
      <c r="AH63" s="130"/>
      <c r="AI63" s="130"/>
      <c r="AJ63" s="130"/>
      <c r="AK63" s="130"/>
      <c r="AL63" s="130"/>
      <c r="AM63" s="130"/>
      <c r="AN63" s="130"/>
      <c r="AO63" s="130"/>
      <c r="AP63" s="130"/>
      <c r="AQ63" s="130"/>
      <c r="AR63" s="130"/>
      <c r="AS63" s="130"/>
      <c r="AT63" s="135">
        <f>34000000+20000000+23000000</f>
        <v>77000000</v>
      </c>
      <c r="AU63" s="135">
        <v>36532500</v>
      </c>
      <c r="AV63" s="135">
        <v>18850000</v>
      </c>
      <c r="AW63" s="130"/>
      <c r="AX63" s="130"/>
      <c r="AY63" s="130"/>
      <c r="AZ63" s="130"/>
      <c r="BA63" s="130"/>
      <c r="BB63" s="130"/>
      <c r="BC63" s="130"/>
      <c r="BD63" s="130"/>
      <c r="BE63" s="130"/>
      <c r="BF63" s="138">
        <f t="shared" si="0"/>
        <v>77000000</v>
      </c>
      <c r="BG63" s="138">
        <f t="shared" si="1"/>
        <v>36532500</v>
      </c>
      <c r="BH63" s="138">
        <f t="shared" si="2"/>
        <v>18850000</v>
      </c>
      <c r="BI63" s="141" t="s">
        <v>8</v>
      </c>
    </row>
    <row r="64" spans="1:62" s="151" customFormat="1" ht="56.25" customHeight="1">
      <c r="A64" s="139">
        <v>309</v>
      </c>
      <c r="B64" s="140" t="s">
        <v>281</v>
      </c>
      <c r="C64" s="139">
        <v>3</v>
      </c>
      <c r="D64" s="140" t="s">
        <v>211</v>
      </c>
      <c r="E64" s="139">
        <v>32</v>
      </c>
      <c r="F64" s="140" t="s">
        <v>226</v>
      </c>
      <c r="G64" s="139">
        <v>3205</v>
      </c>
      <c r="H64" s="140" t="s">
        <v>227</v>
      </c>
      <c r="I64" s="139">
        <v>3205</v>
      </c>
      <c r="J64" s="140" t="s">
        <v>228</v>
      </c>
      <c r="K64" s="140" t="s">
        <v>341</v>
      </c>
      <c r="L64" s="139">
        <v>3205002</v>
      </c>
      <c r="M64" s="140" t="s">
        <v>342</v>
      </c>
      <c r="N64" s="139">
        <v>3205002</v>
      </c>
      <c r="O64" s="140" t="s">
        <v>342</v>
      </c>
      <c r="P64" s="139">
        <v>320500200</v>
      </c>
      <c r="Q64" s="142" t="s">
        <v>343</v>
      </c>
      <c r="R64" s="139">
        <v>320500200</v>
      </c>
      <c r="S64" s="142" t="s">
        <v>343</v>
      </c>
      <c r="T64" s="289" t="s">
        <v>157</v>
      </c>
      <c r="U64" s="145">
        <v>3</v>
      </c>
      <c r="V64" s="145"/>
      <c r="W64" s="145">
        <f t="shared" si="8"/>
        <v>3</v>
      </c>
      <c r="X64" s="145">
        <v>0</v>
      </c>
      <c r="Y64" s="146">
        <v>2020003630069</v>
      </c>
      <c r="Z64" s="142" t="s">
        <v>344</v>
      </c>
      <c r="AA64" s="140" t="s">
        <v>345</v>
      </c>
      <c r="AB64" s="130"/>
      <c r="AC64" s="130"/>
      <c r="AD64" s="130"/>
      <c r="AE64" s="130"/>
      <c r="AF64" s="130"/>
      <c r="AG64" s="130"/>
      <c r="AH64" s="130"/>
      <c r="AI64" s="130"/>
      <c r="AJ64" s="130"/>
      <c r="AK64" s="130"/>
      <c r="AL64" s="130"/>
      <c r="AM64" s="130"/>
      <c r="AN64" s="130"/>
      <c r="AO64" s="130"/>
      <c r="AP64" s="130"/>
      <c r="AQ64" s="130"/>
      <c r="AR64" s="130"/>
      <c r="AS64" s="130"/>
      <c r="AT64" s="291">
        <f>45000000+10000000</f>
        <v>55000000</v>
      </c>
      <c r="AU64" s="291">
        <v>53655000</v>
      </c>
      <c r="AV64" s="291">
        <v>31800000</v>
      </c>
      <c r="AW64" s="130"/>
      <c r="AX64" s="130"/>
      <c r="AY64" s="130"/>
      <c r="AZ64" s="130"/>
      <c r="BA64" s="130"/>
      <c r="BB64" s="130"/>
      <c r="BC64" s="130"/>
      <c r="BD64" s="130"/>
      <c r="BE64" s="130"/>
      <c r="BF64" s="138">
        <f t="shared" si="0"/>
        <v>55000000</v>
      </c>
      <c r="BG64" s="138">
        <f t="shared" si="1"/>
        <v>53655000</v>
      </c>
      <c r="BH64" s="138">
        <f t="shared" si="2"/>
        <v>31800000</v>
      </c>
      <c r="BI64" s="141" t="s">
        <v>8</v>
      </c>
    </row>
    <row r="65" spans="1:61" s="151" customFormat="1" ht="88.5" customHeight="1">
      <c r="A65" s="139">
        <v>309</v>
      </c>
      <c r="B65" s="140" t="s">
        <v>281</v>
      </c>
      <c r="C65" s="139">
        <v>3</v>
      </c>
      <c r="D65" s="140" t="s">
        <v>211</v>
      </c>
      <c r="E65" s="139">
        <v>45</v>
      </c>
      <c r="F65" s="140" t="s">
        <v>60</v>
      </c>
      <c r="G65" s="139">
        <v>4503</v>
      </c>
      <c r="H65" s="140" t="s">
        <v>346</v>
      </c>
      <c r="I65" s="139">
        <v>4503</v>
      </c>
      <c r="J65" s="140" t="s">
        <v>347</v>
      </c>
      <c r="K65" s="140" t="s">
        <v>348</v>
      </c>
      <c r="L65" s="139">
        <v>4503002</v>
      </c>
      <c r="M65" s="140" t="s">
        <v>349</v>
      </c>
      <c r="N65" s="139">
        <v>4503002</v>
      </c>
      <c r="O65" s="140" t="s">
        <v>349</v>
      </c>
      <c r="P65" s="139">
        <v>450300200</v>
      </c>
      <c r="Q65" s="141" t="s">
        <v>350</v>
      </c>
      <c r="R65" s="139">
        <v>450300200</v>
      </c>
      <c r="S65" s="142" t="s">
        <v>350</v>
      </c>
      <c r="T65" s="289" t="s">
        <v>157</v>
      </c>
      <c r="U65" s="145">
        <v>5000</v>
      </c>
      <c r="V65" s="145"/>
      <c r="W65" s="145">
        <f t="shared" si="8"/>
        <v>5000</v>
      </c>
      <c r="X65" s="145">
        <v>1100</v>
      </c>
      <c r="Y65" s="146">
        <v>2020003630070</v>
      </c>
      <c r="Z65" s="260" t="s">
        <v>351</v>
      </c>
      <c r="AA65" s="140" t="s">
        <v>352</v>
      </c>
      <c r="AB65" s="130"/>
      <c r="AC65" s="130"/>
      <c r="AD65" s="130"/>
      <c r="AE65" s="130"/>
      <c r="AF65" s="130"/>
      <c r="AG65" s="130"/>
      <c r="AH65" s="130"/>
      <c r="AI65" s="130"/>
      <c r="AJ65" s="130"/>
      <c r="AK65" s="130"/>
      <c r="AL65" s="130"/>
      <c r="AM65" s="130"/>
      <c r="AN65" s="130"/>
      <c r="AO65" s="130"/>
      <c r="AP65" s="130"/>
      <c r="AQ65" s="130"/>
      <c r="AR65" s="130"/>
      <c r="AS65" s="130"/>
      <c r="AT65" s="135">
        <f>18000000+12000000+10000000</f>
        <v>40000000</v>
      </c>
      <c r="AU65" s="135">
        <v>12000000</v>
      </c>
      <c r="AV65" s="135">
        <v>9200000</v>
      </c>
      <c r="AW65" s="130"/>
      <c r="AX65" s="130"/>
      <c r="AY65" s="130"/>
      <c r="AZ65" s="130"/>
      <c r="BA65" s="130"/>
      <c r="BB65" s="130"/>
      <c r="BC65" s="130"/>
      <c r="BD65" s="130"/>
      <c r="BE65" s="130"/>
      <c r="BF65" s="138">
        <f t="shared" si="0"/>
        <v>40000000</v>
      </c>
      <c r="BG65" s="138">
        <f t="shared" si="1"/>
        <v>12000000</v>
      </c>
      <c r="BH65" s="138">
        <f t="shared" si="2"/>
        <v>9200000</v>
      </c>
      <c r="BI65" s="141" t="s">
        <v>8</v>
      </c>
    </row>
    <row r="66" spans="1:61" s="151" customFormat="1" ht="88.5" customHeight="1">
      <c r="A66" s="139">
        <v>309</v>
      </c>
      <c r="B66" s="140" t="s">
        <v>281</v>
      </c>
      <c r="C66" s="139">
        <v>3</v>
      </c>
      <c r="D66" s="140" t="s">
        <v>211</v>
      </c>
      <c r="E66" s="139">
        <v>45</v>
      </c>
      <c r="F66" s="140" t="s">
        <v>60</v>
      </c>
      <c r="G66" s="139">
        <v>4503</v>
      </c>
      <c r="H66" s="140" t="s">
        <v>346</v>
      </c>
      <c r="I66" s="139">
        <v>4503</v>
      </c>
      <c r="J66" s="140" t="s">
        <v>347</v>
      </c>
      <c r="K66" s="140" t="s">
        <v>353</v>
      </c>
      <c r="L66" s="139">
        <v>4503003</v>
      </c>
      <c r="M66" s="140" t="s">
        <v>119</v>
      </c>
      <c r="N66" s="139">
        <v>4503003</v>
      </c>
      <c r="O66" s="140" t="s">
        <v>119</v>
      </c>
      <c r="P66" s="139">
        <v>450300300</v>
      </c>
      <c r="Q66" s="142" t="s">
        <v>354</v>
      </c>
      <c r="R66" s="139">
        <v>450300300</v>
      </c>
      <c r="S66" s="142" t="s">
        <v>354</v>
      </c>
      <c r="T66" s="143" t="s">
        <v>69</v>
      </c>
      <c r="U66" s="145">
        <v>12</v>
      </c>
      <c r="V66" s="145"/>
      <c r="W66" s="145">
        <f t="shared" si="8"/>
        <v>12</v>
      </c>
      <c r="X66" s="145">
        <v>8</v>
      </c>
      <c r="Y66" s="146">
        <v>2020003630070</v>
      </c>
      <c r="Z66" s="260" t="s">
        <v>351</v>
      </c>
      <c r="AA66" s="260" t="s">
        <v>352</v>
      </c>
      <c r="AB66" s="130"/>
      <c r="AC66" s="130"/>
      <c r="AD66" s="130"/>
      <c r="AE66" s="130"/>
      <c r="AF66" s="130"/>
      <c r="AG66" s="130"/>
      <c r="AH66" s="130"/>
      <c r="AI66" s="130"/>
      <c r="AJ66" s="130"/>
      <c r="AK66" s="130"/>
      <c r="AL66" s="130"/>
      <c r="AM66" s="130"/>
      <c r="AN66" s="130"/>
      <c r="AO66" s="130"/>
      <c r="AP66" s="130"/>
      <c r="AQ66" s="130"/>
      <c r="AR66" s="130"/>
      <c r="AS66" s="130"/>
      <c r="AT66" s="135">
        <f>100000000-6610512+60000000+80000000-10000000</f>
        <v>223389488</v>
      </c>
      <c r="AU66" s="135">
        <v>95744488</v>
      </c>
      <c r="AV66" s="135">
        <v>38600000</v>
      </c>
      <c r="AW66" s="130"/>
      <c r="AX66" s="130"/>
      <c r="AY66" s="130"/>
      <c r="AZ66" s="130"/>
      <c r="BA66" s="130"/>
      <c r="BB66" s="130"/>
      <c r="BC66" s="130"/>
      <c r="BD66" s="130"/>
      <c r="BE66" s="130"/>
      <c r="BF66" s="138">
        <f t="shared" si="0"/>
        <v>223389488</v>
      </c>
      <c r="BG66" s="138">
        <f t="shared" si="1"/>
        <v>95744488</v>
      </c>
      <c r="BH66" s="138">
        <f t="shared" si="2"/>
        <v>38600000</v>
      </c>
      <c r="BI66" s="141" t="s">
        <v>8</v>
      </c>
    </row>
    <row r="67" spans="1:61" s="151" customFormat="1" ht="88.5" customHeight="1">
      <c r="A67" s="139">
        <v>309</v>
      </c>
      <c r="B67" s="140" t="s">
        <v>281</v>
      </c>
      <c r="C67" s="139">
        <v>3</v>
      </c>
      <c r="D67" s="140" t="s">
        <v>211</v>
      </c>
      <c r="E67" s="139">
        <v>45</v>
      </c>
      <c r="F67" s="140" t="s">
        <v>60</v>
      </c>
      <c r="G67" s="139">
        <v>4503</v>
      </c>
      <c r="H67" s="140" t="s">
        <v>346</v>
      </c>
      <c r="I67" s="139">
        <v>4503</v>
      </c>
      <c r="J67" s="140" t="s">
        <v>347</v>
      </c>
      <c r="K67" s="140" t="s">
        <v>353</v>
      </c>
      <c r="L67" s="139">
        <v>4503004</v>
      </c>
      <c r="M67" s="140" t="s">
        <v>355</v>
      </c>
      <c r="N67" s="139">
        <v>4503016</v>
      </c>
      <c r="O67" s="140" t="s">
        <v>356</v>
      </c>
      <c r="P67" s="139" t="s">
        <v>61</v>
      </c>
      <c r="Q67" s="142" t="s">
        <v>357</v>
      </c>
      <c r="R67" s="139">
        <v>450301600</v>
      </c>
      <c r="S67" s="142" t="s">
        <v>358</v>
      </c>
      <c r="T67" s="143" t="s">
        <v>69</v>
      </c>
      <c r="U67" s="145">
        <v>1</v>
      </c>
      <c r="V67" s="145"/>
      <c r="W67" s="145">
        <f t="shared" si="8"/>
        <v>1</v>
      </c>
      <c r="X67" s="145">
        <v>0</v>
      </c>
      <c r="Y67" s="146">
        <v>2020003630070</v>
      </c>
      <c r="Z67" s="260" t="s">
        <v>351</v>
      </c>
      <c r="AA67" s="260" t="s">
        <v>352</v>
      </c>
      <c r="AB67" s="130"/>
      <c r="AC67" s="130"/>
      <c r="AD67" s="130"/>
      <c r="AE67" s="130"/>
      <c r="AF67" s="130"/>
      <c r="AG67" s="130"/>
      <c r="AH67" s="130"/>
      <c r="AI67" s="130"/>
      <c r="AJ67" s="130"/>
      <c r="AK67" s="130"/>
      <c r="AL67" s="130"/>
      <c r="AM67" s="130"/>
      <c r="AN67" s="130"/>
      <c r="AO67" s="130"/>
      <c r="AP67" s="130"/>
      <c r="AQ67" s="130"/>
      <c r="AR67" s="130"/>
      <c r="AS67" s="130"/>
      <c r="AT67" s="135">
        <f>30000000-3000000</f>
        <v>27000000</v>
      </c>
      <c r="AU67" s="135"/>
      <c r="AV67" s="135"/>
      <c r="AW67" s="130"/>
      <c r="AX67" s="130"/>
      <c r="AY67" s="130"/>
      <c r="AZ67" s="130"/>
      <c r="BA67" s="130"/>
      <c r="BB67" s="130"/>
      <c r="BC67" s="130"/>
      <c r="BD67" s="130"/>
      <c r="BE67" s="130"/>
      <c r="BF67" s="138">
        <f t="shared" si="0"/>
        <v>27000000</v>
      </c>
      <c r="BG67" s="138">
        <f t="shared" si="1"/>
        <v>0</v>
      </c>
      <c r="BH67" s="138">
        <f t="shared" si="2"/>
        <v>0</v>
      </c>
      <c r="BI67" s="141" t="s">
        <v>8</v>
      </c>
    </row>
    <row r="68" spans="1:61" s="151" customFormat="1" ht="51">
      <c r="A68" s="139">
        <v>309</v>
      </c>
      <c r="B68" s="140" t="s">
        <v>281</v>
      </c>
      <c r="C68" s="139">
        <v>4</v>
      </c>
      <c r="D68" s="140" t="s">
        <v>59</v>
      </c>
      <c r="E68" s="139">
        <v>45</v>
      </c>
      <c r="F68" s="140" t="s">
        <v>60</v>
      </c>
      <c r="G68" s="139">
        <v>4502</v>
      </c>
      <c r="H68" s="140" t="s">
        <v>78</v>
      </c>
      <c r="I68" s="139">
        <v>4502</v>
      </c>
      <c r="J68" s="140" t="s">
        <v>79</v>
      </c>
      <c r="K68" s="140" t="s">
        <v>359</v>
      </c>
      <c r="L68" s="139">
        <v>4502024</v>
      </c>
      <c r="M68" s="140" t="s">
        <v>360</v>
      </c>
      <c r="N68" s="139">
        <v>4502024</v>
      </c>
      <c r="O68" s="140" t="s">
        <v>360</v>
      </c>
      <c r="P68" s="145">
        <v>450202400</v>
      </c>
      <c r="Q68" s="142" t="s">
        <v>361</v>
      </c>
      <c r="R68" s="145">
        <v>450202400</v>
      </c>
      <c r="S68" s="142" t="s">
        <v>361</v>
      </c>
      <c r="T68" s="143" t="s">
        <v>69</v>
      </c>
      <c r="U68" s="145">
        <v>10</v>
      </c>
      <c r="V68" s="145"/>
      <c r="W68" s="145">
        <f t="shared" si="8"/>
        <v>10</v>
      </c>
      <c r="X68" s="145">
        <v>4</v>
      </c>
      <c r="Y68" s="146">
        <v>2020003630067</v>
      </c>
      <c r="Z68" s="260" t="s">
        <v>362</v>
      </c>
      <c r="AA68" s="140" t="s">
        <v>363</v>
      </c>
      <c r="AB68" s="130"/>
      <c r="AC68" s="130"/>
      <c r="AD68" s="130"/>
      <c r="AE68" s="130"/>
      <c r="AF68" s="130"/>
      <c r="AG68" s="130"/>
      <c r="AH68" s="130"/>
      <c r="AI68" s="130"/>
      <c r="AJ68" s="130"/>
      <c r="AK68" s="130"/>
      <c r="AL68" s="130"/>
      <c r="AM68" s="130"/>
      <c r="AN68" s="130"/>
      <c r="AO68" s="130"/>
      <c r="AP68" s="130"/>
      <c r="AQ68" s="130"/>
      <c r="AR68" s="130"/>
      <c r="AS68" s="130"/>
      <c r="AT68" s="135">
        <f>50000000+20000000+35000000</f>
        <v>105000000</v>
      </c>
      <c r="AU68" s="135">
        <v>38614488</v>
      </c>
      <c r="AV68" s="135">
        <v>12200000</v>
      </c>
      <c r="AW68" s="130"/>
      <c r="AX68" s="130"/>
      <c r="AY68" s="130"/>
      <c r="AZ68" s="130"/>
      <c r="BA68" s="130"/>
      <c r="BB68" s="130"/>
      <c r="BC68" s="130"/>
      <c r="BD68" s="130"/>
      <c r="BE68" s="130"/>
      <c r="BF68" s="138">
        <f t="shared" si="0"/>
        <v>105000000</v>
      </c>
      <c r="BG68" s="138">
        <f t="shared" si="1"/>
        <v>38614488</v>
      </c>
      <c r="BH68" s="138">
        <f t="shared" si="2"/>
        <v>12200000</v>
      </c>
      <c r="BI68" s="141" t="s">
        <v>8</v>
      </c>
    </row>
    <row r="69" spans="1:61" s="151" customFormat="1" ht="126" customHeight="1">
      <c r="A69" s="139">
        <v>309</v>
      </c>
      <c r="B69" s="140" t="s">
        <v>281</v>
      </c>
      <c r="C69" s="139">
        <v>4</v>
      </c>
      <c r="D69" s="140" t="s">
        <v>59</v>
      </c>
      <c r="E69" s="139">
        <v>45</v>
      </c>
      <c r="F69" s="140" t="s">
        <v>60</v>
      </c>
      <c r="G69" s="139">
        <v>4502</v>
      </c>
      <c r="H69" s="140" t="s">
        <v>78</v>
      </c>
      <c r="I69" s="139">
        <v>4502</v>
      </c>
      <c r="J69" s="140" t="s">
        <v>79</v>
      </c>
      <c r="K69" s="140" t="s">
        <v>80</v>
      </c>
      <c r="L69" s="139">
        <v>4502001</v>
      </c>
      <c r="M69" s="140" t="s">
        <v>90</v>
      </c>
      <c r="N69" s="292">
        <v>4502001</v>
      </c>
      <c r="O69" s="140" t="s">
        <v>90</v>
      </c>
      <c r="P69" s="139">
        <v>450200100</v>
      </c>
      <c r="Q69" s="142" t="s">
        <v>364</v>
      </c>
      <c r="R69" s="139">
        <v>450200100</v>
      </c>
      <c r="S69" s="142" t="s">
        <v>92</v>
      </c>
      <c r="T69" s="289" t="s">
        <v>69</v>
      </c>
      <c r="U69" s="145">
        <v>3</v>
      </c>
      <c r="V69" s="145"/>
      <c r="W69" s="145">
        <f t="shared" si="8"/>
        <v>3</v>
      </c>
      <c r="X69" s="145">
        <v>1</v>
      </c>
      <c r="Y69" s="146">
        <v>2020003630071</v>
      </c>
      <c r="Z69" s="260" t="s">
        <v>365</v>
      </c>
      <c r="AA69" s="140" t="s">
        <v>366</v>
      </c>
      <c r="AB69" s="130"/>
      <c r="AC69" s="130"/>
      <c r="AD69" s="130"/>
      <c r="AE69" s="130"/>
      <c r="AF69" s="130"/>
      <c r="AG69" s="130"/>
      <c r="AH69" s="130"/>
      <c r="AI69" s="130"/>
      <c r="AJ69" s="130"/>
      <c r="AK69" s="130"/>
      <c r="AL69" s="130"/>
      <c r="AM69" s="130"/>
      <c r="AN69" s="130"/>
      <c r="AO69" s="130"/>
      <c r="AP69" s="130"/>
      <c r="AQ69" s="130"/>
      <c r="AR69" s="130"/>
      <c r="AS69" s="130"/>
      <c r="AT69" s="135">
        <f>128000000+35000000+47000000</f>
        <v>210000000</v>
      </c>
      <c r="AU69" s="135">
        <v>89213012</v>
      </c>
      <c r="AV69" s="135">
        <v>36150000</v>
      </c>
      <c r="AW69" s="130"/>
      <c r="AX69" s="130"/>
      <c r="AY69" s="130"/>
      <c r="AZ69" s="130"/>
      <c r="BA69" s="130"/>
      <c r="BB69" s="130"/>
      <c r="BC69" s="130"/>
      <c r="BD69" s="130"/>
      <c r="BE69" s="130"/>
      <c r="BF69" s="138">
        <f t="shared" si="0"/>
        <v>210000000</v>
      </c>
      <c r="BG69" s="138">
        <f t="shared" si="1"/>
        <v>89213012</v>
      </c>
      <c r="BH69" s="138">
        <f t="shared" si="2"/>
        <v>36150000</v>
      </c>
      <c r="BI69" s="141" t="s">
        <v>8</v>
      </c>
    </row>
    <row r="70" spans="1:61" s="151" customFormat="1" ht="126" customHeight="1">
      <c r="A70" s="139">
        <v>309</v>
      </c>
      <c r="B70" s="140" t="s">
        <v>281</v>
      </c>
      <c r="C70" s="139">
        <v>4</v>
      </c>
      <c r="D70" s="140" t="s">
        <v>59</v>
      </c>
      <c r="E70" s="139">
        <v>45</v>
      </c>
      <c r="F70" s="140" t="s">
        <v>60</v>
      </c>
      <c r="G70" s="139">
        <v>4502</v>
      </c>
      <c r="H70" s="140" t="s">
        <v>78</v>
      </c>
      <c r="I70" s="139">
        <v>4502</v>
      </c>
      <c r="J70" s="140" t="s">
        <v>79</v>
      </c>
      <c r="K70" s="140" t="s">
        <v>80</v>
      </c>
      <c r="L70" s="139" t="s">
        <v>61</v>
      </c>
      <c r="M70" s="140" t="s">
        <v>367</v>
      </c>
      <c r="N70" s="292">
        <v>4502001</v>
      </c>
      <c r="O70" s="140" t="s">
        <v>90</v>
      </c>
      <c r="P70" s="139" t="s">
        <v>61</v>
      </c>
      <c r="Q70" s="142" t="s">
        <v>368</v>
      </c>
      <c r="R70" s="292">
        <v>450200111</v>
      </c>
      <c r="S70" s="142" t="s">
        <v>369</v>
      </c>
      <c r="T70" s="289" t="s">
        <v>69</v>
      </c>
      <c r="U70" s="293">
        <v>1</v>
      </c>
      <c r="V70" s="293"/>
      <c r="W70" s="145">
        <f t="shared" si="8"/>
        <v>1</v>
      </c>
      <c r="X70" s="145">
        <v>0.25</v>
      </c>
      <c r="Y70" s="146">
        <v>2020003630071</v>
      </c>
      <c r="Z70" s="260" t="s">
        <v>365</v>
      </c>
      <c r="AA70" s="140" t="s">
        <v>366</v>
      </c>
      <c r="AB70" s="130"/>
      <c r="AC70" s="130"/>
      <c r="AD70" s="130"/>
      <c r="AE70" s="130"/>
      <c r="AF70" s="130"/>
      <c r="AG70" s="130"/>
      <c r="AH70" s="130"/>
      <c r="AI70" s="130"/>
      <c r="AJ70" s="130"/>
      <c r="AK70" s="130"/>
      <c r="AL70" s="130"/>
      <c r="AM70" s="130"/>
      <c r="AN70" s="130"/>
      <c r="AO70" s="130"/>
      <c r="AP70" s="130"/>
      <c r="AQ70" s="130"/>
      <c r="AR70" s="130"/>
      <c r="AS70" s="130"/>
      <c r="AT70" s="135">
        <f>72000000+25000000+10000000</f>
        <v>107000000</v>
      </c>
      <c r="AU70" s="135">
        <v>19050000</v>
      </c>
      <c r="AV70" s="135">
        <v>6800000</v>
      </c>
      <c r="AW70" s="130"/>
      <c r="AX70" s="130"/>
      <c r="AY70" s="130"/>
      <c r="AZ70" s="130"/>
      <c r="BA70" s="130"/>
      <c r="BB70" s="130"/>
      <c r="BC70" s="130"/>
      <c r="BD70" s="130"/>
      <c r="BE70" s="130"/>
      <c r="BF70" s="138">
        <f t="shared" si="0"/>
        <v>107000000</v>
      </c>
      <c r="BG70" s="138">
        <f t="shared" si="1"/>
        <v>19050000</v>
      </c>
      <c r="BH70" s="138">
        <f t="shared" si="2"/>
        <v>6800000</v>
      </c>
      <c r="BI70" s="141" t="s">
        <v>8</v>
      </c>
    </row>
    <row r="71" spans="1:61" s="151" customFormat="1" ht="126" customHeight="1">
      <c r="A71" s="139">
        <v>309</v>
      </c>
      <c r="B71" s="140" t="s">
        <v>281</v>
      </c>
      <c r="C71" s="139">
        <v>4</v>
      </c>
      <c r="D71" s="140" t="s">
        <v>59</v>
      </c>
      <c r="E71" s="139">
        <v>45</v>
      </c>
      <c r="F71" s="140" t="s">
        <v>60</v>
      </c>
      <c r="G71" s="139">
        <v>4502</v>
      </c>
      <c r="H71" s="140" t="s">
        <v>78</v>
      </c>
      <c r="I71" s="139">
        <v>4502</v>
      </c>
      <c r="J71" s="140" t="s">
        <v>79</v>
      </c>
      <c r="K71" s="140" t="s">
        <v>80</v>
      </c>
      <c r="L71" s="139" t="s">
        <v>61</v>
      </c>
      <c r="M71" s="140" t="s">
        <v>370</v>
      </c>
      <c r="N71" s="139">
        <v>4502001</v>
      </c>
      <c r="O71" s="140" t="s">
        <v>90</v>
      </c>
      <c r="P71" s="139" t="s">
        <v>61</v>
      </c>
      <c r="Q71" s="142" t="s">
        <v>371</v>
      </c>
      <c r="R71" s="139">
        <v>450200109</v>
      </c>
      <c r="S71" s="142" t="s">
        <v>372</v>
      </c>
      <c r="T71" s="289" t="s">
        <v>69</v>
      </c>
      <c r="U71" s="145">
        <v>12</v>
      </c>
      <c r="V71" s="145"/>
      <c r="W71" s="145">
        <f t="shared" si="8"/>
        <v>12</v>
      </c>
      <c r="X71" s="145">
        <v>3</v>
      </c>
      <c r="Y71" s="146">
        <v>2020003630071</v>
      </c>
      <c r="Z71" s="260" t="s">
        <v>365</v>
      </c>
      <c r="AA71" s="140" t="s">
        <v>366</v>
      </c>
      <c r="AB71" s="130"/>
      <c r="AC71" s="130"/>
      <c r="AD71" s="130"/>
      <c r="AE71" s="130"/>
      <c r="AF71" s="130"/>
      <c r="AG71" s="130"/>
      <c r="AH71" s="130"/>
      <c r="AI71" s="130"/>
      <c r="AJ71" s="130"/>
      <c r="AK71" s="130"/>
      <c r="AL71" s="130"/>
      <c r="AM71" s="130"/>
      <c r="AN71" s="130"/>
      <c r="AO71" s="130"/>
      <c r="AP71" s="130"/>
      <c r="AQ71" s="130"/>
      <c r="AR71" s="130"/>
      <c r="AS71" s="130"/>
      <c r="AT71" s="135">
        <f>35000000+20000000+100000000</f>
        <v>155000000</v>
      </c>
      <c r="AU71" s="135">
        <v>5000000</v>
      </c>
      <c r="AV71" s="135"/>
      <c r="AW71" s="130"/>
      <c r="AX71" s="130"/>
      <c r="AY71" s="130"/>
      <c r="AZ71" s="130"/>
      <c r="BA71" s="130"/>
      <c r="BB71" s="130"/>
      <c r="BC71" s="130"/>
      <c r="BD71" s="130"/>
      <c r="BE71" s="130"/>
      <c r="BF71" s="138">
        <f t="shared" si="0"/>
        <v>155000000</v>
      </c>
      <c r="BG71" s="138">
        <f t="shared" si="1"/>
        <v>5000000</v>
      </c>
      <c r="BH71" s="138">
        <f t="shared" si="2"/>
        <v>0</v>
      </c>
      <c r="BI71" s="141" t="s">
        <v>8</v>
      </c>
    </row>
    <row r="72" spans="1:61" s="151" customFormat="1" ht="126" customHeight="1">
      <c r="A72" s="139">
        <v>309</v>
      </c>
      <c r="B72" s="140" t="s">
        <v>281</v>
      </c>
      <c r="C72" s="139">
        <v>4</v>
      </c>
      <c r="D72" s="140" t="s">
        <v>59</v>
      </c>
      <c r="E72" s="139">
        <v>45</v>
      </c>
      <c r="F72" s="140" t="s">
        <v>60</v>
      </c>
      <c r="G72" s="139">
        <v>4502</v>
      </c>
      <c r="H72" s="140" t="s">
        <v>78</v>
      </c>
      <c r="I72" s="139">
        <v>4502</v>
      </c>
      <c r="J72" s="140" t="s">
        <v>79</v>
      </c>
      <c r="K72" s="140" t="s">
        <v>80</v>
      </c>
      <c r="L72" s="139" t="s">
        <v>61</v>
      </c>
      <c r="M72" s="140" t="s">
        <v>373</v>
      </c>
      <c r="N72" s="292">
        <v>4502035</v>
      </c>
      <c r="O72" s="140" t="s">
        <v>374</v>
      </c>
      <c r="P72" s="139" t="s">
        <v>61</v>
      </c>
      <c r="Q72" s="142" t="s">
        <v>375</v>
      </c>
      <c r="R72" s="292">
        <v>450203501</v>
      </c>
      <c r="S72" s="142" t="s">
        <v>376</v>
      </c>
      <c r="T72" s="289" t="s">
        <v>157</v>
      </c>
      <c r="U72" s="145">
        <v>0.2</v>
      </c>
      <c r="V72" s="145"/>
      <c r="W72" s="145">
        <f t="shared" si="8"/>
        <v>0.2</v>
      </c>
      <c r="X72" s="145">
        <v>0.1</v>
      </c>
      <c r="Y72" s="146">
        <v>2020003630071</v>
      </c>
      <c r="Z72" s="260" t="s">
        <v>365</v>
      </c>
      <c r="AA72" s="140" t="s">
        <v>366</v>
      </c>
      <c r="AB72" s="130"/>
      <c r="AC72" s="130"/>
      <c r="AD72" s="130"/>
      <c r="AE72" s="130"/>
      <c r="AF72" s="130"/>
      <c r="AG72" s="130"/>
      <c r="AH72" s="130"/>
      <c r="AI72" s="130"/>
      <c r="AJ72" s="130"/>
      <c r="AK72" s="130"/>
      <c r="AL72" s="130"/>
      <c r="AM72" s="130"/>
      <c r="AN72" s="130"/>
      <c r="AO72" s="130"/>
      <c r="AP72" s="130"/>
      <c r="AQ72" s="130"/>
      <c r="AR72" s="130"/>
      <c r="AS72" s="130"/>
      <c r="AT72" s="135">
        <f>25000000+25000000</f>
        <v>50000000</v>
      </c>
      <c r="AU72" s="135">
        <v>13600000</v>
      </c>
      <c r="AV72" s="135">
        <v>6400000</v>
      </c>
      <c r="AW72" s="130"/>
      <c r="AX72" s="130"/>
      <c r="AY72" s="130"/>
      <c r="AZ72" s="130"/>
      <c r="BA72" s="130"/>
      <c r="BB72" s="130"/>
      <c r="BC72" s="130"/>
      <c r="BD72" s="130"/>
      <c r="BE72" s="130"/>
      <c r="BF72" s="138">
        <f t="shared" ref="BF72:BF135" si="9">AB72+AE72+AH72+AK72+AN72+AQ72+AT72+AW72+BC72+AZ72</f>
        <v>50000000</v>
      </c>
      <c r="BG72" s="138">
        <f t="shared" ref="BG72:BG135" si="10">AC72+AF72+AI72+AL72+AO72+AR72+AU72+AX72+BD72+BA72</f>
        <v>13600000</v>
      </c>
      <c r="BH72" s="138">
        <f t="shared" ref="BH72:BH135" si="11">AD72+AG72+AJ72+AM72+AP72+AS72+AV72+AY72+BE72+BB72</f>
        <v>6400000</v>
      </c>
      <c r="BI72" s="141" t="s">
        <v>8</v>
      </c>
    </row>
    <row r="73" spans="1:61" s="151" customFormat="1" ht="126" customHeight="1">
      <c r="A73" s="139">
        <v>310</v>
      </c>
      <c r="B73" s="140" t="s">
        <v>377</v>
      </c>
      <c r="C73" s="139">
        <v>1</v>
      </c>
      <c r="D73" s="140" t="s">
        <v>148</v>
      </c>
      <c r="E73" s="139">
        <v>33</v>
      </c>
      <c r="F73" s="140" t="s">
        <v>170</v>
      </c>
      <c r="G73" s="139">
        <v>3301</v>
      </c>
      <c r="H73" s="140" t="s">
        <v>171</v>
      </c>
      <c r="I73" s="139">
        <v>3301</v>
      </c>
      <c r="J73" s="140" t="s">
        <v>172</v>
      </c>
      <c r="K73" s="140" t="s">
        <v>378</v>
      </c>
      <c r="L73" s="139">
        <v>3301087</v>
      </c>
      <c r="M73" s="140" t="s">
        <v>379</v>
      </c>
      <c r="N73" s="139">
        <v>3301087</v>
      </c>
      <c r="O73" s="140" t="s">
        <v>379</v>
      </c>
      <c r="P73" s="139">
        <v>330108701</v>
      </c>
      <c r="Q73" s="141" t="s">
        <v>350</v>
      </c>
      <c r="R73" s="139">
        <v>330108701</v>
      </c>
      <c r="S73" s="142" t="s">
        <v>350</v>
      </c>
      <c r="T73" s="143" t="s">
        <v>157</v>
      </c>
      <c r="U73" s="145">
        <v>5750</v>
      </c>
      <c r="V73" s="145"/>
      <c r="W73" s="145">
        <f>U73+V73</f>
        <v>5750</v>
      </c>
      <c r="X73" s="145">
        <v>2337</v>
      </c>
      <c r="Y73" s="146">
        <v>2020003630021</v>
      </c>
      <c r="Z73" s="260" t="s">
        <v>380</v>
      </c>
      <c r="AA73" s="140" t="s">
        <v>381</v>
      </c>
      <c r="AB73" s="273"/>
      <c r="AC73" s="273"/>
      <c r="AD73" s="273"/>
      <c r="AE73" s="130"/>
      <c r="AF73" s="130"/>
      <c r="AG73" s="130"/>
      <c r="AH73" s="130"/>
      <c r="AI73" s="130"/>
      <c r="AJ73" s="130"/>
      <c r="AK73" s="130"/>
      <c r="AL73" s="130"/>
      <c r="AM73" s="130"/>
      <c r="AN73" s="130"/>
      <c r="AO73" s="130"/>
      <c r="AP73" s="130"/>
      <c r="AQ73" s="130"/>
      <c r="AR73" s="130"/>
      <c r="AS73" s="130"/>
      <c r="AT73" s="136">
        <v>336838679</v>
      </c>
      <c r="AU73" s="136">
        <v>139578333</v>
      </c>
      <c r="AV73" s="136">
        <v>42383333</v>
      </c>
      <c r="AW73" s="130"/>
      <c r="AX73" s="130"/>
      <c r="AY73" s="130"/>
      <c r="AZ73" s="130"/>
      <c r="BA73" s="130"/>
      <c r="BB73" s="130"/>
      <c r="BC73" s="130"/>
      <c r="BD73" s="130"/>
      <c r="BE73" s="130"/>
      <c r="BF73" s="138">
        <f t="shared" si="9"/>
        <v>336838679</v>
      </c>
      <c r="BG73" s="138">
        <f t="shared" si="10"/>
        <v>139578333</v>
      </c>
      <c r="BH73" s="138">
        <f t="shared" si="11"/>
        <v>42383333</v>
      </c>
      <c r="BI73" s="141" t="s">
        <v>11</v>
      </c>
    </row>
    <row r="74" spans="1:61" s="151" customFormat="1" ht="126" customHeight="1">
      <c r="A74" s="139">
        <v>310</v>
      </c>
      <c r="B74" s="140" t="s">
        <v>377</v>
      </c>
      <c r="C74" s="139">
        <v>1</v>
      </c>
      <c r="D74" s="140" t="s">
        <v>148</v>
      </c>
      <c r="E74" s="139">
        <v>33</v>
      </c>
      <c r="F74" s="140" t="s">
        <v>170</v>
      </c>
      <c r="G74" s="139">
        <v>3301</v>
      </c>
      <c r="H74" s="140" t="s">
        <v>171</v>
      </c>
      <c r="I74" s="139">
        <v>3301</v>
      </c>
      <c r="J74" s="140" t="s">
        <v>172</v>
      </c>
      <c r="K74" s="140" t="s">
        <v>382</v>
      </c>
      <c r="L74" s="139">
        <v>3301073</v>
      </c>
      <c r="M74" s="140" t="s">
        <v>383</v>
      </c>
      <c r="N74" s="139">
        <v>3301073</v>
      </c>
      <c r="O74" s="140" t="s">
        <v>383</v>
      </c>
      <c r="P74" s="139">
        <v>330107301</v>
      </c>
      <c r="Q74" s="142" t="s">
        <v>384</v>
      </c>
      <c r="R74" s="139">
        <v>330107301</v>
      </c>
      <c r="S74" s="142" t="s">
        <v>384</v>
      </c>
      <c r="T74" s="143" t="s">
        <v>157</v>
      </c>
      <c r="U74" s="145">
        <v>550</v>
      </c>
      <c r="V74" s="145"/>
      <c r="W74" s="145">
        <f t="shared" ref="W74:W82" si="12">U74+V74</f>
        <v>550</v>
      </c>
      <c r="X74" s="145">
        <v>18</v>
      </c>
      <c r="Y74" s="146">
        <v>2020003630021</v>
      </c>
      <c r="Z74" s="260" t="s">
        <v>380</v>
      </c>
      <c r="AA74" s="140" t="s">
        <v>381</v>
      </c>
      <c r="AB74" s="130">
        <f>1498231249+405865979.33+71938618.98</f>
        <v>1976035847.3099999</v>
      </c>
      <c r="AC74" s="130">
        <v>81455000</v>
      </c>
      <c r="AD74" s="130">
        <v>31285000</v>
      </c>
      <c r="AE74" s="130"/>
      <c r="AF74" s="130"/>
      <c r="AG74" s="130"/>
      <c r="AH74" s="130"/>
      <c r="AI74" s="130"/>
      <c r="AJ74" s="130"/>
      <c r="AK74" s="130"/>
      <c r="AL74" s="130"/>
      <c r="AM74" s="130"/>
      <c r="AN74" s="130"/>
      <c r="AO74" s="130"/>
      <c r="AP74" s="130"/>
      <c r="AQ74" s="130"/>
      <c r="AR74" s="130"/>
      <c r="AS74" s="130"/>
      <c r="AT74" s="135">
        <f>150000000+320000000</f>
        <v>470000000</v>
      </c>
      <c r="AU74" s="135">
        <v>75121666.670000002</v>
      </c>
      <c r="AV74" s="135">
        <v>33351666.670000002</v>
      </c>
      <c r="AW74" s="130"/>
      <c r="AX74" s="130"/>
      <c r="AY74" s="130"/>
      <c r="AZ74" s="130"/>
      <c r="BA74" s="130"/>
      <c r="BB74" s="130"/>
      <c r="BC74" s="130"/>
      <c r="BD74" s="130"/>
      <c r="BE74" s="130"/>
      <c r="BF74" s="138">
        <f t="shared" si="9"/>
        <v>2446035847.3099999</v>
      </c>
      <c r="BG74" s="138">
        <f t="shared" si="10"/>
        <v>156576666.67000002</v>
      </c>
      <c r="BH74" s="138">
        <f t="shared" si="11"/>
        <v>64636666.670000002</v>
      </c>
      <c r="BI74" s="141" t="s">
        <v>11</v>
      </c>
    </row>
    <row r="75" spans="1:61" s="288" customFormat="1" ht="126" customHeight="1">
      <c r="A75" s="139">
        <v>310</v>
      </c>
      <c r="B75" s="140" t="s">
        <v>377</v>
      </c>
      <c r="C75" s="139">
        <v>1</v>
      </c>
      <c r="D75" s="140" t="s">
        <v>148</v>
      </c>
      <c r="E75" s="139">
        <v>33</v>
      </c>
      <c r="F75" s="140" t="s">
        <v>170</v>
      </c>
      <c r="G75" s="139">
        <v>3301</v>
      </c>
      <c r="H75" s="140" t="s">
        <v>171</v>
      </c>
      <c r="I75" s="139">
        <v>3301</v>
      </c>
      <c r="J75" s="140" t="s">
        <v>172</v>
      </c>
      <c r="K75" s="142" t="s">
        <v>173</v>
      </c>
      <c r="L75" s="139" t="s">
        <v>61</v>
      </c>
      <c r="M75" s="140" t="s">
        <v>385</v>
      </c>
      <c r="N75" s="139">
        <v>3301070</v>
      </c>
      <c r="O75" s="140" t="s">
        <v>386</v>
      </c>
      <c r="P75" s="139" t="s">
        <v>61</v>
      </c>
      <c r="Q75" s="142" t="s">
        <v>387</v>
      </c>
      <c r="R75" s="139">
        <v>330107000</v>
      </c>
      <c r="S75" s="142" t="s">
        <v>103</v>
      </c>
      <c r="T75" s="143" t="s">
        <v>157</v>
      </c>
      <c r="U75" s="145">
        <v>0.3</v>
      </c>
      <c r="V75" s="145">
        <v>0.05</v>
      </c>
      <c r="W75" s="145">
        <f t="shared" si="12"/>
        <v>0.35</v>
      </c>
      <c r="X75" s="145">
        <v>0.1</v>
      </c>
      <c r="Y75" s="146">
        <v>2020003630021</v>
      </c>
      <c r="Z75" s="260" t="s">
        <v>380</v>
      </c>
      <c r="AA75" s="140" t="s">
        <v>381</v>
      </c>
      <c r="AB75" s="294"/>
      <c r="AC75" s="294"/>
      <c r="AD75" s="294"/>
      <c r="AE75" s="130"/>
      <c r="AF75" s="130"/>
      <c r="AG75" s="130"/>
      <c r="AH75" s="130"/>
      <c r="AI75" s="130"/>
      <c r="AJ75" s="130"/>
      <c r="AK75" s="130"/>
      <c r="AL75" s="130"/>
      <c r="AM75" s="130"/>
      <c r="AN75" s="130"/>
      <c r="AO75" s="130"/>
      <c r="AP75" s="130"/>
      <c r="AQ75" s="130"/>
      <c r="AR75" s="130"/>
      <c r="AS75" s="130"/>
      <c r="AT75" s="136">
        <v>36000000</v>
      </c>
      <c r="AU75" s="136">
        <v>24600000</v>
      </c>
      <c r="AV75" s="136">
        <v>8200000</v>
      </c>
      <c r="AW75" s="130"/>
      <c r="AX75" s="130"/>
      <c r="AY75" s="130"/>
      <c r="AZ75" s="130"/>
      <c r="BA75" s="130"/>
      <c r="BB75" s="130"/>
      <c r="BC75" s="130"/>
      <c r="BD75" s="130"/>
      <c r="BE75" s="130"/>
      <c r="BF75" s="138">
        <f t="shared" si="9"/>
        <v>36000000</v>
      </c>
      <c r="BG75" s="138">
        <f t="shared" si="10"/>
        <v>24600000</v>
      </c>
      <c r="BH75" s="138">
        <f t="shared" si="11"/>
        <v>8200000</v>
      </c>
      <c r="BI75" s="141" t="s">
        <v>11</v>
      </c>
    </row>
    <row r="76" spans="1:61" s="288" customFormat="1" ht="126" customHeight="1">
      <c r="A76" s="139">
        <v>310</v>
      </c>
      <c r="B76" s="140" t="s">
        <v>377</v>
      </c>
      <c r="C76" s="139">
        <v>1</v>
      </c>
      <c r="D76" s="140" t="s">
        <v>148</v>
      </c>
      <c r="E76" s="139">
        <v>33</v>
      </c>
      <c r="F76" s="140" t="s">
        <v>170</v>
      </c>
      <c r="G76" s="139">
        <v>3301</v>
      </c>
      <c r="H76" s="140" t="s">
        <v>171</v>
      </c>
      <c r="I76" s="139">
        <v>3301</v>
      </c>
      <c r="J76" s="140" t="s">
        <v>172</v>
      </c>
      <c r="K76" s="140" t="s">
        <v>382</v>
      </c>
      <c r="L76" s="139">
        <v>3301099</v>
      </c>
      <c r="M76" s="140" t="s">
        <v>388</v>
      </c>
      <c r="N76" s="139">
        <v>3301099</v>
      </c>
      <c r="O76" s="140" t="s">
        <v>388</v>
      </c>
      <c r="P76" s="139">
        <v>330109900</v>
      </c>
      <c r="Q76" s="142" t="s">
        <v>389</v>
      </c>
      <c r="R76" s="139">
        <v>330109900</v>
      </c>
      <c r="S76" s="142" t="s">
        <v>389</v>
      </c>
      <c r="T76" s="145" t="s">
        <v>69</v>
      </c>
      <c r="U76" s="145">
        <v>1</v>
      </c>
      <c r="V76" s="145"/>
      <c r="W76" s="145">
        <f t="shared" si="12"/>
        <v>1</v>
      </c>
      <c r="X76" s="145">
        <v>0.4</v>
      </c>
      <c r="Y76" s="146">
        <v>2020003630021</v>
      </c>
      <c r="Z76" s="260" t="s">
        <v>380</v>
      </c>
      <c r="AA76" s="140" t="s">
        <v>381</v>
      </c>
      <c r="AB76" s="294"/>
      <c r="AC76" s="294"/>
      <c r="AD76" s="294"/>
      <c r="AE76" s="130"/>
      <c r="AF76" s="130"/>
      <c r="AG76" s="130"/>
      <c r="AH76" s="130"/>
      <c r="AI76" s="130"/>
      <c r="AJ76" s="130"/>
      <c r="AK76" s="130"/>
      <c r="AL76" s="130"/>
      <c r="AM76" s="130"/>
      <c r="AN76" s="130"/>
      <c r="AO76" s="130"/>
      <c r="AP76" s="130"/>
      <c r="AQ76" s="130"/>
      <c r="AR76" s="130"/>
      <c r="AS76" s="130"/>
      <c r="AT76" s="136">
        <v>30000000</v>
      </c>
      <c r="AU76" s="136">
        <v>13750000</v>
      </c>
      <c r="AV76" s="136">
        <v>2450000</v>
      </c>
      <c r="AW76" s="130"/>
      <c r="AX76" s="130"/>
      <c r="AY76" s="130"/>
      <c r="AZ76" s="130"/>
      <c r="BA76" s="130"/>
      <c r="BB76" s="130"/>
      <c r="BC76" s="130"/>
      <c r="BD76" s="130"/>
      <c r="BE76" s="130"/>
      <c r="BF76" s="138">
        <f t="shared" si="9"/>
        <v>30000000</v>
      </c>
      <c r="BG76" s="138">
        <f t="shared" si="10"/>
        <v>13750000</v>
      </c>
      <c r="BH76" s="138">
        <f t="shared" si="11"/>
        <v>2450000</v>
      </c>
      <c r="BI76" s="141" t="s">
        <v>11</v>
      </c>
    </row>
    <row r="77" spans="1:61" s="288" customFormat="1" ht="126" customHeight="1">
      <c r="A77" s="139">
        <v>310</v>
      </c>
      <c r="B77" s="140" t="s">
        <v>377</v>
      </c>
      <c r="C77" s="139">
        <v>1</v>
      </c>
      <c r="D77" s="140" t="s">
        <v>148</v>
      </c>
      <c r="E77" s="139">
        <v>33</v>
      </c>
      <c r="F77" s="140" t="s">
        <v>170</v>
      </c>
      <c r="G77" s="139">
        <v>3301</v>
      </c>
      <c r="H77" s="140" t="s">
        <v>171</v>
      </c>
      <c r="I77" s="139">
        <v>3301</v>
      </c>
      <c r="J77" s="140" t="s">
        <v>172</v>
      </c>
      <c r="K77" s="140" t="s">
        <v>378</v>
      </c>
      <c r="L77" s="139">
        <v>3301052</v>
      </c>
      <c r="M77" s="140" t="s">
        <v>390</v>
      </c>
      <c r="N77" s="139">
        <v>3301052</v>
      </c>
      <c r="O77" s="140" t="s">
        <v>390</v>
      </c>
      <c r="P77" s="295">
        <v>330105203</v>
      </c>
      <c r="Q77" s="142" t="s">
        <v>391</v>
      </c>
      <c r="R77" s="295">
        <v>330105203</v>
      </c>
      <c r="S77" s="142" t="s">
        <v>391</v>
      </c>
      <c r="T77" s="145" t="s">
        <v>69</v>
      </c>
      <c r="U77" s="145">
        <v>135</v>
      </c>
      <c r="V77" s="145"/>
      <c r="W77" s="145">
        <f t="shared" si="12"/>
        <v>135</v>
      </c>
      <c r="X77" s="145">
        <v>0</v>
      </c>
      <c r="Y77" s="146">
        <v>2020003630021</v>
      </c>
      <c r="Z77" s="260" t="s">
        <v>380</v>
      </c>
      <c r="AA77" s="140" t="s">
        <v>381</v>
      </c>
      <c r="AB77" s="294"/>
      <c r="AC77" s="294"/>
      <c r="AD77" s="294"/>
      <c r="AE77" s="130"/>
      <c r="AF77" s="130"/>
      <c r="AG77" s="130"/>
      <c r="AH77" s="130"/>
      <c r="AI77" s="130"/>
      <c r="AJ77" s="130"/>
      <c r="AK77" s="130"/>
      <c r="AL77" s="130"/>
      <c r="AM77" s="130"/>
      <c r="AN77" s="130"/>
      <c r="AO77" s="130"/>
      <c r="AP77" s="130"/>
      <c r="AQ77" s="130"/>
      <c r="AR77" s="130"/>
      <c r="AS77" s="130"/>
      <c r="AT77" s="136">
        <v>20000000</v>
      </c>
      <c r="AU77" s="136"/>
      <c r="AV77" s="136"/>
      <c r="AW77" s="130"/>
      <c r="AX77" s="130"/>
      <c r="AY77" s="130"/>
      <c r="AZ77" s="130"/>
      <c r="BA77" s="130"/>
      <c r="BB77" s="130"/>
      <c r="BC77" s="130"/>
      <c r="BD77" s="130"/>
      <c r="BE77" s="130"/>
      <c r="BF77" s="138">
        <f t="shared" si="9"/>
        <v>20000000</v>
      </c>
      <c r="BG77" s="138">
        <f t="shared" si="10"/>
        <v>0</v>
      </c>
      <c r="BH77" s="138">
        <f t="shared" si="11"/>
        <v>0</v>
      </c>
      <c r="BI77" s="141" t="s">
        <v>11</v>
      </c>
    </row>
    <row r="78" spans="1:61" s="288" customFormat="1" ht="126" customHeight="1">
      <c r="A78" s="139">
        <v>310</v>
      </c>
      <c r="B78" s="140" t="s">
        <v>377</v>
      </c>
      <c r="C78" s="139">
        <v>1</v>
      </c>
      <c r="D78" s="140" t="s">
        <v>148</v>
      </c>
      <c r="E78" s="139">
        <v>33</v>
      </c>
      <c r="F78" s="140" t="s">
        <v>170</v>
      </c>
      <c r="G78" s="139">
        <v>3301</v>
      </c>
      <c r="H78" s="140" t="s">
        <v>171</v>
      </c>
      <c r="I78" s="139">
        <v>3301</v>
      </c>
      <c r="J78" s="140" t="s">
        <v>172</v>
      </c>
      <c r="K78" s="140" t="s">
        <v>392</v>
      </c>
      <c r="L78" s="139">
        <v>3301085</v>
      </c>
      <c r="M78" s="140" t="s">
        <v>393</v>
      </c>
      <c r="N78" s="139">
        <v>3301085</v>
      </c>
      <c r="O78" s="140" t="s">
        <v>393</v>
      </c>
      <c r="P78" s="139" t="s">
        <v>394</v>
      </c>
      <c r="Q78" s="142" t="s">
        <v>395</v>
      </c>
      <c r="R78" s="139" t="s">
        <v>394</v>
      </c>
      <c r="S78" s="142" t="s">
        <v>395</v>
      </c>
      <c r="T78" s="143" t="s">
        <v>157</v>
      </c>
      <c r="U78" s="296">
        <v>115000</v>
      </c>
      <c r="V78" s="296"/>
      <c r="W78" s="297">
        <f t="shared" si="12"/>
        <v>115000</v>
      </c>
      <c r="X78" s="297">
        <v>20240</v>
      </c>
      <c r="Y78" s="146">
        <v>2020003630020</v>
      </c>
      <c r="Z78" s="260" t="s">
        <v>396</v>
      </c>
      <c r="AA78" s="260" t="s">
        <v>397</v>
      </c>
      <c r="AB78" s="136">
        <f>139705208+73048930.18</f>
        <v>212754138.18000001</v>
      </c>
      <c r="AC78" s="136">
        <v>137300000</v>
      </c>
      <c r="AD78" s="136">
        <v>54100000</v>
      </c>
      <c r="AE78" s="130"/>
      <c r="AF78" s="130"/>
      <c r="AG78" s="130"/>
      <c r="AH78" s="130"/>
      <c r="AI78" s="130"/>
      <c r="AJ78" s="130"/>
      <c r="AK78" s="130"/>
      <c r="AL78" s="130"/>
      <c r="AM78" s="130"/>
      <c r="AN78" s="130"/>
      <c r="AO78" s="130"/>
      <c r="AP78" s="130"/>
      <c r="AQ78" s="130"/>
      <c r="AR78" s="130"/>
      <c r="AS78" s="130"/>
      <c r="AT78" s="135">
        <v>20000000</v>
      </c>
      <c r="AU78" s="135">
        <v>10000000</v>
      </c>
      <c r="AV78" s="135"/>
      <c r="AW78" s="130"/>
      <c r="AX78" s="130"/>
      <c r="AY78" s="130"/>
      <c r="AZ78" s="130"/>
      <c r="BA78" s="130"/>
      <c r="BB78" s="130"/>
      <c r="BC78" s="130"/>
      <c r="BD78" s="130"/>
      <c r="BE78" s="130"/>
      <c r="BF78" s="138">
        <f t="shared" si="9"/>
        <v>232754138.18000001</v>
      </c>
      <c r="BG78" s="138">
        <f t="shared" si="10"/>
        <v>147300000</v>
      </c>
      <c r="BH78" s="138">
        <f t="shared" si="11"/>
        <v>54100000</v>
      </c>
      <c r="BI78" s="141" t="s">
        <v>11</v>
      </c>
    </row>
    <row r="79" spans="1:61" s="288" customFormat="1" ht="126" customHeight="1">
      <c r="A79" s="139">
        <v>310</v>
      </c>
      <c r="B79" s="140" t="s">
        <v>377</v>
      </c>
      <c r="C79" s="139">
        <v>1</v>
      </c>
      <c r="D79" s="140" t="s">
        <v>148</v>
      </c>
      <c r="E79" s="139">
        <v>33</v>
      </c>
      <c r="F79" s="140" t="s">
        <v>170</v>
      </c>
      <c r="G79" s="139">
        <v>3301</v>
      </c>
      <c r="H79" s="140" t="s">
        <v>171</v>
      </c>
      <c r="I79" s="139">
        <v>3301</v>
      </c>
      <c r="J79" s="140" t="s">
        <v>172</v>
      </c>
      <c r="K79" s="140" t="s">
        <v>392</v>
      </c>
      <c r="L79" s="139">
        <v>3301100</v>
      </c>
      <c r="M79" s="140" t="s">
        <v>398</v>
      </c>
      <c r="N79" s="139">
        <v>3301100</v>
      </c>
      <c r="O79" s="140" t="s">
        <v>398</v>
      </c>
      <c r="P79" s="295" t="s">
        <v>399</v>
      </c>
      <c r="Q79" s="142" t="s">
        <v>400</v>
      </c>
      <c r="R79" s="295" t="s">
        <v>399</v>
      </c>
      <c r="S79" s="142" t="s">
        <v>400</v>
      </c>
      <c r="T79" s="143" t="s">
        <v>157</v>
      </c>
      <c r="U79" s="145">
        <v>10</v>
      </c>
      <c r="V79" s="145"/>
      <c r="W79" s="145">
        <f t="shared" si="12"/>
        <v>10</v>
      </c>
      <c r="X79" s="145">
        <v>0</v>
      </c>
      <c r="Y79" s="146">
        <v>2020003630020</v>
      </c>
      <c r="Z79" s="141" t="s">
        <v>396</v>
      </c>
      <c r="AA79" s="260" t="s">
        <v>397</v>
      </c>
      <c r="AB79" s="136">
        <v>110000000</v>
      </c>
      <c r="AC79" s="136">
        <v>15000000</v>
      </c>
      <c r="AD79" s="136">
        <v>5300000</v>
      </c>
      <c r="AE79" s="130"/>
      <c r="AF79" s="130"/>
      <c r="AG79" s="130"/>
      <c r="AH79" s="130"/>
      <c r="AI79" s="130"/>
      <c r="AJ79" s="130"/>
      <c r="AK79" s="130"/>
      <c r="AL79" s="130"/>
      <c r="AM79" s="130"/>
      <c r="AN79" s="130"/>
      <c r="AO79" s="130"/>
      <c r="AP79" s="130"/>
      <c r="AQ79" s="130"/>
      <c r="AR79" s="130"/>
      <c r="AS79" s="130"/>
      <c r="AT79" s="130">
        <f>18000000+100000000</f>
        <v>118000000</v>
      </c>
      <c r="AU79" s="130">
        <v>18000000</v>
      </c>
      <c r="AV79" s="130">
        <v>10600000</v>
      </c>
      <c r="AW79" s="130"/>
      <c r="AX79" s="130"/>
      <c r="AY79" s="130"/>
      <c r="AZ79" s="130"/>
      <c r="BA79" s="130"/>
      <c r="BB79" s="130"/>
      <c r="BC79" s="130"/>
      <c r="BD79" s="130"/>
      <c r="BE79" s="130"/>
      <c r="BF79" s="138">
        <f t="shared" si="9"/>
        <v>228000000</v>
      </c>
      <c r="BG79" s="138">
        <f t="shared" si="10"/>
        <v>33000000</v>
      </c>
      <c r="BH79" s="138">
        <f t="shared" si="11"/>
        <v>15900000</v>
      </c>
      <c r="BI79" s="141" t="s">
        <v>11</v>
      </c>
    </row>
    <row r="80" spans="1:61" s="288" customFormat="1" ht="126" customHeight="1">
      <c r="A80" s="139">
        <v>310</v>
      </c>
      <c r="B80" s="140" t="s">
        <v>377</v>
      </c>
      <c r="C80" s="139">
        <v>1</v>
      </c>
      <c r="D80" s="140" t="s">
        <v>148</v>
      </c>
      <c r="E80" s="139">
        <v>33</v>
      </c>
      <c r="F80" s="140" t="s">
        <v>170</v>
      </c>
      <c r="G80" s="139">
        <v>3301</v>
      </c>
      <c r="H80" s="140" t="s">
        <v>171</v>
      </c>
      <c r="I80" s="139">
        <v>3301</v>
      </c>
      <c r="J80" s="140" t="s">
        <v>172</v>
      </c>
      <c r="K80" s="140" t="s">
        <v>382</v>
      </c>
      <c r="L80" s="139">
        <v>3301095</v>
      </c>
      <c r="M80" s="140" t="s">
        <v>401</v>
      </c>
      <c r="N80" s="139">
        <v>3301095</v>
      </c>
      <c r="O80" s="140" t="s">
        <v>401</v>
      </c>
      <c r="P80" s="139" t="s">
        <v>402</v>
      </c>
      <c r="Q80" s="142" t="s">
        <v>403</v>
      </c>
      <c r="R80" s="139" t="s">
        <v>402</v>
      </c>
      <c r="S80" s="141" t="s">
        <v>403</v>
      </c>
      <c r="T80" s="143" t="s">
        <v>157</v>
      </c>
      <c r="U80" s="145">
        <v>150</v>
      </c>
      <c r="V80" s="145">
        <v>130</v>
      </c>
      <c r="W80" s="145">
        <f t="shared" si="12"/>
        <v>280</v>
      </c>
      <c r="X80" s="145">
        <v>0</v>
      </c>
      <c r="Y80" s="146">
        <v>2020003630072</v>
      </c>
      <c r="Z80" s="260" t="s">
        <v>404</v>
      </c>
      <c r="AA80" s="141" t="s">
        <v>405</v>
      </c>
      <c r="AB80" s="130">
        <f>249705208+99878270.55</f>
        <v>349583478.55000001</v>
      </c>
      <c r="AC80" s="130"/>
      <c r="AD80" s="130"/>
      <c r="AE80" s="130"/>
      <c r="AF80" s="130"/>
      <c r="AG80" s="130"/>
      <c r="AH80" s="130"/>
      <c r="AI80" s="130"/>
      <c r="AJ80" s="130"/>
      <c r="AK80" s="130"/>
      <c r="AL80" s="130"/>
      <c r="AM80" s="130"/>
      <c r="AN80" s="130"/>
      <c r="AO80" s="130"/>
      <c r="AP80" s="130"/>
      <c r="AQ80" s="130"/>
      <c r="AR80" s="130"/>
      <c r="AS80" s="130"/>
      <c r="AT80" s="136">
        <v>20000000</v>
      </c>
      <c r="AU80" s="136">
        <v>6300000</v>
      </c>
      <c r="AV80" s="136">
        <v>2100000</v>
      </c>
      <c r="AW80" s="130"/>
      <c r="AX80" s="130"/>
      <c r="AY80" s="130"/>
      <c r="AZ80" s="130"/>
      <c r="BA80" s="130"/>
      <c r="BB80" s="130"/>
      <c r="BC80" s="130"/>
      <c r="BD80" s="130"/>
      <c r="BE80" s="130"/>
      <c r="BF80" s="138">
        <f t="shared" si="9"/>
        <v>369583478.55000001</v>
      </c>
      <c r="BG80" s="138">
        <f t="shared" si="10"/>
        <v>6300000</v>
      </c>
      <c r="BH80" s="138">
        <f t="shared" si="11"/>
        <v>2100000</v>
      </c>
      <c r="BI80" s="141" t="s">
        <v>11</v>
      </c>
    </row>
    <row r="81" spans="1:61" s="288" customFormat="1" ht="126" customHeight="1">
      <c r="A81" s="139">
        <v>310</v>
      </c>
      <c r="B81" s="140" t="s">
        <v>377</v>
      </c>
      <c r="C81" s="139">
        <v>1</v>
      </c>
      <c r="D81" s="140" t="s">
        <v>148</v>
      </c>
      <c r="E81" s="139">
        <v>33</v>
      </c>
      <c r="F81" s="140" t="s">
        <v>170</v>
      </c>
      <c r="G81" s="139">
        <v>3302</v>
      </c>
      <c r="H81" s="140" t="s">
        <v>406</v>
      </c>
      <c r="I81" s="139">
        <v>3302</v>
      </c>
      <c r="J81" s="140" t="s">
        <v>407</v>
      </c>
      <c r="K81" s="140" t="s">
        <v>408</v>
      </c>
      <c r="L81" s="281">
        <v>3302042</v>
      </c>
      <c r="M81" s="140" t="s">
        <v>409</v>
      </c>
      <c r="N81" s="281">
        <v>3302042</v>
      </c>
      <c r="O81" s="140" t="s">
        <v>409</v>
      </c>
      <c r="P81" s="139" t="s">
        <v>410</v>
      </c>
      <c r="Q81" s="142" t="s">
        <v>411</v>
      </c>
      <c r="R81" s="139" t="s">
        <v>410</v>
      </c>
      <c r="S81" s="142" t="s">
        <v>411</v>
      </c>
      <c r="T81" s="143" t="s">
        <v>157</v>
      </c>
      <c r="U81" s="145">
        <v>12</v>
      </c>
      <c r="V81" s="145"/>
      <c r="W81" s="145">
        <f t="shared" si="12"/>
        <v>12</v>
      </c>
      <c r="X81" s="145">
        <v>4</v>
      </c>
      <c r="Y81" s="146">
        <v>2020003630073</v>
      </c>
      <c r="Z81" s="260" t="s">
        <v>412</v>
      </c>
      <c r="AA81" s="140" t="s">
        <v>413</v>
      </c>
      <c r="AB81" s="130"/>
      <c r="AC81" s="130"/>
      <c r="AD81" s="130"/>
      <c r="AE81" s="130"/>
      <c r="AF81" s="130"/>
      <c r="AG81" s="130"/>
      <c r="AH81" s="130"/>
      <c r="AI81" s="130"/>
      <c r="AJ81" s="130"/>
      <c r="AK81" s="130"/>
      <c r="AL81" s="130"/>
      <c r="AM81" s="130"/>
      <c r="AN81" s="130"/>
      <c r="AO81" s="130"/>
      <c r="AP81" s="130"/>
      <c r="AQ81" s="130"/>
      <c r="AR81" s="130"/>
      <c r="AS81" s="130"/>
      <c r="AT81" s="135">
        <v>66500000</v>
      </c>
      <c r="AU81" s="135">
        <v>24985000</v>
      </c>
      <c r="AV81" s="135">
        <v>18185000</v>
      </c>
      <c r="AW81" s="273"/>
      <c r="AX81" s="273"/>
      <c r="AY81" s="273"/>
      <c r="AZ81" s="273"/>
      <c r="BA81" s="273"/>
      <c r="BB81" s="273"/>
      <c r="BC81" s="138"/>
      <c r="BD81" s="138"/>
      <c r="BE81" s="138"/>
      <c r="BF81" s="138">
        <f t="shared" si="9"/>
        <v>66500000</v>
      </c>
      <c r="BG81" s="138">
        <f t="shared" si="10"/>
        <v>24985000</v>
      </c>
      <c r="BH81" s="138">
        <f t="shared" si="11"/>
        <v>18185000</v>
      </c>
      <c r="BI81" s="141" t="s">
        <v>11</v>
      </c>
    </row>
    <row r="82" spans="1:61" s="288" customFormat="1" ht="126" customHeight="1">
      <c r="A82" s="139">
        <v>310</v>
      </c>
      <c r="B82" s="140" t="s">
        <v>377</v>
      </c>
      <c r="C82" s="139">
        <v>1</v>
      </c>
      <c r="D82" s="140" t="s">
        <v>148</v>
      </c>
      <c r="E82" s="139">
        <v>33</v>
      </c>
      <c r="F82" s="140" t="s">
        <v>170</v>
      </c>
      <c r="G82" s="139">
        <v>3302</v>
      </c>
      <c r="H82" s="140" t="s">
        <v>406</v>
      </c>
      <c r="I82" s="139">
        <v>3302</v>
      </c>
      <c r="J82" s="140" t="s">
        <v>407</v>
      </c>
      <c r="K82" s="140" t="s">
        <v>408</v>
      </c>
      <c r="L82" s="281">
        <v>3302070</v>
      </c>
      <c r="M82" s="140" t="s">
        <v>414</v>
      </c>
      <c r="N82" s="281">
        <v>3302070</v>
      </c>
      <c r="O82" s="140" t="s">
        <v>414</v>
      </c>
      <c r="P82" s="295" t="s">
        <v>415</v>
      </c>
      <c r="Q82" s="142" t="s">
        <v>400</v>
      </c>
      <c r="R82" s="295" t="s">
        <v>415</v>
      </c>
      <c r="S82" s="142" t="s">
        <v>400</v>
      </c>
      <c r="T82" s="143" t="s">
        <v>69</v>
      </c>
      <c r="U82" s="145">
        <v>4</v>
      </c>
      <c r="V82" s="145"/>
      <c r="W82" s="145">
        <f t="shared" si="12"/>
        <v>4</v>
      </c>
      <c r="X82" s="145">
        <v>0</v>
      </c>
      <c r="Y82" s="146">
        <v>2020003630073</v>
      </c>
      <c r="Z82" s="260" t="s">
        <v>412</v>
      </c>
      <c r="AA82" s="140" t="s">
        <v>413</v>
      </c>
      <c r="AB82" s="273"/>
      <c r="AC82" s="273"/>
      <c r="AD82" s="273"/>
      <c r="AE82" s="130"/>
      <c r="AF82" s="130"/>
      <c r="AG82" s="130"/>
      <c r="AH82" s="130"/>
      <c r="AI82" s="130"/>
      <c r="AJ82" s="130"/>
      <c r="AK82" s="130"/>
      <c r="AL82" s="130"/>
      <c r="AM82" s="130"/>
      <c r="AN82" s="130"/>
      <c r="AO82" s="130"/>
      <c r="AP82" s="130"/>
      <c r="AQ82" s="130"/>
      <c r="AR82" s="130"/>
      <c r="AS82" s="130"/>
      <c r="AT82" s="135">
        <v>66500000</v>
      </c>
      <c r="AU82" s="135">
        <v>34925000</v>
      </c>
      <c r="AV82" s="135">
        <v>8585000</v>
      </c>
      <c r="AW82" s="138">
        <f>145398717+23893855.3-41573728</f>
        <v>127718844.30000001</v>
      </c>
      <c r="AX82" s="138"/>
      <c r="AY82" s="138"/>
      <c r="AZ82" s="138"/>
      <c r="BA82" s="138"/>
      <c r="BB82" s="138"/>
      <c r="BC82" s="138"/>
      <c r="BD82" s="138"/>
      <c r="BE82" s="138"/>
      <c r="BF82" s="138">
        <f t="shared" si="9"/>
        <v>194218844.30000001</v>
      </c>
      <c r="BG82" s="138">
        <f t="shared" si="10"/>
        <v>34925000</v>
      </c>
      <c r="BH82" s="138">
        <f t="shared" si="11"/>
        <v>8585000</v>
      </c>
      <c r="BI82" s="141" t="s">
        <v>11</v>
      </c>
    </row>
    <row r="83" spans="1:61" s="151" customFormat="1" ht="126" customHeight="1">
      <c r="A83" s="139">
        <v>311</v>
      </c>
      <c r="B83" s="140" t="s">
        <v>416</v>
      </c>
      <c r="C83" s="292">
        <v>2</v>
      </c>
      <c r="D83" s="140" t="s">
        <v>199</v>
      </c>
      <c r="E83" s="139">
        <v>35</v>
      </c>
      <c r="F83" s="140" t="s">
        <v>417</v>
      </c>
      <c r="G83" s="139">
        <v>3502</v>
      </c>
      <c r="H83" s="140" t="s">
        <v>418</v>
      </c>
      <c r="I83" s="139">
        <v>3502</v>
      </c>
      <c r="J83" s="140" t="s">
        <v>419</v>
      </c>
      <c r="K83" s="140" t="s">
        <v>420</v>
      </c>
      <c r="L83" s="139">
        <v>3502006</v>
      </c>
      <c r="M83" s="140" t="s">
        <v>421</v>
      </c>
      <c r="N83" s="292">
        <v>3502006</v>
      </c>
      <c r="O83" s="140" t="s">
        <v>421</v>
      </c>
      <c r="P83" s="139" t="s">
        <v>422</v>
      </c>
      <c r="Q83" s="142" t="s">
        <v>423</v>
      </c>
      <c r="R83" s="139" t="s">
        <v>422</v>
      </c>
      <c r="S83" s="142" t="s">
        <v>423</v>
      </c>
      <c r="T83" s="289" t="s">
        <v>157</v>
      </c>
      <c r="U83" s="145">
        <v>1</v>
      </c>
      <c r="V83" s="145"/>
      <c r="W83" s="145">
        <f>U83+V83</f>
        <v>1</v>
      </c>
      <c r="X83" s="145">
        <v>0.25</v>
      </c>
      <c r="Y83" s="146">
        <v>2020003630074</v>
      </c>
      <c r="Z83" s="260" t="s">
        <v>424</v>
      </c>
      <c r="AA83" s="140" t="s">
        <v>425</v>
      </c>
      <c r="AB83" s="130"/>
      <c r="AC83" s="130"/>
      <c r="AD83" s="130"/>
      <c r="AE83" s="130"/>
      <c r="AF83" s="130"/>
      <c r="AG83" s="130"/>
      <c r="AH83" s="130"/>
      <c r="AI83" s="130"/>
      <c r="AJ83" s="130"/>
      <c r="AK83" s="130"/>
      <c r="AL83" s="130"/>
      <c r="AM83" s="130"/>
      <c r="AN83" s="130"/>
      <c r="AO83" s="130"/>
      <c r="AP83" s="130"/>
      <c r="AQ83" s="130"/>
      <c r="AR83" s="130"/>
      <c r="AS83" s="130"/>
      <c r="AT83" s="138">
        <f>30000000+24000000</f>
        <v>54000000</v>
      </c>
      <c r="AU83" s="138">
        <v>29230000</v>
      </c>
      <c r="AV83" s="138">
        <v>18000000</v>
      </c>
      <c r="AW83" s="130"/>
      <c r="AX83" s="130"/>
      <c r="AY83" s="130"/>
      <c r="AZ83" s="130"/>
      <c r="BA83" s="130"/>
      <c r="BB83" s="130"/>
      <c r="BC83" s="130"/>
      <c r="BD83" s="130"/>
      <c r="BE83" s="130"/>
      <c r="BF83" s="138">
        <f t="shared" si="9"/>
        <v>54000000</v>
      </c>
      <c r="BG83" s="138">
        <f t="shared" si="10"/>
        <v>29230000</v>
      </c>
      <c r="BH83" s="138">
        <f t="shared" si="11"/>
        <v>18000000</v>
      </c>
      <c r="BI83" s="141" t="s">
        <v>12</v>
      </c>
    </row>
    <row r="84" spans="1:61" s="151" customFormat="1" ht="126" customHeight="1">
      <c r="A84" s="139">
        <v>311</v>
      </c>
      <c r="B84" s="140" t="s">
        <v>416</v>
      </c>
      <c r="C84" s="292">
        <v>2</v>
      </c>
      <c r="D84" s="140" t="s">
        <v>199</v>
      </c>
      <c r="E84" s="139">
        <v>35</v>
      </c>
      <c r="F84" s="140" t="s">
        <v>417</v>
      </c>
      <c r="G84" s="139">
        <v>3502</v>
      </c>
      <c r="H84" s="140" t="s">
        <v>418</v>
      </c>
      <c r="I84" s="139">
        <v>3502</v>
      </c>
      <c r="J84" s="140" t="s">
        <v>419</v>
      </c>
      <c r="K84" s="140" t="s">
        <v>420</v>
      </c>
      <c r="L84" s="139">
        <v>3502007</v>
      </c>
      <c r="M84" s="140" t="s">
        <v>426</v>
      </c>
      <c r="N84" s="292">
        <v>3502007</v>
      </c>
      <c r="O84" s="140" t="s">
        <v>426</v>
      </c>
      <c r="P84" s="139" t="s">
        <v>427</v>
      </c>
      <c r="Q84" s="142" t="s">
        <v>428</v>
      </c>
      <c r="R84" s="139">
        <v>350200700</v>
      </c>
      <c r="S84" s="142" t="s">
        <v>428</v>
      </c>
      <c r="T84" s="289" t="s">
        <v>69</v>
      </c>
      <c r="U84" s="145">
        <v>7</v>
      </c>
      <c r="V84" s="145"/>
      <c r="W84" s="145">
        <f t="shared" ref="W84:W92" si="13">U84+V84</f>
        <v>7</v>
      </c>
      <c r="X84" s="145">
        <v>4</v>
      </c>
      <c r="Y84" s="146">
        <v>2020003630074</v>
      </c>
      <c r="Z84" s="260" t="s">
        <v>424</v>
      </c>
      <c r="AA84" s="140" t="s">
        <v>425</v>
      </c>
      <c r="AB84" s="130"/>
      <c r="AC84" s="130"/>
      <c r="AD84" s="130"/>
      <c r="AE84" s="130"/>
      <c r="AF84" s="130"/>
      <c r="AG84" s="130"/>
      <c r="AH84" s="130"/>
      <c r="AI84" s="130"/>
      <c r="AJ84" s="130"/>
      <c r="AK84" s="130"/>
      <c r="AL84" s="130"/>
      <c r="AM84" s="130"/>
      <c r="AN84" s="130"/>
      <c r="AO84" s="130"/>
      <c r="AP84" s="130"/>
      <c r="AQ84" s="130"/>
      <c r="AR84" s="130"/>
      <c r="AS84" s="130"/>
      <c r="AT84" s="138">
        <v>50000000</v>
      </c>
      <c r="AU84" s="138">
        <v>18318928</v>
      </c>
      <c r="AV84" s="138">
        <v>9600000</v>
      </c>
      <c r="AW84" s="130"/>
      <c r="AX84" s="130"/>
      <c r="AY84" s="130"/>
      <c r="AZ84" s="130"/>
      <c r="BA84" s="130"/>
      <c r="BB84" s="130"/>
      <c r="BC84" s="130"/>
      <c r="BD84" s="130"/>
      <c r="BE84" s="130"/>
      <c r="BF84" s="138">
        <f t="shared" si="9"/>
        <v>50000000</v>
      </c>
      <c r="BG84" s="138">
        <f t="shared" si="10"/>
        <v>18318928</v>
      </c>
      <c r="BH84" s="138">
        <f t="shared" si="11"/>
        <v>9600000</v>
      </c>
      <c r="BI84" s="141" t="s">
        <v>12</v>
      </c>
    </row>
    <row r="85" spans="1:61" s="151" customFormat="1" ht="126" customHeight="1">
      <c r="A85" s="139">
        <v>311</v>
      </c>
      <c r="B85" s="140" t="s">
        <v>416</v>
      </c>
      <c r="C85" s="292">
        <v>2</v>
      </c>
      <c r="D85" s="140" t="s">
        <v>199</v>
      </c>
      <c r="E85" s="139">
        <v>35</v>
      </c>
      <c r="F85" s="140" t="s">
        <v>417</v>
      </c>
      <c r="G85" s="139">
        <v>3502</v>
      </c>
      <c r="H85" s="140" t="s">
        <v>418</v>
      </c>
      <c r="I85" s="139">
        <v>3502</v>
      </c>
      <c r="J85" s="140" t="s">
        <v>419</v>
      </c>
      <c r="K85" s="140" t="s">
        <v>420</v>
      </c>
      <c r="L85" s="137">
        <v>3502022</v>
      </c>
      <c r="M85" s="140" t="s">
        <v>429</v>
      </c>
      <c r="N85" s="137">
        <v>3502022</v>
      </c>
      <c r="O85" s="140" t="s">
        <v>429</v>
      </c>
      <c r="P85" s="132" t="s">
        <v>430</v>
      </c>
      <c r="Q85" s="142" t="s">
        <v>431</v>
      </c>
      <c r="R85" s="132" t="s">
        <v>430</v>
      </c>
      <c r="S85" s="142" t="s">
        <v>431</v>
      </c>
      <c r="T85" s="145" t="s">
        <v>69</v>
      </c>
      <c r="U85" s="145">
        <v>14</v>
      </c>
      <c r="V85" s="145"/>
      <c r="W85" s="145">
        <f t="shared" si="13"/>
        <v>14</v>
      </c>
      <c r="X85" s="145">
        <v>3</v>
      </c>
      <c r="Y85" s="146">
        <v>2020003630075</v>
      </c>
      <c r="Z85" s="260" t="s">
        <v>432</v>
      </c>
      <c r="AA85" s="140" t="s">
        <v>433</v>
      </c>
      <c r="AB85" s="130"/>
      <c r="AC85" s="130"/>
      <c r="AD85" s="130"/>
      <c r="AE85" s="130"/>
      <c r="AF85" s="130"/>
      <c r="AG85" s="130"/>
      <c r="AH85" s="130"/>
      <c r="AI85" s="130"/>
      <c r="AJ85" s="130"/>
      <c r="AK85" s="130"/>
      <c r="AL85" s="130"/>
      <c r="AM85" s="130"/>
      <c r="AN85" s="130"/>
      <c r="AO85" s="130"/>
      <c r="AP85" s="130"/>
      <c r="AQ85" s="130"/>
      <c r="AR85" s="130"/>
      <c r="AS85" s="130"/>
      <c r="AT85" s="138">
        <v>137351072</v>
      </c>
      <c r="AU85" s="138">
        <v>37351072</v>
      </c>
      <c r="AV85" s="138">
        <v>23910000</v>
      </c>
      <c r="AW85" s="130"/>
      <c r="AX85" s="130"/>
      <c r="AY85" s="130"/>
      <c r="AZ85" s="130"/>
      <c r="BA85" s="130"/>
      <c r="BB85" s="130"/>
      <c r="BC85" s="130"/>
      <c r="BD85" s="130"/>
      <c r="BE85" s="130"/>
      <c r="BF85" s="138">
        <f t="shared" si="9"/>
        <v>137351072</v>
      </c>
      <c r="BG85" s="138">
        <f t="shared" si="10"/>
        <v>37351072</v>
      </c>
      <c r="BH85" s="138">
        <f t="shared" si="11"/>
        <v>23910000</v>
      </c>
      <c r="BI85" s="141" t="s">
        <v>12</v>
      </c>
    </row>
    <row r="86" spans="1:61" s="151" customFormat="1" ht="126" customHeight="1">
      <c r="A86" s="139">
        <v>311</v>
      </c>
      <c r="B86" s="140" t="s">
        <v>416</v>
      </c>
      <c r="C86" s="292">
        <v>2</v>
      </c>
      <c r="D86" s="140" t="s">
        <v>199</v>
      </c>
      <c r="E86" s="139">
        <v>35</v>
      </c>
      <c r="F86" s="140" t="s">
        <v>417</v>
      </c>
      <c r="G86" s="139">
        <v>3502</v>
      </c>
      <c r="H86" s="140" t="s">
        <v>418</v>
      </c>
      <c r="I86" s="139">
        <v>3502</v>
      </c>
      <c r="J86" s="140" t="s">
        <v>419</v>
      </c>
      <c r="K86" s="140" t="s">
        <v>434</v>
      </c>
      <c r="L86" s="137">
        <v>3502039</v>
      </c>
      <c r="M86" s="140" t="s">
        <v>435</v>
      </c>
      <c r="N86" s="137">
        <v>3502039</v>
      </c>
      <c r="O86" s="140" t="s">
        <v>435</v>
      </c>
      <c r="P86" s="139" t="s">
        <v>436</v>
      </c>
      <c r="Q86" s="142" t="s">
        <v>121</v>
      </c>
      <c r="R86" s="139" t="s">
        <v>436</v>
      </c>
      <c r="S86" s="142" t="s">
        <v>121</v>
      </c>
      <c r="T86" s="143" t="s">
        <v>69</v>
      </c>
      <c r="U86" s="145">
        <v>12</v>
      </c>
      <c r="V86" s="145"/>
      <c r="W86" s="145">
        <f t="shared" si="13"/>
        <v>12</v>
      </c>
      <c r="X86" s="145">
        <v>12</v>
      </c>
      <c r="Y86" s="146">
        <v>2020003630076</v>
      </c>
      <c r="Z86" s="260" t="s">
        <v>437</v>
      </c>
      <c r="AA86" s="140" t="s">
        <v>438</v>
      </c>
      <c r="AB86" s="130"/>
      <c r="AC86" s="130"/>
      <c r="AD86" s="130"/>
      <c r="AE86" s="130"/>
      <c r="AF86" s="130"/>
      <c r="AG86" s="130"/>
      <c r="AH86" s="130"/>
      <c r="AI86" s="130"/>
      <c r="AJ86" s="130"/>
      <c r="AK86" s="130"/>
      <c r="AL86" s="130"/>
      <c r="AM86" s="130"/>
      <c r="AN86" s="130"/>
      <c r="AO86" s="130"/>
      <c r="AP86" s="130"/>
      <c r="AQ86" s="130"/>
      <c r="AR86" s="130"/>
      <c r="AS86" s="130"/>
      <c r="AT86" s="138">
        <f>138213547+56000000</f>
        <v>194213547</v>
      </c>
      <c r="AU86" s="138">
        <v>92300000</v>
      </c>
      <c r="AV86" s="138">
        <v>45450000</v>
      </c>
      <c r="AW86" s="130"/>
      <c r="AX86" s="130"/>
      <c r="AY86" s="130"/>
      <c r="AZ86" s="130"/>
      <c r="BA86" s="130"/>
      <c r="BB86" s="130"/>
      <c r="BC86" s="130"/>
      <c r="BD86" s="130"/>
      <c r="BE86" s="130"/>
      <c r="BF86" s="138">
        <f t="shared" si="9"/>
        <v>194213547</v>
      </c>
      <c r="BG86" s="138">
        <f t="shared" si="10"/>
        <v>92300000</v>
      </c>
      <c r="BH86" s="138">
        <f t="shared" si="11"/>
        <v>45450000</v>
      </c>
      <c r="BI86" s="141" t="s">
        <v>12</v>
      </c>
    </row>
    <row r="87" spans="1:61" s="151" customFormat="1" ht="126" customHeight="1">
      <c r="A87" s="139">
        <v>311</v>
      </c>
      <c r="B87" s="140" t="s">
        <v>416</v>
      </c>
      <c r="C87" s="292">
        <v>2</v>
      </c>
      <c r="D87" s="140" t="s">
        <v>199</v>
      </c>
      <c r="E87" s="139">
        <v>35</v>
      </c>
      <c r="F87" s="140" t="s">
        <v>417</v>
      </c>
      <c r="G87" s="139">
        <v>3502</v>
      </c>
      <c r="H87" s="140" t="s">
        <v>418</v>
      </c>
      <c r="I87" s="139">
        <v>3502</v>
      </c>
      <c r="J87" s="140" t="s">
        <v>419</v>
      </c>
      <c r="K87" s="140" t="s">
        <v>434</v>
      </c>
      <c r="L87" s="137">
        <v>3502039</v>
      </c>
      <c r="M87" s="140" t="s">
        <v>435</v>
      </c>
      <c r="N87" s="137">
        <v>3502039</v>
      </c>
      <c r="O87" s="140" t="s">
        <v>435</v>
      </c>
      <c r="P87" s="132">
        <v>350203910</v>
      </c>
      <c r="Q87" s="142" t="s">
        <v>439</v>
      </c>
      <c r="R87" s="132">
        <v>350203910</v>
      </c>
      <c r="S87" s="142" t="s">
        <v>439</v>
      </c>
      <c r="T87" s="289" t="s">
        <v>157</v>
      </c>
      <c r="U87" s="145">
        <v>2</v>
      </c>
      <c r="V87" s="145"/>
      <c r="W87" s="145">
        <f t="shared" si="13"/>
        <v>2</v>
      </c>
      <c r="X87" s="145">
        <v>0</v>
      </c>
      <c r="Y87" s="146">
        <v>2020003630076</v>
      </c>
      <c r="Z87" s="260" t="s">
        <v>437</v>
      </c>
      <c r="AA87" s="140" t="s">
        <v>438</v>
      </c>
      <c r="AB87" s="130"/>
      <c r="AC87" s="130"/>
      <c r="AD87" s="130"/>
      <c r="AE87" s="130"/>
      <c r="AF87" s="130"/>
      <c r="AG87" s="130"/>
      <c r="AH87" s="130"/>
      <c r="AI87" s="130"/>
      <c r="AJ87" s="130"/>
      <c r="AK87" s="130"/>
      <c r="AL87" s="130"/>
      <c r="AM87" s="130"/>
      <c r="AN87" s="130"/>
      <c r="AO87" s="130"/>
      <c r="AP87" s="130"/>
      <c r="AQ87" s="130"/>
      <c r="AR87" s="130"/>
      <c r="AS87" s="130"/>
      <c r="AT87" s="138">
        <f>50709524+119531727+180468273</f>
        <v>350709524</v>
      </c>
      <c r="AU87" s="138"/>
      <c r="AV87" s="138"/>
      <c r="AW87" s="130"/>
      <c r="AX87" s="130"/>
      <c r="AY87" s="130"/>
      <c r="AZ87" s="130"/>
      <c r="BA87" s="130"/>
      <c r="BB87" s="130"/>
      <c r="BC87" s="130"/>
      <c r="BD87" s="130"/>
      <c r="BE87" s="130"/>
      <c r="BF87" s="138">
        <f t="shared" si="9"/>
        <v>350709524</v>
      </c>
      <c r="BG87" s="138">
        <f t="shared" si="10"/>
        <v>0</v>
      </c>
      <c r="BH87" s="138">
        <f t="shared" si="11"/>
        <v>0</v>
      </c>
      <c r="BI87" s="141" t="s">
        <v>12</v>
      </c>
    </row>
    <row r="88" spans="1:61" s="151" customFormat="1" ht="126" customHeight="1">
      <c r="A88" s="139">
        <v>311</v>
      </c>
      <c r="B88" s="140" t="s">
        <v>416</v>
      </c>
      <c r="C88" s="292">
        <v>2</v>
      </c>
      <c r="D88" s="140" t="s">
        <v>199</v>
      </c>
      <c r="E88" s="139">
        <v>35</v>
      </c>
      <c r="F88" s="140" t="s">
        <v>417</v>
      </c>
      <c r="G88" s="139">
        <v>3502</v>
      </c>
      <c r="H88" s="140" t="s">
        <v>418</v>
      </c>
      <c r="I88" s="139">
        <v>3502</v>
      </c>
      <c r="J88" s="140" t="s">
        <v>419</v>
      </c>
      <c r="K88" s="140" t="s">
        <v>434</v>
      </c>
      <c r="L88" s="137">
        <v>3502046</v>
      </c>
      <c r="M88" s="140" t="s">
        <v>440</v>
      </c>
      <c r="N88" s="137">
        <v>3502046</v>
      </c>
      <c r="O88" s="140" t="s">
        <v>440</v>
      </c>
      <c r="P88" s="139" t="s">
        <v>441</v>
      </c>
      <c r="Q88" s="142" t="s">
        <v>442</v>
      </c>
      <c r="R88" s="139" t="s">
        <v>441</v>
      </c>
      <c r="S88" s="142" t="s">
        <v>442</v>
      </c>
      <c r="T88" s="289" t="s">
        <v>157</v>
      </c>
      <c r="U88" s="145">
        <v>1</v>
      </c>
      <c r="V88" s="145"/>
      <c r="W88" s="145">
        <f t="shared" si="13"/>
        <v>1</v>
      </c>
      <c r="X88" s="145">
        <v>0.4</v>
      </c>
      <c r="Y88" s="146">
        <v>2020003630077</v>
      </c>
      <c r="Z88" s="260" t="s">
        <v>443</v>
      </c>
      <c r="AA88" s="140" t="s">
        <v>444</v>
      </c>
      <c r="AB88" s="130"/>
      <c r="AC88" s="130"/>
      <c r="AD88" s="130"/>
      <c r="AE88" s="130"/>
      <c r="AF88" s="130"/>
      <c r="AG88" s="130"/>
      <c r="AH88" s="130"/>
      <c r="AI88" s="130"/>
      <c r="AJ88" s="130"/>
      <c r="AK88" s="130"/>
      <c r="AL88" s="130"/>
      <c r="AM88" s="130"/>
      <c r="AN88" s="130"/>
      <c r="AO88" s="130"/>
      <c r="AP88" s="130"/>
      <c r="AQ88" s="130"/>
      <c r="AR88" s="130"/>
      <c r="AS88" s="130"/>
      <c r="AT88" s="138">
        <f>256000000+40000000</f>
        <v>296000000</v>
      </c>
      <c r="AU88" s="138"/>
      <c r="AV88" s="138"/>
      <c r="AW88" s="138">
        <f>864000000+246031030.9</f>
        <v>1110031030.9000001</v>
      </c>
      <c r="AX88" s="138">
        <v>565142000</v>
      </c>
      <c r="AY88" s="138">
        <v>243651999.00999999</v>
      </c>
      <c r="AZ88" s="138"/>
      <c r="BA88" s="138"/>
      <c r="BB88" s="138"/>
      <c r="BC88" s="148"/>
      <c r="BD88" s="148"/>
      <c r="BE88" s="148"/>
      <c r="BF88" s="138">
        <f t="shared" si="9"/>
        <v>1406031030.9000001</v>
      </c>
      <c r="BG88" s="138">
        <f t="shared" si="10"/>
        <v>565142000</v>
      </c>
      <c r="BH88" s="138">
        <f t="shared" si="11"/>
        <v>243651999.00999999</v>
      </c>
      <c r="BI88" s="141" t="s">
        <v>12</v>
      </c>
    </row>
    <row r="89" spans="1:61" s="151" customFormat="1" ht="126" customHeight="1">
      <c r="A89" s="139">
        <v>311</v>
      </c>
      <c r="B89" s="140" t="s">
        <v>416</v>
      </c>
      <c r="C89" s="292">
        <v>2</v>
      </c>
      <c r="D89" s="140" t="s">
        <v>199</v>
      </c>
      <c r="E89" s="139">
        <v>36</v>
      </c>
      <c r="F89" s="140" t="s">
        <v>445</v>
      </c>
      <c r="G89" s="139">
        <v>3602</v>
      </c>
      <c r="H89" s="140" t="s">
        <v>446</v>
      </c>
      <c r="I89" s="139">
        <v>3602</v>
      </c>
      <c r="J89" s="140" t="s">
        <v>447</v>
      </c>
      <c r="K89" s="140" t="s">
        <v>420</v>
      </c>
      <c r="L89" s="139">
        <v>3602018</v>
      </c>
      <c r="M89" s="140" t="s">
        <v>448</v>
      </c>
      <c r="N89" s="139">
        <v>3602018</v>
      </c>
      <c r="O89" s="140" t="s">
        <v>448</v>
      </c>
      <c r="P89" s="132" t="s">
        <v>449</v>
      </c>
      <c r="Q89" s="142" t="s">
        <v>450</v>
      </c>
      <c r="R89" s="132" t="s">
        <v>449</v>
      </c>
      <c r="S89" s="142" t="s">
        <v>450</v>
      </c>
      <c r="T89" s="289" t="s">
        <v>157</v>
      </c>
      <c r="U89" s="145">
        <v>4</v>
      </c>
      <c r="V89" s="145"/>
      <c r="W89" s="145">
        <f t="shared" si="13"/>
        <v>4</v>
      </c>
      <c r="X89" s="145">
        <v>0</v>
      </c>
      <c r="Y89" s="146">
        <v>2020003630078</v>
      </c>
      <c r="Z89" s="260" t="s">
        <v>451</v>
      </c>
      <c r="AA89" s="140" t="s">
        <v>452</v>
      </c>
      <c r="AB89" s="130"/>
      <c r="AC89" s="130"/>
      <c r="AD89" s="130"/>
      <c r="AE89" s="130"/>
      <c r="AF89" s="130"/>
      <c r="AG89" s="130"/>
      <c r="AH89" s="130"/>
      <c r="AI89" s="130"/>
      <c r="AJ89" s="130"/>
      <c r="AK89" s="130"/>
      <c r="AL89" s="130"/>
      <c r="AM89" s="130"/>
      <c r="AN89" s="130"/>
      <c r="AO89" s="130"/>
      <c r="AP89" s="130"/>
      <c r="AQ89" s="130"/>
      <c r="AR89" s="130"/>
      <c r="AS89" s="130"/>
      <c r="AT89" s="138">
        <v>200000000</v>
      </c>
      <c r="AU89" s="138"/>
      <c r="AV89" s="138"/>
      <c r="AW89" s="130"/>
      <c r="AX89" s="130"/>
      <c r="AY89" s="130"/>
      <c r="AZ89" s="130"/>
      <c r="BA89" s="130"/>
      <c r="BB89" s="130"/>
      <c r="BC89" s="130"/>
      <c r="BD89" s="130"/>
      <c r="BE89" s="130"/>
      <c r="BF89" s="138">
        <f t="shared" si="9"/>
        <v>200000000</v>
      </c>
      <c r="BG89" s="138">
        <f t="shared" si="10"/>
        <v>0</v>
      </c>
      <c r="BH89" s="138">
        <f t="shared" si="11"/>
        <v>0</v>
      </c>
      <c r="BI89" s="141" t="s">
        <v>12</v>
      </c>
    </row>
    <row r="90" spans="1:61" s="151" customFormat="1" ht="126" customHeight="1">
      <c r="A90" s="139">
        <v>311</v>
      </c>
      <c r="B90" s="140" t="s">
        <v>416</v>
      </c>
      <c r="C90" s="292">
        <v>2</v>
      </c>
      <c r="D90" s="140" t="s">
        <v>199</v>
      </c>
      <c r="E90" s="139">
        <v>36</v>
      </c>
      <c r="F90" s="140" t="s">
        <v>445</v>
      </c>
      <c r="G90" s="139">
        <v>3602</v>
      </c>
      <c r="H90" s="140" t="s">
        <v>446</v>
      </c>
      <c r="I90" s="139">
        <v>3602</v>
      </c>
      <c r="J90" s="140" t="s">
        <v>447</v>
      </c>
      <c r="K90" s="140" t="s">
        <v>420</v>
      </c>
      <c r="L90" s="139">
        <v>3602032</v>
      </c>
      <c r="M90" s="140" t="s">
        <v>453</v>
      </c>
      <c r="N90" s="292">
        <v>3602032</v>
      </c>
      <c r="O90" s="140" t="s">
        <v>453</v>
      </c>
      <c r="P90" s="132" t="s">
        <v>454</v>
      </c>
      <c r="Q90" s="142" t="s">
        <v>455</v>
      </c>
      <c r="R90" s="132" t="s">
        <v>454</v>
      </c>
      <c r="S90" s="142" t="s">
        <v>455</v>
      </c>
      <c r="T90" s="145" t="s">
        <v>69</v>
      </c>
      <c r="U90" s="145">
        <v>14</v>
      </c>
      <c r="V90" s="145"/>
      <c r="W90" s="145">
        <f t="shared" si="13"/>
        <v>14</v>
      </c>
      <c r="X90" s="145">
        <v>3</v>
      </c>
      <c r="Y90" s="146">
        <v>2020003630078</v>
      </c>
      <c r="Z90" s="260" t="s">
        <v>451</v>
      </c>
      <c r="AA90" s="142" t="s">
        <v>452</v>
      </c>
      <c r="AB90" s="130"/>
      <c r="AC90" s="130"/>
      <c r="AD90" s="130"/>
      <c r="AE90" s="130"/>
      <c r="AF90" s="130"/>
      <c r="AG90" s="130"/>
      <c r="AH90" s="130"/>
      <c r="AI90" s="130"/>
      <c r="AJ90" s="130"/>
      <c r="AK90" s="130"/>
      <c r="AL90" s="130"/>
      <c r="AM90" s="130"/>
      <c r="AN90" s="130"/>
      <c r="AO90" s="130"/>
      <c r="AP90" s="130"/>
      <c r="AQ90" s="130"/>
      <c r="AR90" s="130"/>
      <c r="AS90" s="130"/>
      <c r="AT90" s="138">
        <f>50000000+50000000</f>
        <v>100000000</v>
      </c>
      <c r="AU90" s="138">
        <v>24400000</v>
      </c>
      <c r="AV90" s="138">
        <v>5400000</v>
      </c>
      <c r="AW90" s="130"/>
      <c r="AX90" s="130"/>
      <c r="AY90" s="130"/>
      <c r="AZ90" s="130"/>
      <c r="BA90" s="130"/>
      <c r="BB90" s="130"/>
      <c r="BC90" s="130"/>
      <c r="BD90" s="130"/>
      <c r="BE90" s="130"/>
      <c r="BF90" s="138">
        <f t="shared" si="9"/>
        <v>100000000</v>
      </c>
      <c r="BG90" s="138">
        <f t="shared" si="10"/>
        <v>24400000</v>
      </c>
      <c r="BH90" s="138">
        <f t="shared" si="11"/>
        <v>5400000</v>
      </c>
      <c r="BI90" s="141" t="s">
        <v>12</v>
      </c>
    </row>
    <row r="91" spans="1:61" s="151" customFormat="1" ht="126" customHeight="1">
      <c r="A91" s="139">
        <v>311</v>
      </c>
      <c r="B91" s="140" t="s">
        <v>416</v>
      </c>
      <c r="C91" s="292">
        <v>2</v>
      </c>
      <c r="D91" s="140" t="s">
        <v>199</v>
      </c>
      <c r="E91" s="139">
        <v>36</v>
      </c>
      <c r="F91" s="140" t="s">
        <v>445</v>
      </c>
      <c r="G91" s="139">
        <v>3602</v>
      </c>
      <c r="H91" s="140" t="s">
        <v>446</v>
      </c>
      <c r="I91" s="139">
        <v>3602</v>
      </c>
      <c r="J91" s="140" t="s">
        <v>447</v>
      </c>
      <c r="K91" s="140" t="s">
        <v>420</v>
      </c>
      <c r="L91" s="139">
        <v>3602029</v>
      </c>
      <c r="M91" s="140" t="s">
        <v>456</v>
      </c>
      <c r="N91" s="292">
        <v>3602029</v>
      </c>
      <c r="O91" s="140" t="s">
        <v>456</v>
      </c>
      <c r="P91" s="132" t="s">
        <v>457</v>
      </c>
      <c r="Q91" s="142" t="s">
        <v>458</v>
      </c>
      <c r="R91" s="132" t="s">
        <v>457</v>
      </c>
      <c r="S91" s="142" t="s">
        <v>458</v>
      </c>
      <c r="T91" s="289" t="s">
        <v>157</v>
      </c>
      <c r="U91" s="145">
        <v>13</v>
      </c>
      <c r="V91" s="145"/>
      <c r="W91" s="145">
        <f t="shared" si="13"/>
        <v>13</v>
      </c>
      <c r="X91" s="145">
        <v>4</v>
      </c>
      <c r="Y91" s="146">
        <v>2020003630078</v>
      </c>
      <c r="Z91" s="142" t="s">
        <v>451</v>
      </c>
      <c r="AA91" s="142" t="s">
        <v>452</v>
      </c>
      <c r="AB91" s="130"/>
      <c r="AC91" s="130"/>
      <c r="AD91" s="130"/>
      <c r="AE91" s="130"/>
      <c r="AF91" s="130"/>
      <c r="AG91" s="130"/>
      <c r="AH91" s="130"/>
      <c r="AI91" s="130"/>
      <c r="AJ91" s="130"/>
      <c r="AK91" s="130"/>
      <c r="AL91" s="130"/>
      <c r="AM91" s="130"/>
      <c r="AN91" s="130"/>
      <c r="AO91" s="130"/>
      <c r="AP91" s="130"/>
      <c r="AQ91" s="130"/>
      <c r="AR91" s="130"/>
      <c r="AS91" s="130"/>
      <c r="AT91" s="138">
        <v>49500000</v>
      </c>
      <c r="AU91" s="138">
        <v>49500000</v>
      </c>
      <c r="AV91" s="138">
        <v>10890000</v>
      </c>
      <c r="AW91" s="130"/>
      <c r="AX91" s="130"/>
      <c r="AY91" s="130"/>
      <c r="AZ91" s="130"/>
      <c r="BA91" s="130"/>
      <c r="BB91" s="130"/>
      <c r="BC91" s="130"/>
      <c r="BD91" s="130"/>
      <c r="BE91" s="130"/>
      <c r="BF91" s="138">
        <f t="shared" si="9"/>
        <v>49500000</v>
      </c>
      <c r="BG91" s="138">
        <f t="shared" si="10"/>
        <v>49500000</v>
      </c>
      <c r="BH91" s="138">
        <f t="shared" si="11"/>
        <v>10890000</v>
      </c>
      <c r="BI91" s="141" t="s">
        <v>12</v>
      </c>
    </row>
    <row r="92" spans="1:61" s="151" customFormat="1" ht="126" customHeight="1">
      <c r="A92" s="139">
        <v>311</v>
      </c>
      <c r="B92" s="140" t="s">
        <v>416</v>
      </c>
      <c r="C92" s="292">
        <v>2</v>
      </c>
      <c r="D92" s="140" t="s">
        <v>199</v>
      </c>
      <c r="E92" s="139">
        <v>36</v>
      </c>
      <c r="F92" s="140" t="s">
        <v>445</v>
      </c>
      <c r="G92" s="139">
        <v>3602</v>
      </c>
      <c r="H92" s="140" t="s">
        <v>446</v>
      </c>
      <c r="I92" s="139">
        <v>3602</v>
      </c>
      <c r="J92" s="140" t="s">
        <v>447</v>
      </c>
      <c r="K92" s="140" t="s">
        <v>420</v>
      </c>
      <c r="L92" s="139">
        <v>3602030</v>
      </c>
      <c r="M92" s="140" t="s">
        <v>459</v>
      </c>
      <c r="N92" s="292">
        <v>3602030</v>
      </c>
      <c r="O92" s="140" t="s">
        <v>459</v>
      </c>
      <c r="P92" s="132" t="s">
        <v>460</v>
      </c>
      <c r="Q92" s="142" t="s">
        <v>461</v>
      </c>
      <c r="R92" s="132" t="s">
        <v>460</v>
      </c>
      <c r="S92" s="142" t="s">
        <v>461</v>
      </c>
      <c r="T92" s="289" t="s">
        <v>157</v>
      </c>
      <c r="U92" s="145">
        <v>4</v>
      </c>
      <c r="V92" s="145"/>
      <c r="W92" s="145">
        <f t="shared" si="13"/>
        <v>4</v>
      </c>
      <c r="X92" s="145">
        <v>0</v>
      </c>
      <c r="Y92" s="146">
        <v>2020003630078</v>
      </c>
      <c r="Z92" s="142" t="s">
        <v>451</v>
      </c>
      <c r="AA92" s="142" t="s">
        <v>452</v>
      </c>
      <c r="AB92" s="130"/>
      <c r="AC92" s="130"/>
      <c r="AD92" s="130"/>
      <c r="AE92" s="130"/>
      <c r="AF92" s="130"/>
      <c r="AG92" s="130"/>
      <c r="AH92" s="130"/>
      <c r="AI92" s="130"/>
      <c r="AJ92" s="130"/>
      <c r="AK92" s="130"/>
      <c r="AL92" s="130"/>
      <c r="AM92" s="130"/>
      <c r="AN92" s="130"/>
      <c r="AO92" s="130"/>
      <c r="AP92" s="130"/>
      <c r="AQ92" s="130"/>
      <c r="AR92" s="130"/>
      <c r="AS92" s="130"/>
      <c r="AT92" s="138">
        <f>25000000+30000000</f>
        <v>55000000</v>
      </c>
      <c r="AU92" s="138">
        <v>21600000</v>
      </c>
      <c r="AV92" s="138"/>
      <c r="AW92" s="130"/>
      <c r="AX92" s="130"/>
      <c r="AY92" s="130"/>
      <c r="AZ92" s="130"/>
      <c r="BA92" s="130"/>
      <c r="BB92" s="130"/>
      <c r="BC92" s="130"/>
      <c r="BD92" s="130"/>
      <c r="BE92" s="130"/>
      <c r="BF92" s="138">
        <f t="shared" si="9"/>
        <v>55000000</v>
      </c>
      <c r="BG92" s="138">
        <f t="shared" si="10"/>
        <v>21600000</v>
      </c>
      <c r="BH92" s="138">
        <f t="shared" si="11"/>
        <v>0</v>
      </c>
      <c r="BI92" s="141" t="s">
        <v>12</v>
      </c>
    </row>
    <row r="93" spans="1:61" s="151" customFormat="1" ht="126" customHeight="1">
      <c r="A93" s="139">
        <v>311</v>
      </c>
      <c r="B93" s="143" t="s">
        <v>416</v>
      </c>
      <c r="C93" s="292">
        <v>2</v>
      </c>
      <c r="D93" s="143" t="s">
        <v>199</v>
      </c>
      <c r="E93" s="139">
        <v>36</v>
      </c>
      <c r="F93" s="143" t="s">
        <v>417</v>
      </c>
      <c r="G93" s="139">
        <v>3602</v>
      </c>
      <c r="H93" s="141" t="s">
        <v>418</v>
      </c>
      <c r="I93" s="139">
        <v>3602</v>
      </c>
      <c r="J93" s="141" t="s">
        <v>419</v>
      </c>
      <c r="K93" s="141" t="s">
        <v>434</v>
      </c>
      <c r="L93" s="146">
        <v>3502046</v>
      </c>
      <c r="M93" s="141" t="s">
        <v>440</v>
      </c>
      <c r="N93" s="146">
        <v>3502046</v>
      </c>
      <c r="O93" s="141" t="s">
        <v>440</v>
      </c>
      <c r="P93" s="146">
        <v>350204600</v>
      </c>
      <c r="Q93" s="141" t="s">
        <v>442</v>
      </c>
      <c r="R93" s="146">
        <v>350204600</v>
      </c>
      <c r="S93" s="141" t="s">
        <v>442</v>
      </c>
      <c r="T93" s="143" t="s">
        <v>157</v>
      </c>
      <c r="U93" s="146">
        <v>1</v>
      </c>
      <c r="V93" s="143"/>
      <c r="W93" s="145">
        <f>U93+V93</f>
        <v>1</v>
      </c>
      <c r="X93" s="145">
        <v>0</v>
      </c>
      <c r="Y93" s="146">
        <v>2022003630013</v>
      </c>
      <c r="Z93" s="141" t="s">
        <v>1457</v>
      </c>
      <c r="AA93" s="141" t="s">
        <v>1458</v>
      </c>
      <c r="AB93" s="130"/>
      <c r="AC93" s="130"/>
      <c r="AD93" s="130"/>
      <c r="AE93" s="130"/>
      <c r="AF93" s="130"/>
      <c r="AG93" s="130"/>
      <c r="AH93" s="130"/>
      <c r="AI93" s="130"/>
      <c r="AJ93" s="130"/>
      <c r="AK93" s="130"/>
      <c r="AL93" s="130"/>
      <c r="AM93" s="130"/>
      <c r="AN93" s="130"/>
      <c r="AO93" s="130"/>
      <c r="AP93" s="130"/>
      <c r="AQ93" s="130"/>
      <c r="AR93" s="130"/>
      <c r="AS93" s="130"/>
      <c r="AT93" s="138">
        <v>144105000</v>
      </c>
      <c r="AU93" s="138">
        <v>144105000</v>
      </c>
      <c r="AV93" s="138"/>
      <c r="AW93" s="130"/>
      <c r="AX93" s="130"/>
      <c r="AY93" s="130"/>
      <c r="AZ93" s="130"/>
      <c r="BA93" s="130"/>
      <c r="BB93" s="130"/>
      <c r="BC93" s="138"/>
      <c r="BD93" s="138"/>
      <c r="BE93" s="138"/>
      <c r="BF93" s="138">
        <f t="shared" si="9"/>
        <v>144105000</v>
      </c>
      <c r="BG93" s="138">
        <f t="shared" si="10"/>
        <v>144105000</v>
      </c>
      <c r="BH93" s="138">
        <f t="shared" si="11"/>
        <v>0</v>
      </c>
      <c r="BI93" s="141" t="s">
        <v>12</v>
      </c>
    </row>
    <row r="94" spans="1:61" s="151" customFormat="1" ht="126" customHeight="1">
      <c r="A94" s="139">
        <v>312</v>
      </c>
      <c r="B94" s="140" t="s">
        <v>462</v>
      </c>
      <c r="C94" s="139">
        <v>2</v>
      </c>
      <c r="D94" s="140" t="s">
        <v>199</v>
      </c>
      <c r="E94" s="139">
        <v>17</v>
      </c>
      <c r="F94" s="140" t="s">
        <v>200</v>
      </c>
      <c r="G94" s="139">
        <v>1702</v>
      </c>
      <c r="H94" s="140" t="s">
        <v>463</v>
      </c>
      <c r="I94" s="139">
        <v>1702</v>
      </c>
      <c r="J94" s="140" t="s">
        <v>464</v>
      </c>
      <c r="K94" s="140" t="s">
        <v>203</v>
      </c>
      <c r="L94" s="137">
        <v>1702011</v>
      </c>
      <c r="M94" s="140" t="s">
        <v>465</v>
      </c>
      <c r="N94" s="137">
        <v>1702011</v>
      </c>
      <c r="O94" s="140" t="s">
        <v>465</v>
      </c>
      <c r="P94" s="139" t="s">
        <v>466</v>
      </c>
      <c r="Q94" s="257" t="s">
        <v>467</v>
      </c>
      <c r="R94" s="139" t="s">
        <v>466</v>
      </c>
      <c r="S94" s="142" t="s">
        <v>467</v>
      </c>
      <c r="T94" s="143" t="s">
        <v>69</v>
      </c>
      <c r="U94" s="145">
        <v>30</v>
      </c>
      <c r="V94" s="145"/>
      <c r="W94" s="145">
        <f>U94+V94</f>
        <v>30</v>
      </c>
      <c r="X94" s="145">
        <v>23</v>
      </c>
      <c r="Y94" s="146">
        <v>2020003630079</v>
      </c>
      <c r="Z94" s="140" t="s">
        <v>468</v>
      </c>
      <c r="AA94" s="140" t="s">
        <v>469</v>
      </c>
      <c r="AB94" s="130"/>
      <c r="AC94" s="130"/>
      <c r="AD94" s="130"/>
      <c r="AE94" s="130"/>
      <c r="AF94" s="130"/>
      <c r="AG94" s="130"/>
      <c r="AH94" s="130"/>
      <c r="AI94" s="130"/>
      <c r="AJ94" s="130"/>
      <c r="AK94" s="130"/>
      <c r="AL94" s="130"/>
      <c r="AM94" s="130"/>
      <c r="AN94" s="130"/>
      <c r="AO94" s="130"/>
      <c r="AP94" s="130"/>
      <c r="AQ94" s="130"/>
      <c r="AR94" s="130"/>
      <c r="AS94" s="130"/>
      <c r="AT94" s="136">
        <f>100000000+30000000</f>
        <v>130000000</v>
      </c>
      <c r="AU94" s="136">
        <v>96000000</v>
      </c>
      <c r="AV94" s="136">
        <v>50500000</v>
      </c>
      <c r="AW94" s="148"/>
      <c r="AX94" s="148"/>
      <c r="AY94" s="148"/>
      <c r="AZ94" s="148"/>
      <c r="BA94" s="148"/>
      <c r="BB94" s="148"/>
      <c r="BC94" s="148"/>
      <c r="BD94" s="148"/>
      <c r="BE94" s="148"/>
      <c r="BF94" s="138">
        <f t="shared" si="9"/>
        <v>130000000</v>
      </c>
      <c r="BG94" s="138">
        <f t="shared" si="10"/>
        <v>96000000</v>
      </c>
      <c r="BH94" s="138">
        <f t="shared" si="11"/>
        <v>50500000</v>
      </c>
      <c r="BI94" s="298" t="s">
        <v>9</v>
      </c>
    </row>
    <row r="95" spans="1:61" s="151" customFormat="1" ht="126" customHeight="1">
      <c r="A95" s="139">
        <v>312</v>
      </c>
      <c r="B95" s="140" t="s">
        <v>462</v>
      </c>
      <c r="C95" s="139">
        <v>2</v>
      </c>
      <c r="D95" s="140" t="s">
        <v>199</v>
      </c>
      <c r="E95" s="139">
        <v>17</v>
      </c>
      <c r="F95" s="140" t="s">
        <v>200</v>
      </c>
      <c r="G95" s="139">
        <v>1702</v>
      </c>
      <c r="H95" s="140" t="s">
        <v>463</v>
      </c>
      <c r="I95" s="139">
        <v>1702</v>
      </c>
      <c r="J95" s="140" t="s">
        <v>464</v>
      </c>
      <c r="K95" s="140" t="s">
        <v>203</v>
      </c>
      <c r="L95" s="137">
        <v>1702007</v>
      </c>
      <c r="M95" s="140" t="s">
        <v>470</v>
      </c>
      <c r="N95" s="137">
        <v>1702007</v>
      </c>
      <c r="O95" s="140" t="s">
        <v>470</v>
      </c>
      <c r="P95" s="132" t="s">
        <v>471</v>
      </c>
      <c r="Q95" s="142" t="s">
        <v>472</v>
      </c>
      <c r="R95" s="132" t="s">
        <v>471</v>
      </c>
      <c r="S95" s="142" t="s">
        <v>472</v>
      </c>
      <c r="T95" s="299" t="s">
        <v>157</v>
      </c>
      <c r="U95" s="145">
        <v>3</v>
      </c>
      <c r="V95" s="145">
        <v>5</v>
      </c>
      <c r="W95" s="145">
        <f t="shared" ref="W95:W130" si="14">U95+V95</f>
        <v>8</v>
      </c>
      <c r="X95" s="145">
        <v>0</v>
      </c>
      <c r="Y95" s="146">
        <v>2020003630079</v>
      </c>
      <c r="Z95" s="140" t="s">
        <v>468</v>
      </c>
      <c r="AA95" s="140" t="s">
        <v>469</v>
      </c>
      <c r="AB95" s="130"/>
      <c r="AC95" s="130"/>
      <c r="AD95" s="130"/>
      <c r="AE95" s="130"/>
      <c r="AF95" s="130"/>
      <c r="AG95" s="130"/>
      <c r="AH95" s="130"/>
      <c r="AI95" s="130"/>
      <c r="AJ95" s="130"/>
      <c r="AK95" s="130"/>
      <c r="AL95" s="130"/>
      <c r="AM95" s="130"/>
      <c r="AN95" s="130"/>
      <c r="AO95" s="130"/>
      <c r="AP95" s="130"/>
      <c r="AQ95" s="130"/>
      <c r="AR95" s="130"/>
      <c r="AS95" s="130"/>
      <c r="AT95" s="136">
        <f>287529712+98800000</f>
        <v>386329712</v>
      </c>
      <c r="AU95" s="136"/>
      <c r="AV95" s="136"/>
      <c r="AW95" s="148"/>
      <c r="AX95" s="148"/>
      <c r="AY95" s="148"/>
      <c r="AZ95" s="148"/>
      <c r="BA95" s="148"/>
      <c r="BB95" s="148"/>
      <c r="BC95" s="148"/>
      <c r="BD95" s="148"/>
      <c r="BE95" s="148"/>
      <c r="BF95" s="138">
        <f t="shared" si="9"/>
        <v>386329712</v>
      </c>
      <c r="BG95" s="138">
        <f t="shared" si="10"/>
        <v>0</v>
      </c>
      <c r="BH95" s="138">
        <f t="shared" si="11"/>
        <v>0</v>
      </c>
      <c r="BI95" s="298" t="s">
        <v>9</v>
      </c>
    </row>
    <row r="96" spans="1:61" s="151" customFormat="1" ht="126" customHeight="1">
      <c r="A96" s="139">
        <v>312</v>
      </c>
      <c r="B96" s="140" t="s">
        <v>462</v>
      </c>
      <c r="C96" s="139">
        <v>2</v>
      </c>
      <c r="D96" s="140" t="s">
        <v>199</v>
      </c>
      <c r="E96" s="139">
        <v>17</v>
      </c>
      <c r="F96" s="140" t="s">
        <v>200</v>
      </c>
      <c r="G96" s="139">
        <v>1702</v>
      </c>
      <c r="H96" s="140" t="s">
        <v>463</v>
      </c>
      <c r="I96" s="139">
        <v>1702</v>
      </c>
      <c r="J96" s="140" t="s">
        <v>464</v>
      </c>
      <c r="K96" s="140" t="s">
        <v>203</v>
      </c>
      <c r="L96" s="137">
        <v>1702009</v>
      </c>
      <c r="M96" s="140" t="s">
        <v>473</v>
      </c>
      <c r="N96" s="137">
        <v>1702009</v>
      </c>
      <c r="O96" s="140" t="s">
        <v>473</v>
      </c>
      <c r="P96" s="132" t="s">
        <v>474</v>
      </c>
      <c r="Q96" s="142" t="s">
        <v>475</v>
      </c>
      <c r="R96" s="132" t="s">
        <v>474</v>
      </c>
      <c r="S96" s="142" t="s">
        <v>475</v>
      </c>
      <c r="T96" s="299" t="s">
        <v>157</v>
      </c>
      <c r="U96" s="145">
        <v>166</v>
      </c>
      <c r="V96" s="145"/>
      <c r="W96" s="145">
        <f t="shared" si="14"/>
        <v>166</v>
      </c>
      <c r="X96" s="145">
        <v>0</v>
      </c>
      <c r="Y96" s="146">
        <v>2020003630079</v>
      </c>
      <c r="Z96" s="140" t="s">
        <v>468</v>
      </c>
      <c r="AA96" s="140" t="s">
        <v>469</v>
      </c>
      <c r="AB96" s="130"/>
      <c r="AC96" s="130"/>
      <c r="AD96" s="130"/>
      <c r="AE96" s="130"/>
      <c r="AF96" s="130"/>
      <c r="AG96" s="130"/>
      <c r="AH96" s="130"/>
      <c r="AI96" s="130"/>
      <c r="AJ96" s="130"/>
      <c r="AK96" s="130"/>
      <c r="AL96" s="130"/>
      <c r="AM96" s="130"/>
      <c r="AN96" s="130"/>
      <c r="AO96" s="130"/>
      <c r="AP96" s="130"/>
      <c r="AQ96" s="130"/>
      <c r="AR96" s="130"/>
      <c r="AS96" s="130"/>
      <c r="AT96" s="136">
        <f>20000000+3600000</f>
        <v>23600000</v>
      </c>
      <c r="AU96" s="136"/>
      <c r="AV96" s="136"/>
      <c r="AW96" s="148"/>
      <c r="AX96" s="148"/>
      <c r="AY96" s="148"/>
      <c r="AZ96" s="148"/>
      <c r="BA96" s="148"/>
      <c r="BB96" s="148"/>
      <c r="BC96" s="148"/>
      <c r="BD96" s="148"/>
      <c r="BE96" s="148"/>
      <c r="BF96" s="138">
        <f t="shared" si="9"/>
        <v>23600000</v>
      </c>
      <c r="BG96" s="138">
        <f t="shared" si="10"/>
        <v>0</v>
      </c>
      <c r="BH96" s="138">
        <f t="shared" si="11"/>
        <v>0</v>
      </c>
      <c r="BI96" s="298" t="s">
        <v>9</v>
      </c>
    </row>
    <row r="97" spans="1:61" s="151" customFormat="1" ht="126" customHeight="1">
      <c r="A97" s="139">
        <v>312</v>
      </c>
      <c r="B97" s="140" t="s">
        <v>462</v>
      </c>
      <c r="C97" s="139">
        <v>2</v>
      </c>
      <c r="D97" s="140" t="s">
        <v>199</v>
      </c>
      <c r="E97" s="139">
        <v>17</v>
      </c>
      <c r="F97" s="140" t="s">
        <v>200</v>
      </c>
      <c r="G97" s="139">
        <v>1702</v>
      </c>
      <c r="H97" s="140" t="s">
        <v>463</v>
      </c>
      <c r="I97" s="139">
        <v>1702</v>
      </c>
      <c r="J97" s="140" t="s">
        <v>464</v>
      </c>
      <c r="K97" s="140" t="s">
        <v>203</v>
      </c>
      <c r="L97" s="137">
        <v>1702017</v>
      </c>
      <c r="M97" s="140" t="s">
        <v>476</v>
      </c>
      <c r="N97" s="300">
        <v>1702017</v>
      </c>
      <c r="O97" s="140" t="s">
        <v>476</v>
      </c>
      <c r="P97" s="132" t="s">
        <v>477</v>
      </c>
      <c r="Q97" s="142" t="s">
        <v>478</v>
      </c>
      <c r="R97" s="132" t="s">
        <v>477</v>
      </c>
      <c r="S97" s="142" t="s">
        <v>478</v>
      </c>
      <c r="T97" s="299" t="s">
        <v>157</v>
      </c>
      <c r="U97" s="145">
        <v>100</v>
      </c>
      <c r="V97" s="145"/>
      <c r="W97" s="145">
        <f t="shared" si="14"/>
        <v>100</v>
      </c>
      <c r="X97" s="145">
        <v>50</v>
      </c>
      <c r="Y97" s="146">
        <v>2020003630023</v>
      </c>
      <c r="Z97" s="142" t="s">
        <v>479</v>
      </c>
      <c r="AA97" s="142" t="s">
        <v>480</v>
      </c>
      <c r="AB97" s="130"/>
      <c r="AC97" s="130"/>
      <c r="AD97" s="130"/>
      <c r="AE97" s="130"/>
      <c r="AF97" s="130"/>
      <c r="AG97" s="130"/>
      <c r="AH97" s="130"/>
      <c r="AI97" s="130"/>
      <c r="AJ97" s="130"/>
      <c r="AK97" s="130"/>
      <c r="AL97" s="130"/>
      <c r="AM97" s="130"/>
      <c r="AN97" s="130"/>
      <c r="AO97" s="130"/>
      <c r="AP97" s="130"/>
      <c r="AQ97" s="130"/>
      <c r="AR97" s="130"/>
      <c r="AS97" s="130"/>
      <c r="AT97" s="136">
        <f>125000000+37500000</f>
        <v>162500000</v>
      </c>
      <c r="AU97" s="136">
        <v>42046666</v>
      </c>
      <c r="AV97" s="136">
        <v>16596666</v>
      </c>
      <c r="AW97" s="148"/>
      <c r="AX97" s="148"/>
      <c r="AY97" s="148"/>
      <c r="AZ97" s="148"/>
      <c r="BA97" s="148"/>
      <c r="BB97" s="148"/>
      <c r="BC97" s="148"/>
      <c r="BD97" s="148"/>
      <c r="BE97" s="148"/>
      <c r="BF97" s="138">
        <f t="shared" si="9"/>
        <v>162500000</v>
      </c>
      <c r="BG97" s="138">
        <f t="shared" si="10"/>
        <v>42046666</v>
      </c>
      <c r="BH97" s="138">
        <f t="shared" si="11"/>
        <v>16596666</v>
      </c>
      <c r="BI97" s="298" t="s">
        <v>9</v>
      </c>
    </row>
    <row r="98" spans="1:61" s="151" customFormat="1" ht="123" customHeight="1">
      <c r="A98" s="139">
        <v>312</v>
      </c>
      <c r="B98" s="140" t="s">
        <v>462</v>
      </c>
      <c r="C98" s="139">
        <v>2</v>
      </c>
      <c r="D98" s="140" t="s">
        <v>199</v>
      </c>
      <c r="E98" s="139">
        <v>17</v>
      </c>
      <c r="F98" s="140" t="s">
        <v>200</v>
      </c>
      <c r="G98" s="139">
        <v>1702</v>
      </c>
      <c r="H98" s="140" t="s">
        <v>463</v>
      </c>
      <c r="I98" s="139">
        <v>1702</v>
      </c>
      <c r="J98" s="140" t="s">
        <v>464</v>
      </c>
      <c r="K98" s="140" t="s">
        <v>203</v>
      </c>
      <c r="L98" s="137">
        <v>1702014</v>
      </c>
      <c r="M98" s="140" t="s">
        <v>481</v>
      </c>
      <c r="N98" s="137">
        <v>1702014</v>
      </c>
      <c r="O98" s="140" t="s">
        <v>481</v>
      </c>
      <c r="P98" s="132" t="s">
        <v>482</v>
      </c>
      <c r="Q98" s="142" t="s">
        <v>483</v>
      </c>
      <c r="R98" s="132" t="s">
        <v>482</v>
      </c>
      <c r="S98" s="142" t="s">
        <v>483</v>
      </c>
      <c r="T98" s="299" t="s">
        <v>157</v>
      </c>
      <c r="U98" s="145">
        <v>25</v>
      </c>
      <c r="V98" s="145"/>
      <c r="W98" s="145">
        <f t="shared" si="14"/>
        <v>25</v>
      </c>
      <c r="X98" s="145">
        <v>0</v>
      </c>
      <c r="Y98" s="146">
        <v>2020003630023</v>
      </c>
      <c r="Z98" s="142" t="s">
        <v>479</v>
      </c>
      <c r="AA98" s="142" t="s">
        <v>480</v>
      </c>
      <c r="AB98" s="130"/>
      <c r="AC98" s="130"/>
      <c r="AD98" s="130"/>
      <c r="AE98" s="130"/>
      <c r="AF98" s="130"/>
      <c r="AG98" s="130"/>
      <c r="AH98" s="130"/>
      <c r="AI98" s="130"/>
      <c r="AJ98" s="130"/>
      <c r="AK98" s="130"/>
      <c r="AL98" s="130"/>
      <c r="AM98" s="130"/>
      <c r="AN98" s="130"/>
      <c r="AO98" s="130"/>
      <c r="AP98" s="130"/>
      <c r="AQ98" s="130"/>
      <c r="AR98" s="130"/>
      <c r="AS98" s="130"/>
      <c r="AT98" s="136">
        <f>50000000+15000000</f>
        <v>65000000</v>
      </c>
      <c r="AU98" s="136"/>
      <c r="AV98" s="136"/>
      <c r="AW98" s="148"/>
      <c r="AX98" s="148"/>
      <c r="AY98" s="148"/>
      <c r="AZ98" s="148"/>
      <c r="BA98" s="148"/>
      <c r="BB98" s="148"/>
      <c r="BC98" s="148"/>
      <c r="BD98" s="148"/>
      <c r="BE98" s="148"/>
      <c r="BF98" s="138">
        <f t="shared" si="9"/>
        <v>65000000</v>
      </c>
      <c r="BG98" s="138">
        <f t="shared" si="10"/>
        <v>0</v>
      </c>
      <c r="BH98" s="138">
        <f t="shared" si="11"/>
        <v>0</v>
      </c>
      <c r="BI98" s="298" t="s">
        <v>9</v>
      </c>
    </row>
    <row r="99" spans="1:61" s="151" customFormat="1" ht="121.5" customHeight="1">
      <c r="A99" s="139">
        <v>312</v>
      </c>
      <c r="B99" s="140" t="s">
        <v>462</v>
      </c>
      <c r="C99" s="139">
        <v>2</v>
      </c>
      <c r="D99" s="140" t="s">
        <v>199</v>
      </c>
      <c r="E99" s="139">
        <v>17</v>
      </c>
      <c r="F99" s="140" t="s">
        <v>200</v>
      </c>
      <c r="G99" s="139">
        <v>1702</v>
      </c>
      <c r="H99" s="140" t="s">
        <v>463</v>
      </c>
      <c r="I99" s="139">
        <v>1702</v>
      </c>
      <c r="J99" s="140" t="s">
        <v>464</v>
      </c>
      <c r="K99" s="140" t="s">
        <v>203</v>
      </c>
      <c r="L99" s="137">
        <v>1702021</v>
      </c>
      <c r="M99" s="140" t="s">
        <v>484</v>
      </c>
      <c r="N99" s="137">
        <v>1702021</v>
      </c>
      <c r="O99" s="140" t="s">
        <v>484</v>
      </c>
      <c r="P99" s="132" t="s">
        <v>485</v>
      </c>
      <c r="Q99" s="142" t="s">
        <v>486</v>
      </c>
      <c r="R99" s="132" t="s">
        <v>485</v>
      </c>
      <c r="S99" s="142" t="s">
        <v>486</v>
      </c>
      <c r="T99" s="299" t="s">
        <v>157</v>
      </c>
      <c r="U99" s="145">
        <v>150</v>
      </c>
      <c r="V99" s="145"/>
      <c r="W99" s="145">
        <f t="shared" si="14"/>
        <v>150</v>
      </c>
      <c r="X99" s="145">
        <v>0</v>
      </c>
      <c r="Y99" s="146">
        <v>2020003630023</v>
      </c>
      <c r="Z99" s="142" t="s">
        <v>479</v>
      </c>
      <c r="AA99" s="142" t="s">
        <v>480</v>
      </c>
      <c r="AB99" s="130"/>
      <c r="AC99" s="130"/>
      <c r="AD99" s="130"/>
      <c r="AE99" s="130"/>
      <c r="AF99" s="130"/>
      <c r="AG99" s="130"/>
      <c r="AH99" s="130"/>
      <c r="AI99" s="130"/>
      <c r="AJ99" s="130"/>
      <c r="AK99" s="130"/>
      <c r="AL99" s="130"/>
      <c r="AM99" s="130"/>
      <c r="AN99" s="130"/>
      <c r="AO99" s="130"/>
      <c r="AP99" s="130"/>
      <c r="AQ99" s="130"/>
      <c r="AR99" s="130"/>
      <c r="AS99" s="130"/>
      <c r="AT99" s="136">
        <f>20000000+6000000</f>
        <v>26000000</v>
      </c>
      <c r="AU99" s="136">
        <v>2100000</v>
      </c>
      <c r="AV99" s="136"/>
      <c r="AW99" s="148"/>
      <c r="AX99" s="148"/>
      <c r="AY99" s="148"/>
      <c r="AZ99" s="148"/>
      <c r="BA99" s="148"/>
      <c r="BB99" s="148"/>
      <c r="BC99" s="148"/>
      <c r="BD99" s="148"/>
      <c r="BE99" s="148"/>
      <c r="BF99" s="138">
        <f t="shared" si="9"/>
        <v>26000000</v>
      </c>
      <c r="BG99" s="138">
        <f t="shared" si="10"/>
        <v>2100000</v>
      </c>
      <c r="BH99" s="138">
        <f t="shared" si="11"/>
        <v>0</v>
      </c>
      <c r="BI99" s="298" t="s">
        <v>9</v>
      </c>
    </row>
    <row r="100" spans="1:61" s="151" customFormat="1" ht="63.75">
      <c r="A100" s="139">
        <v>312</v>
      </c>
      <c r="B100" s="140" t="s">
        <v>462</v>
      </c>
      <c r="C100" s="139">
        <v>2</v>
      </c>
      <c r="D100" s="140" t="s">
        <v>199</v>
      </c>
      <c r="E100" s="139">
        <v>17</v>
      </c>
      <c r="F100" s="140" t="s">
        <v>200</v>
      </c>
      <c r="G100" s="139">
        <v>1702</v>
      </c>
      <c r="H100" s="140" t="s">
        <v>463</v>
      </c>
      <c r="I100" s="139">
        <v>1702</v>
      </c>
      <c r="J100" s="140" t="s">
        <v>464</v>
      </c>
      <c r="K100" s="140" t="s">
        <v>203</v>
      </c>
      <c r="L100" s="137">
        <v>1702038</v>
      </c>
      <c r="M100" s="140" t="s">
        <v>487</v>
      </c>
      <c r="N100" s="137">
        <v>1702038</v>
      </c>
      <c r="O100" s="140" t="s">
        <v>487</v>
      </c>
      <c r="P100" s="139" t="s">
        <v>488</v>
      </c>
      <c r="Q100" s="142" t="s">
        <v>489</v>
      </c>
      <c r="R100" s="139" t="s">
        <v>488</v>
      </c>
      <c r="S100" s="142" t="s">
        <v>489</v>
      </c>
      <c r="T100" s="145" t="s">
        <v>69</v>
      </c>
      <c r="U100" s="145">
        <v>30</v>
      </c>
      <c r="V100" s="145"/>
      <c r="W100" s="145">
        <f t="shared" si="14"/>
        <v>30</v>
      </c>
      <c r="X100" s="145">
        <v>30</v>
      </c>
      <c r="Y100" s="146">
        <v>2020003630080</v>
      </c>
      <c r="Z100" s="134" t="s">
        <v>490</v>
      </c>
      <c r="AA100" s="140" t="s">
        <v>491</v>
      </c>
      <c r="AB100" s="130"/>
      <c r="AC100" s="130"/>
      <c r="AD100" s="130"/>
      <c r="AE100" s="130"/>
      <c r="AF100" s="130"/>
      <c r="AG100" s="130"/>
      <c r="AH100" s="130"/>
      <c r="AI100" s="130"/>
      <c r="AJ100" s="130"/>
      <c r="AK100" s="130"/>
      <c r="AL100" s="130"/>
      <c r="AM100" s="130"/>
      <c r="AN100" s="130"/>
      <c r="AO100" s="130"/>
      <c r="AP100" s="130"/>
      <c r="AQ100" s="130"/>
      <c r="AR100" s="130"/>
      <c r="AS100" s="130"/>
      <c r="AT100" s="136">
        <f>65000000+19500000</f>
        <v>84500000</v>
      </c>
      <c r="AU100" s="136">
        <v>29200000</v>
      </c>
      <c r="AV100" s="136">
        <v>12500000</v>
      </c>
      <c r="AW100" s="148"/>
      <c r="AX100" s="148"/>
      <c r="AY100" s="148"/>
      <c r="AZ100" s="148"/>
      <c r="BA100" s="148"/>
      <c r="BB100" s="148"/>
      <c r="BC100" s="148"/>
      <c r="BD100" s="148"/>
      <c r="BE100" s="148"/>
      <c r="BF100" s="138">
        <f t="shared" si="9"/>
        <v>84500000</v>
      </c>
      <c r="BG100" s="138">
        <f t="shared" si="10"/>
        <v>29200000</v>
      </c>
      <c r="BH100" s="138">
        <f t="shared" si="11"/>
        <v>12500000</v>
      </c>
      <c r="BI100" s="298" t="s">
        <v>9</v>
      </c>
    </row>
    <row r="101" spans="1:61" s="151" customFormat="1" ht="88.5" customHeight="1">
      <c r="A101" s="139">
        <v>312</v>
      </c>
      <c r="B101" s="140" t="s">
        <v>462</v>
      </c>
      <c r="C101" s="139">
        <v>2</v>
      </c>
      <c r="D101" s="140" t="s">
        <v>199</v>
      </c>
      <c r="E101" s="139">
        <v>17</v>
      </c>
      <c r="F101" s="140" t="s">
        <v>200</v>
      </c>
      <c r="G101" s="139">
        <v>1702</v>
      </c>
      <c r="H101" s="140" t="s">
        <v>463</v>
      </c>
      <c r="I101" s="139">
        <v>1702</v>
      </c>
      <c r="J101" s="140" t="s">
        <v>464</v>
      </c>
      <c r="K101" s="140" t="s">
        <v>203</v>
      </c>
      <c r="L101" s="137">
        <v>1702038</v>
      </c>
      <c r="M101" s="140" t="s">
        <v>487</v>
      </c>
      <c r="N101" s="137">
        <v>1702038</v>
      </c>
      <c r="O101" s="140" t="s">
        <v>487</v>
      </c>
      <c r="P101" s="139" t="s">
        <v>492</v>
      </c>
      <c r="Q101" s="142" t="s">
        <v>493</v>
      </c>
      <c r="R101" s="139" t="s">
        <v>492</v>
      </c>
      <c r="S101" s="142" t="s">
        <v>493</v>
      </c>
      <c r="T101" s="299" t="s">
        <v>157</v>
      </c>
      <c r="U101" s="145">
        <v>80</v>
      </c>
      <c r="V101" s="145"/>
      <c r="W101" s="145">
        <f t="shared" si="14"/>
        <v>80</v>
      </c>
      <c r="X101" s="145">
        <v>0</v>
      </c>
      <c r="Y101" s="146">
        <v>2020003630080</v>
      </c>
      <c r="Z101" s="134" t="s">
        <v>490</v>
      </c>
      <c r="AA101" s="140" t="s">
        <v>491</v>
      </c>
      <c r="AB101" s="130"/>
      <c r="AC101" s="130"/>
      <c r="AD101" s="130"/>
      <c r="AE101" s="130"/>
      <c r="AF101" s="130"/>
      <c r="AG101" s="130"/>
      <c r="AH101" s="130"/>
      <c r="AI101" s="130"/>
      <c r="AJ101" s="130"/>
      <c r="AK101" s="130"/>
      <c r="AL101" s="130"/>
      <c r="AM101" s="130"/>
      <c r="AN101" s="130"/>
      <c r="AO101" s="130"/>
      <c r="AP101" s="130"/>
      <c r="AQ101" s="130"/>
      <c r="AR101" s="130"/>
      <c r="AS101" s="130"/>
      <c r="AT101" s="136">
        <v>18000000</v>
      </c>
      <c r="AU101" s="136"/>
      <c r="AV101" s="136"/>
      <c r="AW101" s="148"/>
      <c r="AX101" s="148"/>
      <c r="AY101" s="148"/>
      <c r="AZ101" s="148"/>
      <c r="BA101" s="148"/>
      <c r="BB101" s="148"/>
      <c r="BC101" s="148"/>
      <c r="BD101" s="148"/>
      <c r="BE101" s="148"/>
      <c r="BF101" s="138">
        <f t="shared" si="9"/>
        <v>18000000</v>
      </c>
      <c r="BG101" s="138">
        <f t="shared" si="10"/>
        <v>0</v>
      </c>
      <c r="BH101" s="138">
        <f t="shared" si="11"/>
        <v>0</v>
      </c>
      <c r="BI101" s="298" t="s">
        <v>9</v>
      </c>
    </row>
    <row r="102" spans="1:61" s="151" customFormat="1" ht="63.75">
      <c r="A102" s="139">
        <v>312</v>
      </c>
      <c r="B102" s="140" t="s">
        <v>462</v>
      </c>
      <c r="C102" s="139">
        <v>2</v>
      </c>
      <c r="D102" s="140" t="s">
        <v>199</v>
      </c>
      <c r="E102" s="139">
        <v>17</v>
      </c>
      <c r="F102" s="140" t="s">
        <v>200</v>
      </c>
      <c r="G102" s="139">
        <v>1702</v>
      </c>
      <c r="H102" s="140" t="s">
        <v>463</v>
      </c>
      <c r="I102" s="139">
        <v>1702</v>
      </c>
      <c r="J102" s="140" t="s">
        <v>464</v>
      </c>
      <c r="K102" s="140" t="s">
        <v>203</v>
      </c>
      <c r="L102" s="137">
        <v>1702023</v>
      </c>
      <c r="M102" s="140" t="s">
        <v>253</v>
      </c>
      <c r="N102" s="137">
        <v>1702023</v>
      </c>
      <c r="O102" s="140" t="s">
        <v>253</v>
      </c>
      <c r="P102" s="139" t="s">
        <v>494</v>
      </c>
      <c r="Q102" s="142" t="s">
        <v>495</v>
      </c>
      <c r="R102" s="139" t="s">
        <v>494</v>
      </c>
      <c r="S102" s="141" t="s">
        <v>495</v>
      </c>
      <c r="T102" s="299" t="s">
        <v>69</v>
      </c>
      <c r="U102" s="145">
        <v>1</v>
      </c>
      <c r="V102" s="145"/>
      <c r="W102" s="145">
        <f t="shared" si="14"/>
        <v>1</v>
      </c>
      <c r="X102" s="145">
        <v>0.08</v>
      </c>
      <c r="Y102" s="146">
        <v>2020003630022</v>
      </c>
      <c r="Z102" s="260" t="s">
        <v>496</v>
      </c>
      <c r="AA102" s="140" t="s">
        <v>497</v>
      </c>
      <c r="AB102" s="130"/>
      <c r="AC102" s="130"/>
      <c r="AD102" s="130"/>
      <c r="AE102" s="130"/>
      <c r="AF102" s="130"/>
      <c r="AG102" s="130"/>
      <c r="AH102" s="130"/>
      <c r="AI102" s="130"/>
      <c r="AJ102" s="130"/>
      <c r="AK102" s="130"/>
      <c r="AL102" s="130"/>
      <c r="AM102" s="130"/>
      <c r="AN102" s="130"/>
      <c r="AO102" s="130"/>
      <c r="AP102" s="130"/>
      <c r="AQ102" s="130"/>
      <c r="AR102" s="130"/>
      <c r="AS102" s="130"/>
      <c r="AT102" s="136">
        <f>30000000+9000000</f>
        <v>39000000</v>
      </c>
      <c r="AU102" s="136">
        <v>9600000</v>
      </c>
      <c r="AV102" s="136">
        <v>3200000</v>
      </c>
      <c r="AW102" s="148"/>
      <c r="AX102" s="148"/>
      <c r="AY102" s="148"/>
      <c r="AZ102" s="148"/>
      <c r="BA102" s="148"/>
      <c r="BB102" s="148"/>
      <c r="BC102" s="148"/>
      <c r="BD102" s="148"/>
      <c r="BE102" s="148"/>
      <c r="BF102" s="138">
        <f t="shared" si="9"/>
        <v>39000000</v>
      </c>
      <c r="BG102" s="138">
        <f t="shared" si="10"/>
        <v>9600000</v>
      </c>
      <c r="BH102" s="138">
        <f t="shared" si="11"/>
        <v>3200000</v>
      </c>
      <c r="BI102" s="298" t="s">
        <v>9</v>
      </c>
    </row>
    <row r="103" spans="1:61" s="151" customFormat="1" ht="63.75">
      <c r="A103" s="139">
        <v>312</v>
      </c>
      <c r="B103" s="140" t="s">
        <v>462</v>
      </c>
      <c r="C103" s="139">
        <v>2</v>
      </c>
      <c r="D103" s="140" t="s">
        <v>199</v>
      </c>
      <c r="E103" s="139">
        <v>17</v>
      </c>
      <c r="F103" s="140" t="s">
        <v>200</v>
      </c>
      <c r="G103" s="139">
        <v>1702</v>
      </c>
      <c r="H103" s="140" t="s">
        <v>463</v>
      </c>
      <c r="I103" s="139">
        <v>1702</v>
      </c>
      <c r="J103" s="140" t="s">
        <v>464</v>
      </c>
      <c r="K103" s="140" t="s">
        <v>203</v>
      </c>
      <c r="L103" s="137">
        <v>1702024</v>
      </c>
      <c r="M103" s="140" t="s">
        <v>498</v>
      </c>
      <c r="N103" s="137">
        <v>1702024</v>
      </c>
      <c r="O103" s="140" t="s">
        <v>498</v>
      </c>
      <c r="P103" s="132" t="s">
        <v>499</v>
      </c>
      <c r="Q103" s="142" t="s">
        <v>500</v>
      </c>
      <c r="R103" s="132" t="s">
        <v>499</v>
      </c>
      <c r="S103" s="142" t="s">
        <v>500</v>
      </c>
      <c r="T103" s="299" t="s">
        <v>69</v>
      </c>
      <c r="U103" s="145">
        <v>12</v>
      </c>
      <c r="V103" s="145"/>
      <c r="W103" s="145">
        <f t="shared" si="14"/>
        <v>12</v>
      </c>
      <c r="X103" s="145">
        <v>12</v>
      </c>
      <c r="Y103" s="146">
        <v>2020003630022</v>
      </c>
      <c r="Z103" s="134" t="s">
        <v>496</v>
      </c>
      <c r="AA103" s="140" t="s">
        <v>497</v>
      </c>
      <c r="AB103" s="130"/>
      <c r="AC103" s="130"/>
      <c r="AD103" s="130"/>
      <c r="AE103" s="130"/>
      <c r="AF103" s="130"/>
      <c r="AG103" s="130"/>
      <c r="AH103" s="130"/>
      <c r="AI103" s="130"/>
      <c r="AJ103" s="130"/>
      <c r="AK103" s="130"/>
      <c r="AL103" s="130"/>
      <c r="AM103" s="130"/>
      <c r="AN103" s="130"/>
      <c r="AO103" s="130"/>
      <c r="AP103" s="130"/>
      <c r="AQ103" s="130"/>
      <c r="AR103" s="130"/>
      <c r="AS103" s="130"/>
      <c r="AT103" s="136">
        <f>60000000+18000000</f>
        <v>78000000</v>
      </c>
      <c r="AU103" s="136">
        <v>15900000</v>
      </c>
      <c r="AV103" s="136">
        <v>8500000</v>
      </c>
      <c r="AW103" s="148"/>
      <c r="AX103" s="148"/>
      <c r="AY103" s="148"/>
      <c r="AZ103" s="148"/>
      <c r="BA103" s="148"/>
      <c r="BB103" s="148"/>
      <c r="BC103" s="148"/>
      <c r="BD103" s="148"/>
      <c r="BE103" s="148"/>
      <c r="BF103" s="138">
        <f t="shared" si="9"/>
        <v>78000000</v>
      </c>
      <c r="BG103" s="138">
        <f t="shared" si="10"/>
        <v>15900000</v>
      </c>
      <c r="BH103" s="138">
        <f t="shared" si="11"/>
        <v>8500000</v>
      </c>
      <c r="BI103" s="298" t="s">
        <v>9</v>
      </c>
    </row>
    <row r="104" spans="1:61" s="151" customFormat="1" ht="111" customHeight="1">
      <c r="A104" s="139">
        <v>312</v>
      </c>
      <c r="B104" s="140" t="s">
        <v>462</v>
      </c>
      <c r="C104" s="139">
        <v>2</v>
      </c>
      <c r="D104" s="140" t="s">
        <v>199</v>
      </c>
      <c r="E104" s="139">
        <v>17</v>
      </c>
      <c r="F104" s="140" t="s">
        <v>200</v>
      </c>
      <c r="G104" s="139">
        <v>1702</v>
      </c>
      <c r="H104" s="140" t="s">
        <v>463</v>
      </c>
      <c r="I104" s="139">
        <v>1702</v>
      </c>
      <c r="J104" s="140" t="s">
        <v>464</v>
      </c>
      <c r="K104" s="140" t="s">
        <v>203</v>
      </c>
      <c r="L104" s="137">
        <v>1702025</v>
      </c>
      <c r="M104" s="140" t="s">
        <v>501</v>
      </c>
      <c r="N104" s="137">
        <v>1702025</v>
      </c>
      <c r="O104" s="140" t="s">
        <v>501</v>
      </c>
      <c r="P104" s="132" t="s">
        <v>502</v>
      </c>
      <c r="Q104" s="142" t="s">
        <v>503</v>
      </c>
      <c r="R104" s="132" t="s">
        <v>502</v>
      </c>
      <c r="S104" s="142" t="s">
        <v>503</v>
      </c>
      <c r="T104" s="299" t="s">
        <v>157</v>
      </c>
      <c r="U104" s="145">
        <v>25</v>
      </c>
      <c r="V104" s="145"/>
      <c r="W104" s="145">
        <f t="shared" si="14"/>
        <v>25</v>
      </c>
      <c r="X104" s="145">
        <v>4</v>
      </c>
      <c r="Y104" s="146">
        <v>2020003630081</v>
      </c>
      <c r="Z104" s="260" t="s">
        <v>504</v>
      </c>
      <c r="AA104" s="140" t="s">
        <v>505</v>
      </c>
      <c r="AB104" s="130"/>
      <c r="AC104" s="130"/>
      <c r="AD104" s="130"/>
      <c r="AE104" s="130"/>
      <c r="AF104" s="130"/>
      <c r="AG104" s="130"/>
      <c r="AH104" s="130"/>
      <c r="AI104" s="130"/>
      <c r="AJ104" s="130"/>
      <c r="AK104" s="130"/>
      <c r="AL104" s="130"/>
      <c r="AM104" s="130"/>
      <c r="AN104" s="130"/>
      <c r="AO104" s="130"/>
      <c r="AP104" s="130"/>
      <c r="AQ104" s="130"/>
      <c r="AR104" s="130"/>
      <c r="AS104" s="130"/>
      <c r="AT104" s="136">
        <v>27000000</v>
      </c>
      <c r="AU104" s="136">
        <v>4800000</v>
      </c>
      <c r="AV104" s="136">
        <v>4800000</v>
      </c>
      <c r="AW104" s="148"/>
      <c r="AX104" s="148"/>
      <c r="AY104" s="148"/>
      <c r="AZ104" s="148"/>
      <c r="BA104" s="148"/>
      <c r="BB104" s="148"/>
      <c r="BC104" s="148"/>
      <c r="BD104" s="148"/>
      <c r="BE104" s="148"/>
      <c r="BF104" s="138">
        <f t="shared" si="9"/>
        <v>27000000</v>
      </c>
      <c r="BG104" s="138">
        <f t="shared" si="10"/>
        <v>4800000</v>
      </c>
      <c r="BH104" s="138">
        <f t="shared" si="11"/>
        <v>4800000</v>
      </c>
      <c r="BI104" s="298" t="s">
        <v>9</v>
      </c>
    </row>
    <row r="105" spans="1:61" s="151" customFormat="1" ht="97.5" customHeight="1">
      <c r="A105" s="139">
        <v>312</v>
      </c>
      <c r="B105" s="140" t="s">
        <v>462</v>
      </c>
      <c r="C105" s="139">
        <v>2</v>
      </c>
      <c r="D105" s="140" t="s">
        <v>199</v>
      </c>
      <c r="E105" s="139">
        <v>17</v>
      </c>
      <c r="F105" s="140" t="s">
        <v>200</v>
      </c>
      <c r="G105" s="139">
        <v>1703</v>
      </c>
      <c r="H105" s="140" t="s">
        <v>506</v>
      </c>
      <c r="I105" s="139">
        <v>1703</v>
      </c>
      <c r="J105" s="140" t="s">
        <v>507</v>
      </c>
      <c r="K105" s="140" t="s">
        <v>203</v>
      </c>
      <c r="L105" s="137">
        <v>1703013</v>
      </c>
      <c r="M105" s="140" t="s">
        <v>508</v>
      </c>
      <c r="N105" s="137">
        <v>1703013</v>
      </c>
      <c r="O105" s="140" t="s">
        <v>508</v>
      </c>
      <c r="P105" s="132" t="s">
        <v>509</v>
      </c>
      <c r="Q105" s="142" t="s">
        <v>510</v>
      </c>
      <c r="R105" s="132" t="s">
        <v>509</v>
      </c>
      <c r="S105" s="142" t="s">
        <v>510</v>
      </c>
      <c r="T105" s="299" t="s">
        <v>157</v>
      </c>
      <c r="U105" s="145">
        <v>55</v>
      </c>
      <c r="V105" s="145"/>
      <c r="W105" s="145">
        <f t="shared" si="14"/>
        <v>55</v>
      </c>
      <c r="X105" s="145">
        <v>0</v>
      </c>
      <c r="Y105" s="146">
        <v>2020003630082</v>
      </c>
      <c r="Z105" s="134" t="s">
        <v>511</v>
      </c>
      <c r="AA105" s="140" t="s">
        <v>512</v>
      </c>
      <c r="AB105" s="130"/>
      <c r="AC105" s="130"/>
      <c r="AD105" s="130"/>
      <c r="AE105" s="130"/>
      <c r="AF105" s="130"/>
      <c r="AG105" s="130"/>
      <c r="AH105" s="130"/>
      <c r="AI105" s="130"/>
      <c r="AJ105" s="130"/>
      <c r="AK105" s="130"/>
      <c r="AL105" s="130"/>
      <c r="AM105" s="130"/>
      <c r="AN105" s="130"/>
      <c r="AO105" s="130"/>
      <c r="AP105" s="130"/>
      <c r="AQ105" s="130"/>
      <c r="AR105" s="130"/>
      <c r="AS105" s="130"/>
      <c r="AT105" s="136">
        <f>32907909+3400000</f>
        <v>36307909</v>
      </c>
      <c r="AU105" s="136">
        <v>6400000</v>
      </c>
      <c r="AV105" s="136"/>
      <c r="AW105" s="148"/>
      <c r="AX105" s="148"/>
      <c r="AY105" s="148"/>
      <c r="AZ105" s="148"/>
      <c r="BA105" s="148"/>
      <c r="BB105" s="148"/>
      <c r="BC105" s="148"/>
      <c r="BD105" s="148"/>
      <c r="BE105" s="148"/>
      <c r="BF105" s="138">
        <f t="shared" si="9"/>
        <v>36307909</v>
      </c>
      <c r="BG105" s="138">
        <f t="shared" si="10"/>
        <v>6400000</v>
      </c>
      <c r="BH105" s="138">
        <f t="shared" si="11"/>
        <v>0</v>
      </c>
      <c r="BI105" s="298" t="s">
        <v>9</v>
      </c>
    </row>
    <row r="106" spans="1:61" s="151" customFormat="1" ht="97.5" customHeight="1">
      <c r="A106" s="139">
        <v>312</v>
      </c>
      <c r="B106" s="140" t="s">
        <v>462</v>
      </c>
      <c r="C106" s="139">
        <v>2</v>
      </c>
      <c r="D106" s="140" t="s">
        <v>199</v>
      </c>
      <c r="E106" s="139">
        <v>17</v>
      </c>
      <c r="F106" s="140" t="s">
        <v>200</v>
      </c>
      <c r="G106" s="139">
        <v>1704</v>
      </c>
      <c r="H106" s="140" t="s">
        <v>513</v>
      </c>
      <c r="I106" s="139">
        <v>1704</v>
      </c>
      <c r="J106" s="140" t="s">
        <v>514</v>
      </c>
      <c r="K106" s="140" t="s">
        <v>203</v>
      </c>
      <c r="L106" s="137">
        <v>1704002</v>
      </c>
      <c r="M106" s="140" t="s">
        <v>101</v>
      </c>
      <c r="N106" s="137">
        <v>1704002</v>
      </c>
      <c r="O106" s="140" t="s">
        <v>101</v>
      </c>
      <c r="P106" s="139" t="s">
        <v>515</v>
      </c>
      <c r="Q106" s="142" t="s">
        <v>516</v>
      </c>
      <c r="R106" s="139" t="s">
        <v>515</v>
      </c>
      <c r="S106" s="142" t="s">
        <v>516</v>
      </c>
      <c r="T106" s="145" t="s">
        <v>69</v>
      </c>
      <c r="U106" s="145">
        <v>1</v>
      </c>
      <c r="V106" s="145"/>
      <c r="W106" s="145">
        <f t="shared" si="14"/>
        <v>1</v>
      </c>
      <c r="X106" s="145">
        <v>0.1</v>
      </c>
      <c r="Y106" s="146">
        <v>2020003630025</v>
      </c>
      <c r="Z106" s="134" t="s">
        <v>517</v>
      </c>
      <c r="AA106" s="140" t="s">
        <v>518</v>
      </c>
      <c r="AB106" s="301"/>
      <c r="AC106" s="302"/>
      <c r="AD106" s="302"/>
      <c r="AE106" s="273"/>
      <c r="AF106" s="273"/>
      <c r="AG106" s="273"/>
      <c r="AH106" s="273"/>
      <c r="AI106" s="273"/>
      <c r="AJ106" s="273"/>
      <c r="AK106" s="273"/>
      <c r="AL106" s="273"/>
      <c r="AM106" s="273"/>
      <c r="AN106" s="273"/>
      <c r="AO106" s="273"/>
      <c r="AP106" s="273"/>
      <c r="AQ106" s="273"/>
      <c r="AR106" s="273"/>
      <c r="AS106" s="273"/>
      <c r="AT106" s="148">
        <f>42000000+16000000</f>
        <v>58000000</v>
      </c>
      <c r="AU106" s="148">
        <v>13200000</v>
      </c>
      <c r="AV106" s="148">
        <v>10000000</v>
      </c>
      <c r="AW106" s="148"/>
      <c r="AX106" s="148"/>
      <c r="AY106" s="148"/>
      <c r="AZ106" s="148"/>
      <c r="BA106" s="148"/>
      <c r="BB106" s="148"/>
      <c r="BC106" s="148"/>
      <c r="BD106" s="148"/>
      <c r="BE106" s="148"/>
      <c r="BF106" s="138">
        <f t="shared" si="9"/>
        <v>58000000</v>
      </c>
      <c r="BG106" s="138">
        <f t="shared" si="10"/>
        <v>13200000</v>
      </c>
      <c r="BH106" s="138">
        <f t="shared" si="11"/>
        <v>10000000</v>
      </c>
      <c r="BI106" s="298" t="s">
        <v>9</v>
      </c>
    </row>
    <row r="107" spans="1:61" s="151" customFormat="1" ht="97.5" customHeight="1">
      <c r="A107" s="139">
        <v>312</v>
      </c>
      <c r="B107" s="140" t="s">
        <v>462</v>
      </c>
      <c r="C107" s="139">
        <v>2</v>
      </c>
      <c r="D107" s="140" t="s">
        <v>199</v>
      </c>
      <c r="E107" s="139">
        <v>17</v>
      </c>
      <c r="F107" s="140" t="s">
        <v>200</v>
      </c>
      <c r="G107" s="139">
        <v>1704</v>
      </c>
      <c r="H107" s="140" t="s">
        <v>513</v>
      </c>
      <c r="I107" s="139">
        <v>1704</v>
      </c>
      <c r="J107" s="140" t="s">
        <v>514</v>
      </c>
      <c r="K107" s="140" t="s">
        <v>203</v>
      </c>
      <c r="L107" s="137">
        <v>1704017</v>
      </c>
      <c r="M107" s="140" t="s">
        <v>519</v>
      </c>
      <c r="N107" s="137">
        <v>1704017</v>
      </c>
      <c r="O107" s="140" t="s">
        <v>519</v>
      </c>
      <c r="P107" s="139" t="s">
        <v>520</v>
      </c>
      <c r="Q107" s="142" t="s">
        <v>521</v>
      </c>
      <c r="R107" s="139" t="s">
        <v>520</v>
      </c>
      <c r="S107" s="142" t="s">
        <v>521</v>
      </c>
      <c r="T107" s="299" t="s">
        <v>157</v>
      </c>
      <c r="U107" s="145">
        <v>150</v>
      </c>
      <c r="V107" s="145"/>
      <c r="W107" s="145">
        <f t="shared" si="14"/>
        <v>150</v>
      </c>
      <c r="X107" s="145">
        <v>26</v>
      </c>
      <c r="Y107" s="146">
        <v>2020003630025</v>
      </c>
      <c r="Z107" s="134" t="s">
        <v>517</v>
      </c>
      <c r="AA107" s="140" t="s">
        <v>518</v>
      </c>
      <c r="AB107" s="273"/>
      <c r="AC107" s="273"/>
      <c r="AD107" s="273"/>
      <c r="AE107" s="273"/>
      <c r="AF107" s="273"/>
      <c r="AG107" s="273"/>
      <c r="AH107" s="273"/>
      <c r="AI107" s="273"/>
      <c r="AJ107" s="273"/>
      <c r="AK107" s="273"/>
      <c r="AL107" s="273"/>
      <c r="AM107" s="273"/>
      <c r="AN107" s="273"/>
      <c r="AO107" s="273"/>
      <c r="AP107" s="273"/>
      <c r="AQ107" s="273"/>
      <c r="AR107" s="273"/>
      <c r="AS107" s="273"/>
      <c r="AT107" s="148">
        <f>28000000+11000000</f>
        <v>39000000</v>
      </c>
      <c r="AU107" s="303">
        <v>17100000</v>
      </c>
      <c r="AV107" s="303">
        <v>7800000</v>
      </c>
      <c r="AW107" s="303"/>
      <c r="AX107" s="303"/>
      <c r="AY107" s="303"/>
      <c r="AZ107" s="303"/>
      <c r="BA107" s="303"/>
      <c r="BB107" s="303"/>
      <c r="BC107" s="148"/>
      <c r="BD107" s="148"/>
      <c r="BE107" s="148"/>
      <c r="BF107" s="138">
        <f t="shared" si="9"/>
        <v>39000000</v>
      </c>
      <c r="BG107" s="138">
        <f t="shared" si="10"/>
        <v>17100000</v>
      </c>
      <c r="BH107" s="138">
        <f t="shared" si="11"/>
        <v>7800000</v>
      </c>
      <c r="BI107" s="298" t="s">
        <v>9</v>
      </c>
    </row>
    <row r="108" spans="1:61" s="288" customFormat="1" ht="97.5" customHeight="1">
      <c r="A108" s="139">
        <v>312</v>
      </c>
      <c r="B108" s="140" t="s">
        <v>462</v>
      </c>
      <c r="C108" s="139">
        <v>2</v>
      </c>
      <c r="D108" s="140" t="s">
        <v>199</v>
      </c>
      <c r="E108" s="139">
        <v>17</v>
      </c>
      <c r="F108" s="140" t="s">
        <v>200</v>
      </c>
      <c r="G108" s="139">
        <v>1706</v>
      </c>
      <c r="H108" s="140" t="s">
        <v>522</v>
      </c>
      <c r="I108" s="139">
        <v>1706</v>
      </c>
      <c r="J108" s="140" t="s">
        <v>523</v>
      </c>
      <c r="K108" s="140" t="s">
        <v>203</v>
      </c>
      <c r="L108" s="137">
        <v>1706004</v>
      </c>
      <c r="M108" s="140" t="s">
        <v>524</v>
      </c>
      <c r="N108" s="137">
        <v>1706004</v>
      </c>
      <c r="O108" s="140" t="s">
        <v>524</v>
      </c>
      <c r="P108" s="139" t="s">
        <v>525</v>
      </c>
      <c r="Q108" s="142" t="s">
        <v>526</v>
      </c>
      <c r="R108" s="139" t="s">
        <v>525</v>
      </c>
      <c r="S108" s="142" t="s">
        <v>526</v>
      </c>
      <c r="T108" s="145" t="s">
        <v>69</v>
      </c>
      <c r="U108" s="145">
        <v>10</v>
      </c>
      <c r="V108" s="145"/>
      <c r="W108" s="145">
        <f t="shared" si="14"/>
        <v>10</v>
      </c>
      <c r="X108" s="145">
        <v>0</v>
      </c>
      <c r="Y108" s="146">
        <v>2020003630083</v>
      </c>
      <c r="Z108" s="134" t="s">
        <v>527</v>
      </c>
      <c r="AA108" s="140" t="s">
        <v>528</v>
      </c>
      <c r="AB108" s="130"/>
      <c r="AC108" s="130"/>
      <c r="AD108" s="130"/>
      <c r="AE108" s="130"/>
      <c r="AF108" s="130"/>
      <c r="AG108" s="130"/>
      <c r="AH108" s="130"/>
      <c r="AI108" s="130"/>
      <c r="AJ108" s="130"/>
      <c r="AK108" s="130"/>
      <c r="AL108" s="130"/>
      <c r="AM108" s="130"/>
      <c r="AN108" s="130"/>
      <c r="AO108" s="130"/>
      <c r="AP108" s="130"/>
      <c r="AQ108" s="130"/>
      <c r="AR108" s="130"/>
      <c r="AS108" s="130"/>
      <c r="AT108" s="148">
        <v>20000000</v>
      </c>
      <c r="AU108" s="303"/>
      <c r="AV108" s="303"/>
      <c r="AW108" s="303"/>
      <c r="AX108" s="303"/>
      <c r="AY108" s="303"/>
      <c r="AZ108" s="303"/>
      <c r="BA108" s="303"/>
      <c r="BB108" s="303"/>
      <c r="BC108" s="148"/>
      <c r="BD108" s="148"/>
      <c r="BE108" s="148"/>
      <c r="BF108" s="138">
        <f t="shared" si="9"/>
        <v>20000000</v>
      </c>
      <c r="BG108" s="138">
        <f t="shared" si="10"/>
        <v>0</v>
      </c>
      <c r="BH108" s="138">
        <f t="shared" si="11"/>
        <v>0</v>
      </c>
      <c r="BI108" s="298" t="s">
        <v>9</v>
      </c>
    </row>
    <row r="109" spans="1:61" s="288" customFormat="1" ht="108" customHeight="1">
      <c r="A109" s="139">
        <v>312</v>
      </c>
      <c r="B109" s="140" t="s">
        <v>462</v>
      </c>
      <c r="C109" s="139">
        <v>2</v>
      </c>
      <c r="D109" s="140" t="s">
        <v>199</v>
      </c>
      <c r="E109" s="139">
        <v>17</v>
      </c>
      <c r="F109" s="140" t="s">
        <v>200</v>
      </c>
      <c r="G109" s="139">
        <v>1707</v>
      </c>
      <c r="H109" s="140" t="s">
        <v>529</v>
      </c>
      <c r="I109" s="139">
        <v>1707</v>
      </c>
      <c r="J109" s="140" t="s">
        <v>530</v>
      </c>
      <c r="K109" s="140" t="s">
        <v>203</v>
      </c>
      <c r="L109" s="137">
        <v>1707069</v>
      </c>
      <c r="M109" s="140" t="s">
        <v>531</v>
      </c>
      <c r="N109" s="137">
        <v>1707069</v>
      </c>
      <c r="O109" s="140" t="s">
        <v>531</v>
      </c>
      <c r="P109" s="139" t="s">
        <v>532</v>
      </c>
      <c r="Q109" s="141" t="s">
        <v>533</v>
      </c>
      <c r="R109" s="139" t="s">
        <v>532</v>
      </c>
      <c r="S109" s="142" t="s">
        <v>533</v>
      </c>
      <c r="T109" s="299" t="s">
        <v>157</v>
      </c>
      <c r="U109" s="145">
        <v>5</v>
      </c>
      <c r="V109" s="145"/>
      <c r="W109" s="145">
        <f t="shared" si="14"/>
        <v>5</v>
      </c>
      <c r="X109" s="145">
        <v>2</v>
      </c>
      <c r="Y109" s="146">
        <v>2020003630084</v>
      </c>
      <c r="Z109" s="134" t="s">
        <v>534</v>
      </c>
      <c r="AA109" s="140" t="s">
        <v>535</v>
      </c>
      <c r="AB109" s="130"/>
      <c r="AC109" s="130"/>
      <c r="AD109" s="130"/>
      <c r="AE109" s="130"/>
      <c r="AF109" s="130"/>
      <c r="AG109" s="130"/>
      <c r="AH109" s="130"/>
      <c r="AI109" s="130"/>
      <c r="AJ109" s="130"/>
      <c r="AK109" s="130"/>
      <c r="AL109" s="130"/>
      <c r="AM109" s="130"/>
      <c r="AN109" s="130"/>
      <c r="AO109" s="130"/>
      <c r="AP109" s="130"/>
      <c r="AQ109" s="130"/>
      <c r="AR109" s="130"/>
      <c r="AS109" s="130"/>
      <c r="AT109" s="136">
        <f>43000000+16900000</f>
        <v>59900000</v>
      </c>
      <c r="AU109" s="136">
        <v>20150000</v>
      </c>
      <c r="AV109" s="136">
        <v>6400000</v>
      </c>
      <c r="AW109" s="148"/>
      <c r="AX109" s="148"/>
      <c r="AY109" s="148"/>
      <c r="AZ109" s="148"/>
      <c r="BA109" s="148"/>
      <c r="BB109" s="148"/>
      <c r="BC109" s="148"/>
      <c r="BD109" s="148"/>
      <c r="BE109" s="148"/>
      <c r="BF109" s="138">
        <f t="shared" si="9"/>
        <v>59900000</v>
      </c>
      <c r="BG109" s="138">
        <f t="shared" si="10"/>
        <v>20150000</v>
      </c>
      <c r="BH109" s="138">
        <f t="shared" si="11"/>
        <v>6400000</v>
      </c>
      <c r="BI109" s="298" t="s">
        <v>9</v>
      </c>
    </row>
    <row r="110" spans="1:61" s="288" customFormat="1" ht="129.75" customHeight="1">
      <c r="A110" s="139">
        <v>312</v>
      </c>
      <c r="B110" s="140" t="s">
        <v>462</v>
      </c>
      <c r="C110" s="139">
        <v>2</v>
      </c>
      <c r="D110" s="140" t="s">
        <v>199</v>
      </c>
      <c r="E110" s="139">
        <v>17</v>
      </c>
      <c r="F110" s="140" t="s">
        <v>200</v>
      </c>
      <c r="G110" s="139">
        <v>1708</v>
      </c>
      <c r="H110" s="140" t="s">
        <v>536</v>
      </c>
      <c r="I110" s="139">
        <v>1708</v>
      </c>
      <c r="J110" s="140" t="s">
        <v>537</v>
      </c>
      <c r="K110" s="140" t="s">
        <v>203</v>
      </c>
      <c r="L110" s="137">
        <v>1708016</v>
      </c>
      <c r="M110" s="140" t="s">
        <v>101</v>
      </c>
      <c r="N110" s="137">
        <v>1708016</v>
      </c>
      <c r="O110" s="140" t="s">
        <v>101</v>
      </c>
      <c r="P110" s="132" t="s">
        <v>538</v>
      </c>
      <c r="Q110" s="142" t="s">
        <v>539</v>
      </c>
      <c r="R110" s="132" t="s">
        <v>538</v>
      </c>
      <c r="S110" s="142" t="s">
        <v>539</v>
      </c>
      <c r="T110" s="145" t="s">
        <v>69</v>
      </c>
      <c r="U110" s="145">
        <v>2</v>
      </c>
      <c r="V110" s="145"/>
      <c r="W110" s="145">
        <f t="shared" si="14"/>
        <v>2</v>
      </c>
      <c r="X110" s="145">
        <v>0</v>
      </c>
      <c r="Y110" s="146">
        <v>2020003630026</v>
      </c>
      <c r="Z110" s="134" t="s">
        <v>540</v>
      </c>
      <c r="AA110" s="140" t="s">
        <v>541</v>
      </c>
      <c r="AB110" s="130"/>
      <c r="AC110" s="130"/>
      <c r="AD110" s="130"/>
      <c r="AE110" s="130"/>
      <c r="AF110" s="130"/>
      <c r="AG110" s="130"/>
      <c r="AH110" s="130"/>
      <c r="AI110" s="130"/>
      <c r="AJ110" s="130"/>
      <c r="AK110" s="130"/>
      <c r="AL110" s="130"/>
      <c r="AM110" s="130"/>
      <c r="AN110" s="130"/>
      <c r="AO110" s="130"/>
      <c r="AP110" s="130"/>
      <c r="AQ110" s="130"/>
      <c r="AR110" s="130"/>
      <c r="AS110" s="130"/>
      <c r="AT110" s="148">
        <f>20000000+8000000</f>
        <v>28000000</v>
      </c>
      <c r="AU110" s="148">
        <v>14400000</v>
      </c>
      <c r="AV110" s="148">
        <v>4800000</v>
      </c>
      <c r="AW110" s="148"/>
      <c r="AX110" s="148"/>
      <c r="AY110" s="148"/>
      <c r="AZ110" s="148"/>
      <c r="BA110" s="148"/>
      <c r="BB110" s="148"/>
      <c r="BC110" s="148"/>
      <c r="BD110" s="148"/>
      <c r="BE110" s="148"/>
      <c r="BF110" s="138">
        <f t="shared" si="9"/>
        <v>28000000</v>
      </c>
      <c r="BG110" s="138">
        <f t="shared" si="10"/>
        <v>14400000</v>
      </c>
      <c r="BH110" s="138">
        <f t="shared" si="11"/>
        <v>4800000</v>
      </c>
      <c r="BI110" s="298" t="s">
        <v>9</v>
      </c>
    </row>
    <row r="111" spans="1:61" s="288" customFormat="1" ht="133.5" customHeight="1">
      <c r="A111" s="139">
        <v>312</v>
      </c>
      <c r="B111" s="140" t="s">
        <v>462</v>
      </c>
      <c r="C111" s="139">
        <v>2</v>
      </c>
      <c r="D111" s="140" t="s">
        <v>199</v>
      </c>
      <c r="E111" s="139">
        <v>17</v>
      </c>
      <c r="F111" s="140" t="s">
        <v>200</v>
      </c>
      <c r="G111" s="139">
        <v>1708</v>
      </c>
      <c r="H111" s="140" t="s">
        <v>536</v>
      </c>
      <c r="I111" s="139">
        <v>1708</v>
      </c>
      <c r="J111" s="140" t="s">
        <v>537</v>
      </c>
      <c r="K111" s="140" t="s">
        <v>203</v>
      </c>
      <c r="L111" s="137">
        <v>1708051</v>
      </c>
      <c r="M111" s="140" t="s">
        <v>542</v>
      </c>
      <c r="N111" s="137">
        <v>1708051</v>
      </c>
      <c r="O111" s="140" t="s">
        <v>542</v>
      </c>
      <c r="P111" s="132" t="s">
        <v>543</v>
      </c>
      <c r="Q111" s="142" t="s">
        <v>544</v>
      </c>
      <c r="R111" s="132" t="s">
        <v>543</v>
      </c>
      <c r="S111" s="142" t="s">
        <v>544</v>
      </c>
      <c r="T111" s="143" t="s">
        <v>69</v>
      </c>
      <c r="U111" s="145">
        <v>1</v>
      </c>
      <c r="V111" s="145"/>
      <c r="W111" s="145">
        <f t="shared" si="14"/>
        <v>1</v>
      </c>
      <c r="X111" s="145">
        <v>0</v>
      </c>
      <c r="Y111" s="146">
        <v>2020003630026</v>
      </c>
      <c r="Z111" s="134" t="s">
        <v>540</v>
      </c>
      <c r="AA111" s="140" t="s">
        <v>541</v>
      </c>
      <c r="AB111" s="130"/>
      <c r="AC111" s="130"/>
      <c r="AD111" s="130"/>
      <c r="AE111" s="130"/>
      <c r="AF111" s="130"/>
      <c r="AG111" s="130"/>
      <c r="AH111" s="130"/>
      <c r="AI111" s="130"/>
      <c r="AJ111" s="130"/>
      <c r="AK111" s="130"/>
      <c r="AL111" s="130"/>
      <c r="AM111" s="130"/>
      <c r="AN111" s="130"/>
      <c r="AO111" s="130"/>
      <c r="AP111" s="130"/>
      <c r="AQ111" s="130"/>
      <c r="AR111" s="130"/>
      <c r="AS111" s="130"/>
      <c r="AT111" s="148">
        <f>20000000+8000000</f>
        <v>28000000</v>
      </c>
      <c r="AU111" s="148">
        <v>4450000</v>
      </c>
      <c r="AV111" s="148"/>
      <c r="AW111" s="148"/>
      <c r="AX111" s="148"/>
      <c r="AY111" s="148"/>
      <c r="AZ111" s="148"/>
      <c r="BA111" s="148"/>
      <c r="BB111" s="148"/>
      <c r="BC111" s="148"/>
      <c r="BD111" s="148"/>
      <c r="BE111" s="148"/>
      <c r="BF111" s="138">
        <f t="shared" si="9"/>
        <v>28000000</v>
      </c>
      <c r="BG111" s="138">
        <f t="shared" si="10"/>
        <v>4450000</v>
      </c>
      <c r="BH111" s="138">
        <f t="shared" si="11"/>
        <v>0</v>
      </c>
      <c r="BI111" s="298" t="s">
        <v>9</v>
      </c>
    </row>
    <row r="112" spans="1:61" s="288" customFormat="1" ht="108" customHeight="1">
      <c r="A112" s="139">
        <v>312</v>
      </c>
      <c r="B112" s="140" t="s">
        <v>462</v>
      </c>
      <c r="C112" s="139">
        <v>2</v>
      </c>
      <c r="D112" s="140" t="s">
        <v>199</v>
      </c>
      <c r="E112" s="139">
        <v>17</v>
      </c>
      <c r="F112" s="140" t="s">
        <v>200</v>
      </c>
      <c r="G112" s="139">
        <v>1709</v>
      </c>
      <c r="H112" s="140" t="s">
        <v>201</v>
      </c>
      <c r="I112" s="139">
        <v>1709</v>
      </c>
      <c r="J112" s="140" t="s">
        <v>202</v>
      </c>
      <c r="K112" s="140" t="s">
        <v>203</v>
      </c>
      <c r="L112" s="137">
        <v>1709019</v>
      </c>
      <c r="M112" s="140" t="s">
        <v>545</v>
      </c>
      <c r="N112" s="137">
        <v>1709019</v>
      </c>
      <c r="O112" s="140" t="s">
        <v>545</v>
      </c>
      <c r="P112" s="132">
        <v>170901900</v>
      </c>
      <c r="Q112" s="142" t="s">
        <v>545</v>
      </c>
      <c r="R112" s="132">
        <v>170901900</v>
      </c>
      <c r="S112" s="142" t="s">
        <v>545</v>
      </c>
      <c r="T112" s="299" t="s">
        <v>157</v>
      </c>
      <c r="U112" s="145">
        <v>4</v>
      </c>
      <c r="V112" s="145">
        <v>1</v>
      </c>
      <c r="W112" s="145">
        <f t="shared" si="14"/>
        <v>5</v>
      </c>
      <c r="X112" s="145">
        <v>0</v>
      </c>
      <c r="Y112" s="146">
        <v>2020003630024</v>
      </c>
      <c r="Z112" s="134" t="s">
        <v>546</v>
      </c>
      <c r="AA112" s="140" t="s">
        <v>547</v>
      </c>
      <c r="AB112" s="273"/>
      <c r="AC112" s="273"/>
      <c r="AD112" s="273"/>
      <c r="AE112" s="273"/>
      <c r="AF112" s="273"/>
      <c r="AG112" s="273"/>
      <c r="AH112" s="273"/>
      <c r="AI112" s="273"/>
      <c r="AJ112" s="273"/>
      <c r="AK112" s="273"/>
      <c r="AL112" s="273"/>
      <c r="AM112" s="273"/>
      <c r="AN112" s="273"/>
      <c r="AO112" s="273"/>
      <c r="AP112" s="273"/>
      <c r="AQ112" s="273"/>
      <c r="AR112" s="273"/>
      <c r="AS112" s="273"/>
      <c r="AT112" s="148">
        <v>43000000</v>
      </c>
      <c r="AU112" s="148"/>
      <c r="AV112" s="148"/>
      <c r="AW112" s="148"/>
      <c r="AX112" s="148"/>
      <c r="AY112" s="148"/>
      <c r="AZ112" s="148"/>
      <c r="BA112" s="148"/>
      <c r="BB112" s="148"/>
      <c r="BC112" s="148"/>
      <c r="BD112" s="148"/>
      <c r="BE112" s="148"/>
      <c r="BF112" s="138">
        <f t="shared" si="9"/>
        <v>43000000</v>
      </c>
      <c r="BG112" s="138">
        <f t="shared" si="10"/>
        <v>0</v>
      </c>
      <c r="BH112" s="138">
        <f t="shared" si="11"/>
        <v>0</v>
      </c>
      <c r="BI112" s="298" t="s">
        <v>9</v>
      </c>
    </row>
    <row r="113" spans="1:61" s="288" customFormat="1" ht="108" customHeight="1">
      <c r="A113" s="139">
        <v>312</v>
      </c>
      <c r="B113" s="140" t="s">
        <v>462</v>
      </c>
      <c r="C113" s="139">
        <v>2</v>
      </c>
      <c r="D113" s="140" t="s">
        <v>199</v>
      </c>
      <c r="E113" s="139">
        <v>17</v>
      </c>
      <c r="F113" s="140" t="s">
        <v>200</v>
      </c>
      <c r="G113" s="139">
        <v>1709</v>
      </c>
      <c r="H113" s="140" t="s">
        <v>201</v>
      </c>
      <c r="I113" s="139">
        <v>1709</v>
      </c>
      <c r="J113" s="140" t="s">
        <v>202</v>
      </c>
      <c r="K113" s="140" t="s">
        <v>203</v>
      </c>
      <c r="L113" s="137">
        <v>1709034</v>
      </c>
      <c r="M113" s="140" t="s">
        <v>548</v>
      </c>
      <c r="N113" s="137">
        <v>1709034</v>
      </c>
      <c r="O113" s="140" t="s">
        <v>548</v>
      </c>
      <c r="P113" s="132" t="s">
        <v>549</v>
      </c>
      <c r="Q113" s="142" t="s">
        <v>548</v>
      </c>
      <c r="R113" s="132" t="s">
        <v>549</v>
      </c>
      <c r="S113" s="142" t="s">
        <v>548</v>
      </c>
      <c r="T113" s="299" t="s">
        <v>157</v>
      </c>
      <c r="U113" s="145">
        <v>3</v>
      </c>
      <c r="V113" s="145">
        <v>1</v>
      </c>
      <c r="W113" s="145">
        <f t="shared" si="14"/>
        <v>4</v>
      </c>
      <c r="X113" s="145">
        <v>0</v>
      </c>
      <c r="Y113" s="146">
        <v>2020003630024</v>
      </c>
      <c r="Z113" s="134" t="s">
        <v>546</v>
      </c>
      <c r="AA113" s="140" t="s">
        <v>547</v>
      </c>
      <c r="AB113" s="273"/>
      <c r="AC113" s="273"/>
      <c r="AD113" s="273"/>
      <c r="AE113" s="273"/>
      <c r="AF113" s="273"/>
      <c r="AG113" s="273"/>
      <c r="AH113" s="273"/>
      <c r="AI113" s="273"/>
      <c r="AJ113" s="273"/>
      <c r="AK113" s="273"/>
      <c r="AL113" s="273"/>
      <c r="AM113" s="273"/>
      <c r="AN113" s="273"/>
      <c r="AO113" s="273"/>
      <c r="AP113" s="273"/>
      <c r="AQ113" s="273"/>
      <c r="AR113" s="273"/>
      <c r="AS113" s="273"/>
      <c r="AT113" s="148">
        <f>43000000+34676627</f>
        <v>77676627</v>
      </c>
      <c r="AU113" s="148">
        <v>31194951</v>
      </c>
      <c r="AV113" s="148"/>
      <c r="AW113" s="148"/>
      <c r="AX113" s="148"/>
      <c r="AY113" s="148"/>
      <c r="AZ113" s="148"/>
      <c r="BA113" s="148"/>
      <c r="BB113" s="148"/>
      <c r="BC113" s="148"/>
      <c r="BD113" s="148"/>
      <c r="BE113" s="148"/>
      <c r="BF113" s="138">
        <f t="shared" si="9"/>
        <v>77676627</v>
      </c>
      <c r="BG113" s="138">
        <f t="shared" si="10"/>
        <v>31194951</v>
      </c>
      <c r="BH113" s="138">
        <f t="shared" si="11"/>
        <v>0</v>
      </c>
      <c r="BI113" s="298" t="s">
        <v>9</v>
      </c>
    </row>
    <row r="114" spans="1:61" s="288" customFormat="1" ht="108" customHeight="1">
      <c r="A114" s="139">
        <v>312</v>
      </c>
      <c r="B114" s="140" t="s">
        <v>462</v>
      </c>
      <c r="C114" s="139">
        <v>2</v>
      </c>
      <c r="D114" s="140" t="s">
        <v>199</v>
      </c>
      <c r="E114" s="139">
        <v>17</v>
      </c>
      <c r="F114" s="140" t="s">
        <v>200</v>
      </c>
      <c r="G114" s="139">
        <v>1709</v>
      </c>
      <c r="H114" s="140" t="s">
        <v>201</v>
      </c>
      <c r="I114" s="139">
        <v>1709</v>
      </c>
      <c r="J114" s="140" t="s">
        <v>202</v>
      </c>
      <c r="K114" s="140" t="s">
        <v>203</v>
      </c>
      <c r="L114" s="137">
        <v>1709093</v>
      </c>
      <c r="M114" s="140" t="s">
        <v>550</v>
      </c>
      <c r="N114" s="137">
        <v>1709093</v>
      </c>
      <c r="O114" s="140" t="s">
        <v>550</v>
      </c>
      <c r="P114" s="139" t="s">
        <v>551</v>
      </c>
      <c r="Q114" s="142" t="s">
        <v>552</v>
      </c>
      <c r="R114" s="139" t="s">
        <v>551</v>
      </c>
      <c r="S114" s="142" t="s">
        <v>552</v>
      </c>
      <c r="T114" s="299" t="s">
        <v>157</v>
      </c>
      <c r="U114" s="145">
        <v>1</v>
      </c>
      <c r="V114" s="145"/>
      <c r="W114" s="145">
        <f t="shared" si="14"/>
        <v>1</v>
      </c>
      <c r="X114" s="145">
        <v>0</v>
      </c>
      <c r="Y114" s="146">
        <v>2020003630024</v>
      </c>
      <c r="Z114" s="134" t="s">
        <v>546</v>
      </c>
      <c r="AA114" s="140" t="s">
        <v>547</v>
      </c>
      <c r="AB114" s="273"/>
      <c r="AC114" s="273"/>
      <c r="AD114" s="273"/>
      <c r="AE114" s="273"/>
      <c r="AF114" s="273"/>
      <c r="AG114" s="273"/>
      <c r="AH114" s="273"/>
      <c r="AI114" s="273"/>
      <c r="AJ114" s="273"/>
      <c r="AK114" s="273"/>
      <c r="AL114" s="273"/>
      <c r="AM114" s="273"/>
      <c r="AN114" s="273"/>
      <c r="AO114" s="273"/>
      <c r="AP114" s="273"/>
      <c r="AQ114" s="273"/>
      <c r="AR114" s="273"/>
      <c r="AS114" s="273"/>
      <c r="AT114" s="148">
        <v>22000000</v>
      </c>
      <c r="AU114" s="148"/>
      <c r="AV114" s="148"/>
      <c r="AW114" s="148"/>
      <c r="AX114" s="148"/>
      <c r="AY114" s="148"/>
      <c r="AZ114" s="148"/>
      <c r="BA114" s="148"/>
      <c r="BB114" s="148"/>
      <c r="BC114" s="148"/>
      <c r="BD114" s="148"/>
      <c r="BE114" s="148"/>
      <c r="BF114" s="138">
        <f t="shared" si="9"/>
        <v>22000000</v>
      </c>
      <c r="BG114" s="138">
        <f t="shared" si="10"/>
        <v>0</v>
      </c>
      <c r="BH114" s="138">
        <f t="shared" si="11"/>
        <v>0</v>
      </c>
      <c r="BI114" s="298" t="s">
        <v>9</v>
      </c>
    </row>
    <row r="115" spans="1:61" s="288" customFormat="1" ht="94.5" customHeight="1">
      <c r="A115" s="152">
        <v>312</v>
      </c>
      <c r="B115" s="153" t="s">
        <v>462</v>
      </c>
      <c r="C115" s="152">
        <v>2</v>
      </c>
      <c r="D115" s="140" t="s">
        <v>199</v>
      </c>
      <c r="E115" s="152">
        <v>35</v>
      </c>
      <c r="F115" s="153" t="s">
        <v>417</v>
      </c>
      <c r="G115" s="152">
        <v>3502</v>
      </c>
      <c r="H115" s="153" t="s">
        <v>418</v>
      </c>
      <c r="I115" s="152">
        <v>3502</v>
      </c>
      <c r="J115" s="153" t="s">
        <v>419</v>
      </c>
      <c r="K115" s="153" t="s">
        <v>553</v>
      </c>
      <c r="L115" s="304">
        <v>3502017</v>
      </c>
      <c r="M115" s="153" t="s">
        <v>554</v>
      </c>
      <c r="N115" s="304">
        <v>3502017</v>
      </c>
      <c r="O115" s="153" t="s">
        <v>554</v>
      </c>
      <c r="P115" s="305" t="s">
        <v>555</v>
      </c>
      <c r="Q115" s="154" t="s">
        <v>556</v>
      </c>
      <c r="R115" s="305" t="s">
        <v>555</v>
      </c>
      <c r="S115" s="154" t="s">
        <v>556</v>
      </c>
      <c r="T115" s="155" t="s">
        <v>69</v>
      </c>
      <c r="U115" s="155">
        <v>6</v>
      </c>
      <c r="V115" s="155"/>
      <c r="W115" s="145">
        <f t="shared" si="14"/>
        <v>6</v>
      </c>
      <c r="X115" s="155">
        <v>6</v>
      </c>
      <c r="Y115" s="156">
        <v>2020003630085</v>
      </c>
      <c r="Z115" s="306" t="s">
        <v>557</v>
      </c>
      <c r="AA115" s="153" t="s">
        <v>558</v>
      </c>
      <c r="AB115" s="158"/>
      <c r="AC115" s="158"/>
      <c r="AD115" s="158"/>
      <c r="AE115" s="158"/>
      <c r="AF115" s="158"/>
      <c r="AG115" s="158"/>
      <c r="AH115" s="158"/>
      <c r="AI115" s="158"/>
      <c r="AJ115" s="158"/>
      <c r="AK115" s="158"/>
      <c r="AL115" s="158"/>
      <c r="AM115" s="158"/>
      <c r="AN115" s="158"/>
      <c r="AO115" s="158"/>
      <c r="AP115" s="158"/>
      <c r="AQ115" s="158"/>
      <c r="AR115" s="158"/>
      <c r="AS115" s="158"/>
      <c r="AT115" s="148">
        <v>18000000</v>
      </c>
      <c r="AU115" s="148">
        <v>18000000</v>
      </c>
      <c r="AV115" s="148"/>
      <c r="AW115" s="148"/>
      <c r="AX115" s="159"/>
      <c r="AY115" s="159"/>
      <c r="AZ115" s="159"/>
      <c r="BA115" s="159"/>
      <c r="BB115" s="159"/>
      <c r="BC115" s="159"/>
      <c r="BD115" s="159"/>
      <c r="BE115" s="159"/>
      <c r="BF115" s="138">
        <f t="shared" si="9"/>
        <v>18000000</v>
      </c>
      <c r="BG115" s="138">
        <f t="shared" si="10"/>
        <v>18000000</v>
      </c>
      <c r="BH115" s="138">
        <f t="shared" si="11"/>
        <v>0</v>
      </c>
      <c r="BI115" s="307" t="s">
        <v>9</v>
      </c>
    </row>
    <row r="116" spans="1:61" s="288" customFormat="1" ht="94.5" customHeight="1">
      <c r="A116" s="139">
        <v>312</v>
      </c>
      <c r="B116" s="140" t="s">
        <v>462</v>
      </c>
      <c r="C116" s="139">
        <v>2</v>
      </c>
      <c r="D116" s="140" t="s">
        <v>199</v>
      </c>
      <c r="E116" s="139">
        <v>35</v>
      </c>
      <c r="F116" s="140" t="s">
        <v>417</v>
      </c>
      <c r="G116" s="139">
        <v>3502</v>
      </c>
      <c r="H116" s="140" t="s">
        <v>418</v>
      </c>
      <c r="I116" s="139">
        <v>3502</v>
      </c>
      <c r="J116" s="140" t="s">
        <v>419</v>
      </c>
      <c r="K116" s="142" t="s">
        <v>420</v>
      </c>
      <c r="L116" s="137">
        <v>3502007</v>
      </c>
      <c r="M116" s="140" t="s">
        <v>559</v>
      </c>
      <c r="N116" s="137">
        <v>3502007</v>
      </c>
      <c r="O116" s="140" t="s">
        <v>559</v>
      </c>
      <c r="P116" s="139" t="s">
        <v>427</v>
      </c>
      <c r="Q116" s="142" t="s">
        <v>428</v>
      </c>
      <c r="R116" s="139" t="s">
        <v>427</v>
      </c>
      <c r="S116" s="141" t="s">
        <v>428</v>
      </c>
      <c r="T116" s="143" t="s">
        <v>69</v>
      </c>
      <c r="U116" s="139">
        <v>5</v>
      </c>
      <c r="V116" s="139"/>
      <c r="W116" s="145">
        <f t="shared" si="14"/>
        <v>5</v>
      </c>
      <c r="X116" s="145">
        <v>4</v>
      </c>
      <c r="Y116" s="146">
        <v>2020003630085</v>
      </c>
      <c r="Z116" s="134" t="s">
        <v>557</v>
      </c>
      <c r="AA116" s="140" t="s">
        <v>558</v>
      </c>
      <c r="AB116" s="130"/>
      <c r="AC116" s="130"/>
      <c r="AD116" s="130"/>
      <c r="AE116" s="130"/>
      <c r="AF116" s="130"/>
      <c r="AG116" s="130"/>
      <c r="AH116" s="130"/>
      <c r="AI116" s="130"/>
      <c r="AJ116" s="130"/>
      <c r="AK116" s="130"/>
      <c r="AL116" s="130"/>
      <c r="AM116" s="130"/>
      <c r="AN116" s="130"/>
      <c r="AO116" s="130"/>
      <c r="AP116" s="130"/>
      <c r="AQ116" s="130"/>
      <c r="AR116" s="130"/>
      <c r="AS116" s="130"/>
      <c r="AT116" s="148">
        <v>18000000</v>
      </c>
      <c r="AU116" s="148">
        <v>17800000</v>
      </c>
      <c r="AV116" s="148">
        <v>3200000</v>
      </c>
      <c r="AW116" s="148"/>
      <c r="AX116" s="148"/>
      <c r="AY116" s="148"/>
      <c r="AZ116" s="148"/>
      <c r="BA116" s="148"/>
      <c r="BB116" s="148"/>
      <c r="BC116" s="148"/>
      <c r="BD116" s="148"/>
      <c r="BE116" s="148"/>
      <c r="BF116" s="138">
        <f t="shared" si="9"/>
        <v>18000000</v>
      </c>
      <c r="BG116" s="138">
        <f t="shared" si="10"/>
        <v>17800000</v>
      </c>
      <c r="BH116" s="138">
        <f t="shared" si="11"/>
        <v>3200000</v>
      </c>
      <c r="BI116" s="298" t="s">
        <v>9</v>
      </c>
    </row>
    <row r="117" spans="1:61" s="288" customFormat="1" ht="94.5" customHeight="1">
      <c r="A117" s="139">
        <v>312</v>
      </c>
      <c r="B117" s="140" t="s">
        <v>462</v>
      </c>
      <c r="C117" s="139">
        <v>3</v>
      </c>
      <c r="D117" s="140" t="s">
        <v>211</v>
      </c>
      <c r="E117" s="139">
        <v>32</v>
      </c>
      <c r="F117" s="140" t="s">
        <v>226</v>
      </c>
      <c r="G117" s="139" t="s">
        <v>560</v>
      </c>
      <c r="H117" s="140" t="s">
        <v>561</v>
      </c>
      <c r="I117" s="139" t="s">
        <v>560</v>
      </c>
      <c r="J117" s="140" t="s">
        <v>562</v>
      </c>
      <c r="K117" s="140" t="s">
        <v>229</v>
      </c>
      <c r="L117" s="137">
        <v>3201013</v>
      </c>
      <c r="M117" s="140" t="s">
        <v>563</v>
      </c>
      <c r="N117" s="137">
        <v>3201013</v>
      </c>
      <c r="O117" s="140" t="s">
        <v>563</v>
      </c>
      <c r="P117" s="132" t="s">
        <v>564</v>
      </c>
      <c r="Q117" s="142" t="s">
        <v>565</v>
      </c>
      <c r="R117" s="132" t="s">
        <v>564</v>
      </c>
      <c r="S117" s="142" t="s">
        <v>565</v>
      </c>
      <c r="T117" s="299" t="s">
        <v>157</v>
      </c>
      <c r="U117" s="145">
        <v>1</v>
      </c>
      <c r="V117" s="145"/>
      <c r="W117" s="145">
        <f t="shared" si="14"/>
        <v>1</v>
      </c>
      <c r="X117" s="145">
        <v>0.1</v>
      </c>
      <c r="Y117" s="146">
        <v>2020003630027</v>
      </c>
      <c r="Z117" s="134" t="s">
        <v>566</v>
      </c>
      <c r="AA117" s="140" t="s">
        <v>567</v>
      </c>
      <c r="AB117" s="280"/>
      <c r="AC117" s="280"/>
      <c r="AD117" s="280"/>
      <c r="AE117" s="280"/>
      <c r="AF117" s="280"/>
      <c r="AG117" s="280"/>
      <c r="AH117" s="280"/>
      <c r="AI117" s="280"/>
      <c r="AJ117" s="280"/>
      <c r="AK117" s="280"/>
      <c r="AL117" s="280"/>
      <c r="AM117" s="280"/>
      <c r="AN117" s="280"/>
      <c r="AO117" s="280"/>
      <c r="AP117" s="280"/>
      <c r="AQ117" s="280"/>
      <c r="AR117" s="280"/>
      <c r="AS117" s="280"/>
      <c r="AT117" s="148">
        <f>32000000+12600000</f>
        <v>44600000</v>
      </c>
      <c r="AU117" s="148">
        <v>16100000</v>
      </c>
      <c r="AV117" s="148">
        <v>8100000</v>
      </c>
      <c r="AW117" s="148"/>
      <c r="AX117" s="148"/>
      <c r="AY117" s="148"/>
      <c r="AZ117" s="148"/>
      <c r="BA117" s="148"/>
      <c r="BB117" s="148"/>
      <c r="BC117" s="148"/>
      <c r="BD117" s="148"/>
      <c r="BE117" s="148"/>
      <c r="BF117" s="138">
        <f t="shared" si="9"/>
        <v>44600000</v>
      </c>
      <c r="BG117" s="138">
        <f t="shared" si="10"/>
        <v>16100000</v>
      </c>
      <c r="BH117" s="138">
        <f t="shared" si="11"/>
        <v>8100000</v>
      </c>
      <c r="BI117" s="298" t="s">
        <v>9</v>
      </c>
    </row>
    <row r="118" spans="1:61" s="151" customFormat="1" ht="109.5" customHeight="1">
      <c r="A118" s="139">
        <v>312</v>
      </c>
      <c r="B118" s="140" t="s">
        <v>462</v>
      </c>
      <c r="C118" s="139">
        <v>3</v>
      </c>
      <c r="D118" s="140" t="s">
        <v>211</v>
      </c>
      <c r="E118" s="139">
        <v>32</v>
      </c>
      <c r="F118" s="140" t="s">
        <v>226</v>
      </c>
      <c r="G118" s="139" t="s">
        <v>560</v>
      </c>
      <c r="H118" s="140" t="s">
        <v>561</v>
      </c>
      <c r="I118" s="139" t="s">
        <v>560</v>
      </c>
      <c r="J118" s="140" t="s">
        <v>562</v>
      </c>
      <c r="K118" s="140" t="s">
        <v>229</v>
      </c>
      <c r="L118" s="137">
        <v>3201008</v>
      </c>
      <c r="M118" s="140" t="s">
        <v>568</v>
      </c>
      <c r="N118" s="137">
        <v>3201008</v>
      </c>
      <c r="O118" s="140" t="s">
        <v>568</v>
      </c>
      <c r="P118" s="132" t="s">
        <v>569</v>
      </c>
      <c r="Q118" s="142" t="s">
        <v>570</v>
      </c>
      <c r="R118" s="132" t="s">
        <v>569</v>
      </c>
      <c r="S118" s="142" t="s">
        <v>570</v>
      </c>
      <c r="T118" s="299" t="s">
        <v>157</v>
      </c>
      <c r="U118" s="145">
        <v>3</v>
      </c>
      <c r="V118" s="145"/>
      <c r="W118" s="145">
        <f t="shared" si="14"/>
        <v>3</v>
      </c>
      <c r="X118" s="145">
        <v>0</v>
      </c>
      <c r="Y118" s="146">
        <v>2020003630027</v>
      </c>
      <c r="Z118" s="134" t="s">
        <v>566</v>
      </c>
      <c r="AA118" s="140" t="s">
        <v>567</v>
      </c>
      <c r="AB118" s="280"/>
      <c r="AC118" s="280"/>
      <c r="AD118" s="280"/>
      <c r="AE118" s="280"/>
      <c r="AF118" s="280"/>
      <c r="AG118" s="280"/>
      <c r="AH118" s="280"/>
      <c r="AI118" s="280"/>
      <c r="AJ118" s="280"/>
      <c r="AK118" s="280"/>
      <c r="AL118" s="280"/>
      <c r="AM118" s="280"/>
      <c r="AN118" s="280"/>
      <c r="AO118" s="280"/>
      <c r="AP118" s="280"/>
      <c r="AQ118" s="280"/>
      <c r="AR118" s="280"/>
      <c r="AS118" s="280"/>
      <c r="AT118" s="148">
        <f>50000000+18000000+50000000</f>
        <v>118000000</v>
      </c>
      <c r="AU118" s="148"/>
      <c r="AV118" s="148"/>
      <c r="AW118" s="148"/>
      <c r="AX118" s="148"/>
      <c r="AY118" s="148"/>
      <c r="AZ118" s="148"/>
      <c r="BA118" s="148"/>
      <c r="BB118" s="148"/>
      <c r="BC118" s="148"/>
      <c r="BD118" s="148"/>
      <c r="BE118" s="148"/>
      <c r="BF118" s="138">
        <f t="shared" si="9"/>
        <v>118000000</v>
      </c>
      <c r="BG118" s="138">
        <f t="shared" si="10"/>
        <v>0</v>
      </c>
      <c r="BH118" s="138">
        <f t="shared" si="11"/>
        <v>0</v>
      </c>
      <c r="BI118" s="298" t="s">
        <v>9</v>
      </c>
    </row>
    <row r="119" spans="1:61" s="308" customFormat="1" ht="162.75" customHeight="1">
      <c r="A119" s="139">
        <v>312</v>
      </c>
      <c r="B119" s="140" t="s">
        <v>462</v>
      </c>
      <c r="C119" s="139">
        <v>3</v>
      </c>
      <c r="D119" s="140" t="s">
        <v>211</v>
      </c>
      <c r="E119" s="139">
        <v>32</v>
      </c>
      <c r="F119" s="140" t="s">
        <v>226</v>
      </c>
      <c r="G119" s="139">
        <v>3202</v>
      </c>
      <c r="H119" s="140" t="s">
        <v>571</v>
      </c>
      <c r="I119" s="139">
        <v>3202</v>
      </c>
      <c r="J119" s="140" t="s">
        <v>572</v>
      </c>
      <c r="K119" s="140" t="s">
        <v>229</v>
      </c>
      <c r="L119" s="137">
        <v>3202037</v>
      </c>
      <c r="M119" s="140" t="s">
        <v>573</v>
      </c>
      <c r="N119" s="137">
        <v>3202037</v>
      </c>
      <c r="O119" s="140" t="s">
        <v>573</v>
      </c>
      <c r="P119" s="132" t="s">
        <v>574</v>
      </c>
      <c r="Q119" s="142" t="s">
        <v>575</v>
      </c>
      <c r="R119" s="132" t="s">
        <v>574</v>
      </c>
      <c r="S119" s="142" t="s">
        <v>575</v>
      </c>
      <c r="T119" s="299" t="s">
        <v>157</v>
      </c>
      <c r="U119" s="145">
        <v>40</v>
      </c>
      <c r="V119" s="145">
        <v>40</v>
      </c>
      <c r="W119" s="145">
        <f t="shared" si="14"/>
        <v>80</v>
      </c>
      <c r="X119" s="145">
        <v>0</v>
      </c>
      <c r="Y119" s="146">
        <v>2020003630086</v>
      </c>
      <c r="Z119" s="134" t="s">
        <v>576</v>
      </c>
      <c r="AA119" s="140" t="s">
        <v>577</v>
      </c>
      <c r="AB119" s="130"/>
      <c r="AC119" s="130"/>
      <c r="AD119" s="130"/>
      <c r="AE119" s="130"/>
      <c r="AF119" s="130"/>
      <c r="AG119" s="130"/>
      <c r="AH119" s="130"/>
      <c r="AI119" s="130"/>
      <c r="AJ119" s="130"/>
      <c r="AK119" s="130"/>
      <c r="AL119" s="130"/>
      <c r="AM119" s="130"/>
      <c r="AN119" s="130"/>
      <c r="AO119" s="130"/>
      <c r="AP119" s="130"/>
      <c r="AQ119" s="130"/>
      <c r="AR119" s="130"/>
      <c r="AS119" s="130"/>
      <c r="AT119" s="148">
        <f>50000000+80000000</f>
        <v>130000000</v>
      </c>
      <c r="AU119" s="148"/>
      <c r="AV119" s="148"/>
      <c r="AW119" s="148"/>
      <c r="AX119" s="148"/>
      <c r="AY119" s="148"/>
      <c r="AZ119" s="148"/>
      <c r="BA119" s="148"/>
      <c r="BB119" s="148"/>
      <c r="BC119" s="148"/>
      <c r="BD119" s="148"/>
      <c r="BE119" s="148"/>
      <c r="BF119" s="138">
        <f t="shared" si="9"/>
        <v>130000000</v>
      </c>
      <c r="BG119" s="138">
        <f t="shared" si="10"/>
        <v>0</v>
      </c>
      <c r="BH119" s="138">
        <f t="shared" si="11"/>
        <v>0</v>
      </c>
      <c r="BI119" s="298" t="s">
        <v>9</v>
      </c>
    </row>
    <row r="120" spans="1:61" s="151" customFormat="1" ht="160.5" customHeight="1">
      <c r="A120" s="139">
        <v>312</v>
      </c>
      <c r="B120" s="140" t="s">
        <v>462</v>
      </c>
      <c r="C120" s="139">
        <v>3</v>
      </c>
      <c r="D120" s="140" t="s">
        <v>211</v>
      </c>
      <c r="E120" s="139">
        <v>32</v>
      </c>
      <c r="F120" s="140" t="s">
        <v>226</v>
      </c>
      <c r="G120" s="139">
        <v>3202</v>
      </c>
      <c r="H120" s="140" t="s">
        <v>571</v>
      </c>
      <c r="I120" s="139">
        <v>3202</v>
      </c>
      <c r="J120" s="140" t="s">
        <v>572</v>
      </c>
      <c r="K120" s="140" t="s">
        <v>229</v>
      </c>
      <c r="L120" s="139" t="s">
        <v>61</v>
      </c>
      <c r="M120" s="140" t="s">
        <v>578</v>
      </c>
      <c r="N120" s="292">
        <v>3202037</v>
      </c>
      <c r="O120" s="140" t="s">
        <v>573</v>
      </c>
      <c r="P120" s="139" t="s">
        <v>61</v>
      </c>
      <c r="Q120" s="142" t="s">
        <v>579</v>
      </c>
      <c r="R120" s="292">
        <v>320203700</v>
      </c>
      <c r="S120" s="142" t="s">
        <v>580</v>
      </c>
      <c r="T120" s="299" t="s">
        <v>157</v>
      </c>
      <c r="U120" s="145">
        <v>60</v>
      </c>
      <c r="V120" s="145"/>
      <c r="W120" s="145">
        <f t="shared" si="14"/>
        <v>60</v>
      </c>
      <c r="X120" s="145">
        <v>7.8</v>
      </c>
      <c r="Y120" s="146">
        <v>2020003630086</v>
      </c>
      <c r="Z120" s="134" t="s">
        <v>576</v>
      </c>
      <c r="AA120" s="140" t="s">
        <v>577</v>
      </c>
      <c r="AB120" s="130"/>
      <c r="AC120" s="130"/>
      <c r="AD120" s="130"/>
      <c r="AE120" s="130"/>
      <c r="AF120" s="130"/>
      <c r="AG120" s="130"/>
      <c r="AH120" s="130"/>
      <c r="AI120" s="130"/>
      <c r="AJ120" s="130"/>
      <c r="AK120" s="130"/>
      <c r="AL120" s="130"/>
      <c r="AM120" s="130"/>
      <c r="AN120" s="130"/>
      <c r="AO120" s="130"/>
      <c r="AP120" s="130"/>
      <c r="AQ120" s="130"/>
      <c r="AR120" s="130"/>
      <c r="AS120" s="130"/>
      <c r="AT120" s="138">
        <f>667344905+989507091</f>
        <v>1656851996</v>
      </c>
      <c r="AU120" s="138">
        <v>134000000</v>
      </c>
      <c r="AV120" s="138">
        <v>31150000</v>
      </c>
      <c r="AW120" s="148"/>
      <c r="AX120" s="148"/>
      <c r="AY120" s="148"/>
      <c r="AZ120" s="148"/>
      <c r="BA120" s="148"/>
      <c r="BB120" s="148"/>
      <c r="BC120" s="148"/>
      <c r="BD120" s="148"/>
      <c r="BE120" s="148"/>
      <c r="BF120" s="138">
        <f t="shared" si="9"/>
        <v>1656851996</v>
      </c>
      <c r="BG120" s="138">
        <f t="shared" si="10"/>
        <v>134000000</v>
      </c>
      <c r="BH120" s="138">
        <f t="shared" si="11"/>
        <v>31150000</v>
      </c>
      <c r="BI120" s="298" t="s">
        <v>9</v>
      </c>
    </row>
    <row r="121" spans="1:61" s="151" customFormat="1" ht="145.5" customHeight="1">
      <c r="A121" s="139">
        <v>312</v>
      </c>
      <c r="B121" s="140" t="s">
        <v>462</v>
      </c>
      <c r="C121" s="139">
        <v>3</v>
      </c>
      <c r="D121" s="140" t="s">
        <v>211</v>
      </c>
      <c r="E121" s="139">
        <v>32</v>
      </c>
      <c r="F121" s="140" t="s">
        <v>226</v>
      </c>
      <c r="G121" s="139">
        <v>3202</v>
      </c>
      <c r="H121" s="140" t="s">
        <v>571</v>
      </c>
      <c r="I121" s="139">
        <v>3202</v>
      </c>
      <c r="J121" s="140" t="s">
        <v>572</v>
      </c>
      <c r="K121" s="140" t="s">
        <v>229</v>
      </c>
      <c r="L121" s="139">
        <v>3202017</v>
      </c>
      <c r="M121" s="140" t="s">
        <v>581</v>
      </c>
      <c r="N121" s="137">
        <v>3202043</v>
      </c>
      <c r="O121" s="140" t="s">
        <v>582</v>
      </c>
      <c r="P121" s="139" t="s">
        <v>583</v>
      </c>
      <c r="Q121" s="142" t="s">
        <v>584</v>
      </c>
      <c r="R121" s="132">
        <v>320204300</v>
      </c>
      <c r="S121" s="142" t="s">
        <v>585</v>
      </c>
      <c r="T121" s="145" t="s">
        <v>69</v>
      </c>
      <c r="U121" s="309">
        <v>1</v>
      </c>
      <c r="V121" s="309"/>
      <c r="W121" s="145">
        <f t="shared" si="14"/>
        <v>1</v>
      </c>
      <c r="X121" s="145">
        <v>0.05</v>
      </c>
      <c r="Y121" s="146">
        <v>2020003630086</v>
      </c>
      <c r="Z121" s="134" t="s">
        <v>576</v>
      </c>
      <c r="AA121" s="140" t="s">
        <v>577</v>
      </c>
      <c r="AB121" s="130"/>
      <c r="AC121" s="130"/>
      <c r="AD121" s="130"/>
      <c r="AE121" s="130"/>
      <c r="AF121" s="130"/>
      <c r="AG121" s="130"/>
      <c r="AH121" s="130"/>
      <c r="AI121" s="130"/>
      <c r="AJ121" s="130"/>
      <c r="AK121" s="130"/>
      <c r="AL121" s="130"/>
      <c r="AM121" s="130"/>
      <c r="AN121" s="130"/>
      <c r="AO121" s="130"/>
      <c r="AP121" s="130"/>
      <c r="AQ121" s="130"/>
      <c r="AR121" s="130"/>
      <c r="AS121" s="130"/>
      <c r="AT121" s="138">
        <f>286004959+329835697</f>
        <v>615840656</v>
      </c>
      <c r="AU121" s="138">
        <v>20150000</v>
      </c>
      <c r="AV121" s="138">
        <v>8850000</v>
      </c>
      <c r="AW121" s="148"/>
      <c r="AX121" s="148"/>
      <c r="AY121" s="148"/>
      <c r="AZ121" s="148"/>
      <c r="BA121" s="148"/>
      <c r="BB121" s="148"/>
      <c r="BC121" s="148"/>
      <c r="BD121" s="148"/>
      <c r="BE121" s="148"/>
      <c r="BF121" s="138">
        <f t="shared" si="9"/>
        <v>615840656</v>
      </c>
      <c r="BG121" s="138">
        <f t="shared" si="10"/>
        <v>20150000</v>
      </c>
      <c r="BH121" s="138">
        <f t="shared" si="11"/>
        <v>8850000</v>
      </c>
      <c r="BI121" s="298" t="s">
        <v>9</v>
      </c>
    </row>
    <row r="122" spans="1:61" s="151" customFormat="1" ht="112.5" customHeight="1">
      <c r="A122" s="139">
        <v>312</v>
      </c>
      <c r="B122" s="140" t="s">
        <v>462</v>
      </c>
      <c r="C122" s="139">
        <v>3</v>
      </c>
      <c r="D122" s="140" t="s">
        <v>211</v>
      </c>
      <c r="E122" s="139">
        <v>32</v>
      </c>
      <c r="F122" s="140" t="s">
        <v>226</v>
      </c>
      <c r="G122" s="139">
        <v>3202</v>
      </c>
      <c r="H122" s="140" t="s">
        <v>571</v>
      </c>
      <c r="I122" s="139">
        <v>3202</v>
      </c>
      <c r="J122" s="140" t="s">
        <v>572</v>
      </c>
      <c r="K122" s="140" t="s">
        <v>229</v>
      </c>
      <c r="L122" s="139" t="s">
        <v>61</v>
      </c>
      <c r="M122" s="140" t="s">
        <v>586</v>
      </c>
      <c r="N122" s="137">
        <v>3202014</v>
      </c>
      <c r="O122" s="140" t="s">
        <v>587</v>
      </c>
      <c r="P122" s="139" t="s">
        <v>61</v>
      </c>
      <c r="Q122" s="142" t="s">
        <v>588</v>
      </c>
      <c r="R122" s="132">
        <v>320201402</v>
      </c>
      <c r="S122" s="142" t="s">
        <v>589</v>
      </c>
      <c r="T122" s="145" t="s">
        <v>69</v>
      </c>
      <c r="U122" s="309">
        <v>1</v>
      </c>
      <c r="V122" s="309"/>
      <c r="W122" s="145">
        <f t="shared" si="14"/>
        <v>1</v>
      </c>
      <c r="X122" s="145">
        <v>0.1</v>
      </c>
      <c r="Y122" s="146">
        <v>2020003630028</v>
      </c>
      <c r="Z122" s="134" t="s">
        <v>590</v>
      </c>
      <c r="AA122" s="140" t="s">
        <v>591</v>
      </c>
      <c r="AB122" s="130"/>
      <c r="AC122" s="130"/>
      <c r="AD122" s="130"/>
      <c r="AE122" s="130"/>
      <c r="AF122" s="130"/>
      <c r="AG122" s="130"/>
      <c r="AH122" s="130"/>
      <c r="AI122" s="130"/>
      <c r="AJ122" s="130"/>
      <c r="AK122" s="130"/>
      <c r="AL122" s="130"/>
      <c r="AM122" s="130"/>
      <c r="AN122" s="130"/>
      <c r="AO122" s="130"/>
      <c r="AP122" s="130"/>
      <c r="AQ122" s="130"/>
      <c r="AR122" s="130"/>
      <c r="AS122" s="130"/>
      <c r="AT122" s="148">
        <f>36000000+12000000</f>
        <v>48000000</v>
      </c>
      <c r="AU122" s="148">
        <v>13850000</v>
      </c>
      <c r="AV122" s="148">
        <v>4350000</v>
      </c>
      <c r="AW122" s="148"/>
      <c r="AX122" s="148"/>
      <c r="AY122" s="148"/>
      <c r="AZ122" s="148"/>
      <c r="BA122" s="148"/>
      <c r="BB122" s="148"/>
      <c r="BC122" s="148"/>
      <c r="BD122" s="148"/>
      <c r="BE122" s="148"/>
      <c r="BF122" s="138">
        <f t="shared" si="9"/>
        <v>48000000</v>
      </c>
      <c r="BG122" s="138">
        <f t="shared" si="10"/>
        <v>13850000</v>
      </c>
      <c r="BH122" s="138">
        <f t="shared" si="11"/>
        <v>4350000</v>
      </c>
      <c r="BI122" s="298" t="s">
        <v>9</v>
      </c>
    </row>
    <row r="123" spans="1:61" s="151" customFormat="1" ht="112.5" customHeight="1">
      <c r="A123" s="139">
        <v>312</v>
      </c>
      <c r="B123" s="140" t="s">
        <v>462</v>
      </c>
      <c r="C123" s="139">
        <v>3</v>
      </c>
      <c r="D123" s="140" t="s">
        <v>211</v>
      </c>
      <c r="E123" s="139">
        <v>32</v>
      </c>
      <c r="F123" s="140" t="s">
        <v>226</v>
      </c>
      <c r="G123" s="139">
        <v>3202</v>
      </c>
      <c r="H123" s="140" t="s">
        <v>571</v>
      </c>
      <c r="I123" s="139">
        <v>3202</v>
      </c>
      <c r="J123" s="140" t="s">
        <v>572</v>
      </c>
      <c r="K123" s="140" t="s">
        <v>229</v>
      </c>
      <c r="L123" s="139" t="s">
        <v>61</v>
      </c>
      <c r="M123" s="140" t="s">
        <v>592</v>
      </c>
      <c r="N123" s="139">
        <v>3202014</v>
      </c>
      <c r="O123" s="140" t="s">
        <v>587</v>
      </c>
      <c r="P123" s="139" t="s">
        <v>61</v>
      </c>
      <c r="Q123" s="142" t="s">
        <v>593</v>
      </c>
      <c r="R123" s="139">
        <v>320201402</v>
      </c>
      <c r="S123" s="142" t="s">
        <v>589</v>
      </c>
      <c r="T123" s="299" t="s">
        <v>157</v>
      </c>
      <c r="U123" s="309">
        <v>1</v>
      </c>
      <c r="V123" s="309"/>
      <c r="W123" s="145">
        <f t="shared" si="14"/>
        <v>1</v>
      </c>
      <c r="X123" s="145">
        <v>0.1</v>
      </c>
      <c r="Y123" s="146">
        <v>2020003630087</v>
      </c>
      <c r="Z123" s="141" t="s">
        <v>594</v>
      </c>
      <c r="AA123" s="140" t="s">
        <v>595</v>
      </c>
      <c r="AB123" s="130"/>
      <c r="AC123" s="130"/>
      <c r="AD123" s="130"/>
      <c r="AE123" s="130"/>
      <c r="AF123" s="130"/>
      <c r="AG123" s="130"/>
      <c r="AH123" s="130"/>
      <c r="AI123" s="130"/>
      <c r="AJ123" s="130"/>
      <c r="AK123" s="130"/>
      <c r="AL123" s="130"/>
      <c r="AM123" s="130"/>
      <c r="AN123" s="130"/>
      <c r="AO123" s="130"/>
      <c r="AP123" s="130"/>
      <c r="AQ123" s="130"/>
      <c r="AR123" s="130"/>
      <c r="AS123" s="130"/>
      <c r="AT123" s="148">
        <f>54000000+21200000</f>
        <v>75200000</v>
      </c>
      <c r="AU123" s="148">
        <v>32250000</v>
      </c>
      <c r="AV123" s="148">
        <v>12050000</v>
      </c>
      <c r="AW123" s="148"/>
      <c r="AX123" s="148"/>
      <c r="AY123" s="148"/>
      <c r="AZ123" s="148"/>
      <c r="BA123" s="148"/>
      <c r="BB123" s="148"/>
      <c r="BC123" s="148"/>
      <c r="BD123" s="148"/>
      <c r="BE123" s="148"/>
      <c r="BF123" s="138">
        <f t="shared" si="9"/>
        <v>75200000</v>
      </c>
      <c r="BG123" s="138">
        <f t="shared" si="10"/>
        <v>32250000</v>
      </c>
      <c r="BH123" s="138">
        <f t="shared" si="11"/>
        <v>12050000</v>
      </c>
      <c r="BI123" s="298" t="s">
        <v>9</v>
      </c>
    </row>
    <row r="124" spans="1:61" s="151" customFormat="1" ht="98.25" customHeight="1">
      <c r="A124" s="139">
        <v>312</v>
      </c>
      <c r="B124" s="140" t="s">
        <v>462</v>
      </c>
      <c r="C124" s="139">
        <v>3</v>
      </c>
      <c r="D124" s="140" t="s">
        <v>211</v>
      </c>
      <c r="E124" s="139">
        <v>32</v>
      </c>
      <c r="F124" s="140" t="s">
        <v>226</v>
      </c>
      <c r="G124" s="139" t="s">
        <v>596</v>
      </c>
      <c r="H124" s="140" t="s">
        <v>597</v>
      </c>
      <c r="I124" s="139" t="s">
        <v>596</v>
      </c>
      <c r="J124" s="140" t="s">
        <v>598</v>
      </c>
      <c r="K124" s="140" t="s">
        <v>229</v>
      </c>
      <c r="L124" s="137">
        <v>3204012</v>
      </c>
      <c r="M124" s="140" t="s">
        <v>599</v>
      </c>
      <c r="N124" s="137">
        <v>3204012</v>
      </c>
      <c r="O124" s="140" t="s">
        <v>599</v>
      </c>
      <c r="P124" s="132" t="s">
        <v>600</v>
      </c>
      <c r="Q124" s="142" t="s">
        <v>601</v>
      </c>
      <c r="R124" s="132" t="s">
        <v>600</v>
      </c>
      <c r="S124" s="142" t="s">
        <v>601</v>
      </c>
      <c r="T124" s="299" t="s">
        <v>157</v>
      </c>
      <c r="U124" s="145">
        <v>5</v>
      </c>
      <c r="V124" s="145"/>
      <c r="W124" s="145">
        <f t="shared" si="14"/>
        <v>5</v>
      </c>
      <c r="X124" s="145">
        <v>5</v>
      </c>
      <c r="Y124" s="146">
        <v>2020003630029</v>
      </c>
      <c r="Z124" s="134" t="s">
        <v>602</v>
      </c>
      <c r="AA124" s="140" t="s">
        <v>603</v>
      </c>
      <c r="AB124" s="130"/>
      <c r="AC124" s="130"/>
      <c r="AD124" s="130"/>
      <c r="AE124" s="130"/>
      <c r="AF124" s="130"/>
      <c r="AG124" s="130"/>
      <c r="AH124" s="130"/>
      <c r="AI124" s="130"/>
      <c r="AJ124" s="130"/>
      <c r="AK124" s="130"/>
      <c r="AL124" s="130"/>
      <c r="AM124" s="130"/>
      <c r="AN124" s="130"/>
      <c r="AO124" s="130"/>
      <c r="AP124" s="130"/>
      <c r="AQ124" s="130"/>
      <c r="AR124" s="130"/>
      <c r="AS124" s="130"/>
      <c r="AT124" s="148">
        <f>120000000+48000000</f>
        <v>168000000</v>
      </c>
      <c r="AU124" s="148">
        <v>16900000</v>
      </c>
      <c r="AV124" s="148">
        <v>7200000</v>
      </c>
      <c r="AW124" s="148"/>
      <c r="AX124" s="148"/>
      <c r="AY124" s="148"/>
      <c r="AZ124" s="148"/>
      <c r="BA124" s="148"/>
      <c r="BB124" s="148"/>
      <c r="BC124" s="148"/>
      <c r="BD124" s="148"/>
      <c r="BE124" s="148"/>
      <c r="BF124" s="138">
        <f t="shared" si="9"/>
        <v>168000000</v>
      </c>
      <c r="BG124" s="138">
        <f t="shared" si="10"/>
        <v>16900000</v>
      </c>
      <c r="BH124" s="138">
        <f t="shared" si="11"/>
        <v>7200000</v>
      </c>
      <c r="BI124" s="298" t="s">
        <v>9</v>
      </c>
    </row>
    <row r="125" spans="1:61" s="151" customFormat="1" ht="108.75" customHeight="1">
      <c r="A125" s="139">
        <v>312</v>
      </c>
      <c r="B125" s="140" t="s">
        <v>462</v>
      </c>
      <c r="C125" s="139">
        <v>3</v>
      </c>
      <c r="D125" s="140" t="s">
        <v>211</v>
      </c>
      <c r="E125" s="139">
        <v>32</v>
      </c>
      <c r="F125" s="140" t="s">
        <v>226</v>
      </c>
      <c r="G125" s="139">
        <v>3205</v>
      </c>
      <c r="H125" s="140" t="s">
        <v>227</v>
      </c>
      <c r="I125" s="139">
        <v>3205</v>
      </c>
      <c r="J125" s="140" t="s">
        <v>228</v>
      </c>
      <c r="K125" s="140" t="s">
        <v>229</v>
      </c>
      <c r="L125" s="137" t="s">
        <v>604</v>
      </c>
      <c r="M125" s="140" t="s">
        <v>605</v>
      </c>
      <c r="N125" s="137" t="s">
        <v>604</v>
      </c>
      <c r="O125" s="140" t="s">
        <v>605</v>
      </c>
      <c r="P125" s="139" t="s">
        <v>606</v>
      </c>
      <c r="Q125" s="141" t="s">
        <v>607</v>
      </c>
      <c r="R125" s="139" t="s">
        <v>606</v>
      </c>
      <c r="S125" s="142" t="s">
        <v>607</v>
      </c>
      <c r="T125" s="299" t="s">
        <v>157</v>
      </c>
      <c r="U125" s="145">
        <v>300</v>
      </c>
      <c r="V125" s="145"/>
      <c r="W125" s="145">
        <f t="shared" si="14"/>
        <v>300</v>
      </c>
      <c r="X125" s="145">
        <v>0</v>
      </c>
      <c r="Y125" s="146">
        <v>2020003630030</v>
      </c>
      <c r="Z125" s="134" t="s">
        <v>608</v>
      </c>
      <c r="AA125" s="140" t="s">
        <v>609</v>
      </c>
      <c r="AB125" s="294"/>
      <c r="AC125" s="294"/>
      <c r="AD125" s="294"/>
      <c r="AE125" s="130"/>
      <c r="AF125" s="130"/>
      <c r="AG125" s="130"/>
      <c r="AH125" s="130"/>
      <c r="AI125" s="130"/>
      <c r="AJ125" s="130"/>
      <c r="AK125" s="130"/>
      <c r="AL125" s="130"/>
      <c r="AM125" s="130"/>
      <c r="AN125" s="130"/>
      <c r="AO125" s="130"/>
      <c r="AP125" s="130"/>
      <c r="AQ125" s="130"/>
      <c r="AR125" s="130"/>
      <c r="AS125" s="130"/>
      <c r="AT125" s="148">
        <v>20000000</v>
      </c>
      <c r="AU125" s="148"/>
      <c r="AV125" s="148"/>
      <c r="AW125" s="148"/>
      <c r="AX125" s="148"/>
      <c r="AY125" s="148"/>
      <c r="AZ125" s="148"/>
      <c r="BA125" s="148"/>
      <c r="BB125" s="148"/>
      <c r="BC125" s="148"/>
      <c r="BD125" s="148"/>
      <c r="BE125" s="148"/>
      <c r="BF125" s="138">
        <f t="shared" si="9"/>
        <v>20000000</v>
      </c>
      <c r="BG125" s="138">
        <f t="shared" si="10"/>
        <v>0</v>
      </c>
      <c r="BH125" s="138">
        <f t="shared" si="11"/>
        <v>0</v>
      </c>
      <c r="BI125" s="298" t="s">
        <v>9</v>
      </c>
    </row>
    <row r="126" spans="1:61" s="151" customFormat="1" ht="108.75" customHeight="1">
      <c r="A126" s="139">
        <v>312</v>
      </c>
      <c r="B126" s="140" t="s">
        <v>462</v>
      </c>
      <c r="C126" s="139">
        <v>3</v>
      </c>
      <c r="D126" s="140" t="s">
        <v>211</v>
      </c>
      <c r="E126" s="139">
        <v>32</v>
      </c>
      <c r="F126" s="140" t="s">
        <v>226</v>
      </c>
      <c r="G126" s="139">
        <v>3205</v>
      </c>
      <c r="H126" s="140" t="s">
        <v>227</v>
      </c>
      <c r="I126" s="139">
        <v>3205</v>
      </c>
      <c r="J126" s="140" t="s">
        <v>228</v>
      </c>
      <c r="K126" s="140" t="s">
        <v>229</v>
      </c>
      <c r="L126" s="137" t="s">
        <v>610</v>
      </c>
      <c r="M126" s="140" t="s">
        <v>611</v>
      </c>
      <c r="N126" s="137" t="s">
        <v>610</v>
      </c>
      <c r="O126" s="140" t="s">
        <v>611</v>
      </c>
      <c r="P126" s="139" t="s">
        <v>612</v>
      </c>
      <c r="Q126" s="141" t="s">
        <v>613</v>
      </c>
      <c r="R126" s="139" t="s">
        <v>612</v>
      </c>
      <c r="S126" s="142" t="s">
        <v>613</v>
      </c>
      <c r="T126" s="299" t="s">
        <v>157</v>
      </c>
      <c r="U126" s="145">
        <v>20</v>
      </c>
      <c r="V126" s="145"/>
      <c r="W126" s="145">
        <f t="shared" si="14"/>
        <v>20</v>
      </c>
      <c r="X126" s="145">
        <v>0</v>
      </c>
      <c r="Y126" s="146">
        <v>2020003630030</v>
      </c>
      <c r="Z126" s="134" t="s">
        <v>608</v>
      </c>
      <c r="AA126" s="140" t="s">
        <v>609</v>
      </c>
      <c r="AB126" s="294"/>
      <c r="AC126" s="294"/>
      <c r="AD126" s="294"/>
      <c r="AE126" s="130"/>
      <c r="AF126" s="130"/>
      <c r="AG126" s="130"/>
      <c r="AH126" s="130"/>
      <c r="AI126" s="130"/>
      <c r="AJ126" s="130"/>
      <c r="AK126" s="130"/>
      <c r="AL126" s="130"/>
      <c r="AM126" s="130"/>
      <c r="AN126" s="130"/>
      <c r="AO126" s="130"/>
      <c r="AP126" s="130"/>
      <c r="AQ126" s="130"/>
      <c r="AR126" s="130"/>
      <c r="AS126" s="130"/>
      <c r="AT126" s="148">
        <v>20000000</v>
      </c>
      <c r="AU126" s="148">
        <v>2450000</v>
      </c>
      <c r="AV126" s="148"/>
      <c r="AW126" s="148"/>
      <c r="AX126" s="148"/>
      <c r="AY126" s="148"/>
      <c r="AZ126" s="148"/>
      <c r="BA126" s="148"/>
      <c r="BB126" s="148"/>
      <c r="BC126" s="148"/>
      <c r="BD126" s="148"/>
      <c r="BE126" s="148"/>
      <c r="BF126" s="138">
        <f t="shared" si="9"/>
        <v>20000000</v>
      </c>
      <c r="BG126" s="138">
        <f t="shared" si="10"/>
        <v>2450000</v>
      </c>
      <c r="BH126" s="138">
        <f t="shared" si="11"/>
        <v>0</v>
      </c>
      <c r="BI126" s="298" t="s">
        <v>9</v>
      </c>
    </row>
    <row r="127" spans="1:61" s="151" customFormat="1" ht="108.75" customHeight="1">
      <c r="A127" s="139">
        <v>312</v>
      </c>
      <c r="B127" s="140" t="s">
        <v>462</v>
      </c>
      <c r="C127" s="139">
        <v>3</v>
      </c>
      <c r="D127" s="140" t="s">
        <v>211</v>
      </c>
      <c r="E127" s="139">
        <v>32</v>
      </c>
      <c r="F127" s="140" t="s">
        <v>226</v>
      </c>
      <c r="G127" s="139">
        <v>3205</v>
      </c>
      <c r="H127" s="140" t="s">
        <v>227</v>
      </c>
      <c r="I127" s="139">
        <v>3205</v>
      </c>
      <c r="J127" s="140" t="s">
        <v>228</v>
      </c>
      <c r="K127" s="140" t="s">
        <v>229</v>
      </c>
      <c r="L127" s="137">
        <v>3205010</v>
      </c>
      <c r="M127" s="140" t="s">
        <v>230</v>
      </c>
      <c r="N127" s="137">
        <v>3205010</v>
      </c>
      <c r="O127" s="140" t="s">
        <v>230</v>
      </c>
      <c r="P127" s="139" t="s">
        <v>231</v>
      </c>
      <c r="Q127" s="141" t="s">
        <v>232</v>
      </c>
      <c r="R127" s="139">
        <v>320501000</v>
      </c>
      <c r="S127" s="142" t="s">
        <v>232</v>
      </c>
      <c r="T127" s="299" t="s">
        <v>157</v>
      </c>
      <c r="U127" s="145">
        <v>1</v>
      </c>
      <c r="V127" s="145">
        <v>1</v>
      </c>
      <c r="W127" s="145">
        <f t="shared" si="14"/>
        <v>2</v>
      </c>
      <c r="X127" s="145">
        <v>0</v>
      </c>
      <c r="Y127" s="146">
        <v>2020003630030</v>
      </c>
      <c r="Z127" s="134" t="s">
        <v>608</v>
      </c>
      <c r="AA127" s="140" t="s">
        <v>609</v>
      </c>
      <c r="AB127" s="294"/>
      <c r="AC127" s="294"/>
      <c r="AD127" s="294"/>
      <c r="AE127" s="130"/>
      <c r="AF127" s="130"/>
      <c r="AG127" s="130"/>
      <c r="AH127" s="130"/>
      <c r="AI127" s="130"/>
      <c r="AJ127" s="130"/>
      <c r="AK127" s="130"/>
      <c r="AL127" s="130"/>
      <c r="AM127" s="130"/>
      <c r="AN127" s="130"/>
      <c r="AO127" s="130"/>
      <c r="AP127" s="130"/>
      <c r="AQ127" s="130"/>
      <c r="AR127" s="130"/>
      <c r="AS127" s="130"/>
      <c r="AT127" s="148">
        <v>42000000</v>
      </c>
      <c r="AU127" s="148"/>
      <c r="AV127" s="148"/>
      <c r="AW127" s="148"/>
      <c r="AX127" s="148"/>
      <c r="AY127" s="148"/>
      <c r="AZ127" s="148"/>
      <c r="BA127" s="148"/>
      <c r="BB127" s="148"/>
      <c r="BC127" s="148"/>
      <c r="BD127" s="148"/>
      <c r="BE127" s="148"/>
      <c r="BF127" s="138">
        <f t="shared" si="9"/>
        <v>42000000</v>
      </c>
      <c r="BG127" s="138">
        <f t="shared" si="10"/>
        <v>0</v>
      </c>
      <c r="BH127" s="138">
        <f t="shared" si="11"/>
        <v>0</v>
      </c>
      <c r="BI127" s="298" t="s">
        <v>9</v>
      </c>
    </row>
    <row r="128" spans="1:61" s="151" customFormat="1" ht="108.75" customHeight="1">
      <c r="A128" s="139">
        <v>312</v>
      </c>
      <c r="B128" s="140" t="s">
        <v>462</v>
      </c>
      <c r="C128" s="139">
        <v>3</v>
      </c>
      <c r="D128" s="140" t="s">
        <v>211</v>
      </c>
      <c r="E128" s="139">
        <v>32</v>
      </c>
      <c r="F128" s="140" t="s">
        <v>226</v>
      </c>
      <c r="G128" s="139" t="s">
        <v>614</v>
      </c>
      <c r="H128" s="140" t="s">
        <v>615</v>
      </c>
      <c r="I128" s="139" t="s">
        <v>614</v>
      </c>
      <c r="J128" s="140" t="s">
        <v>616</v>
      </c>
      <c r="K128" s="140" t="s">
        <v>229</v>
      </c>
      <c r="L128" s="137" t="s">
        <v>617</v>
      </c>
      <c r="M128" s="140" t="s">
        <v>618</v>
      </c>
      <c r="N128" s="137" t="s">
        <v>617</v>
      </c>
      <c r="O128" s="140" t="s">
        <v>618</v>
      </c>
      <c r="P128" s="132" t="s">
        <v>619</v>
      </c>
      <c r="Q128" s="142" t="s">
        <v>620</v>
      </c>
      <c r="R128" s="132" t="s">
        <v>619</v>
      </c>
      <c r="S128" s="142" t="s">
        <v>620</v>
      </c>
      <c r="T128" s="299" t="s">
        <v>157</v>
      </c>
      <c r="U128" s="145">
        <v>4</v>
      </c>
      <c r="V128" s="145"/>
      <c r="W128" s="145">
        <f t="shared" si="14"/>
        <v>4</v>
      </c>
      <c r="X128" s="145">
        <v>0</v>
      </c>
      <c r="Y128" s="146">
        <v>2020003630088</v>
      </c>
      <c r="Z128" s="134" t="s">
        <v>621</v>
      </c>
      <c r="AA128" s="140" t="s">
        <v>622</v>
      </c>
      <c r="AB128" s="130"/>
      <c r="AC128" s="130"/>
      <c r="AD128" s="130"/>
      <c r="AE128" s="130"/>
      <c r="AF128" s="130"/>
      <c r="AG128" s="130"/>
      <c r="AH128" s="130"/>
      <c r="AI128" s="130"/>
      <c r="AJ128" s="130"/>
      <c r="AK128" s="130"/>
      <c r="AL128" s="130"/>
      <c r="AM128" s="130"/>
      <c r="AN128" s="130"/>
      <c r="AO128" s="130"/>
      <c r="AP128" s="130"/>
      <c r="AQ128" s="130"/>
      <c r="AR128" s="130"/>
      <c r="AS128" s="130"/>
      <c r="AT128" s="148">
        <f>25000000+7500000</f>
        <v>32500000</v>
      </c>
      <c r="AU128" s="148">
        <v>6300000</v>
      </c>
      <c r="AV128" s="148"/>
      <c r="AW128" s="148"/>
      <c r="AX128" s="148"/>
      <c r="AY128" s="148"/>
      <c r="AZ128" s="148"/>
      <c r="BA128" s="148"/>
      <c r="BB128" s="148"/>
      <c r="BC128" s="148"/>
      <c r="BD128" s="148"/>
      <c r="BE128" s="148"/>
      <c r="BF128" s="138">
        <f t="shared" si="9"/>
        <v>32500000</v>
      </c>
      <c r="BG128" s="138">
        <f t="shared" si="10"/>
        <v>6300000</v>
      </c>
      <c r="BH128" s="138">
        <f t="shared" si="11"/>
        <v>0</v>
      </c>
      <c r="BI128" s="298" t="s">
        <v>9</v>
      </c>
    </row>
    <row r="129" spans="1:61" s="151" customFormat="1" ht="108.75" customHeight="1">
      <c r="A129" s="139">
        <v>312</v>
      </c>
      <c r="B129" s="140" t="s">
        <v>462</v>
      </c>
      <c r="C129" s="139">
        <v>3</v>
      </c>
      <c r="D129" s="140" t="s">
        <v>211</v>
      </c>
      <c r="E129" s="139">
        <v>32</v>
      </c>
      <c r="F129" s="140" t="s">
        <v>226</v>
      </c>
      <c r="G129" s="139" t="s">
        <v>614</v>
      </c>
      <c r="H129" s="140" t="s">
        <v>615</v>
      </c>
      <c r="I129" s="139" t="s">
        <v>614</v>
      </c>
      <c r="J129" s="140" t="s">
        <v>616</v>
      </c>
      <c r="K129" s="140" t="s">
        <v>229</v>
      </c>
      <c r="L129" s="137">
        <v>3206014</v>
      </c>
      <c r="M129" s="140" t="s">
        <v>623</v>
      </c>
      <c r="N129" s="137">
        <v>3206014</v>
      </c>
      <c r="O129" s="140" t="s">
        <v>623</v>
      </c>
      <c r="P129" s="132" t="s">
        <v>624</v>
      </c>
      <c r="Q129" s="142" t="s">
        <v>625</v>
      </c>
      <c r="R129" s="132" t="s">
        <v>624</v>
      </c>
      <c r="S129" s="142" t="s">
        <v>625</v>
      </c>
      <c r="T129" s="299" t="s">
        <v>157</v>
      </c>
      <c r="U129" s="145">
        <v>2000</v>
      </c>
      <c r="V129" s="145"/>
      <c r="W129" s="145">
        <f t="shared" si="14"/>
        <v>2000</v>
      </c>
      <c r="X129" s="145">
        <v>1000</v>
      </c>
      <c r="Y129" s="146">
        <v>2020003630088</v>
      </c>
      <c r="Z129" s="134" t="s">
        <v>621</v>
      </c>
      <c r="AA129" s="140" t="s">
        <v>622</v>
      </c>
      <c r="AB129" s="130"/>
      <c r="AC129" s="130"/>
      <c r="AD129" s="130"/>
      <c r="AE129" s="130"/>
      <c r="AF129" s="130"/>
      <c r="AG129" s="130"/>
      <c r="AH129" s="130"/>
      <c r="AI129" s="130"/>
      <c r="AJ129" s="130"/>
      <c r="AK129" s="130"/>
      <c r="AL129" s="130"/>
      <c r="AM129" s="130"/>
      <c r="AN129" s="130"/>
      <c r="AO129" s="130"/>
      <c r="AP129" s="130"/>
      <c r="AQ129" s="130"/>
      <c r="AR129" s="130"/>
      <c r="AS129" s="130"/>
      <c r="AT129" s="148">
        <v>18000000</v>
      </c>
      <c r="AU129" s="148">
        <v>5900000</v>
      </c>
      <c r="AV129" s="148">
        <v>3200000</v>
      </c>
      <c r="AW129" s="148"/>
      <c r="AX129" s="148"/>
      <c r="AY129" s="148"/>
      <c r="AZ129" s="148"/>
      <c r="BA129" s="148"/>
      <c r="BB129" s="148"/>
      <c r="BC129" s="148"/>
      <c r="BD129" s="148"/>
      <c r="BE129" s="148"/>
      <c r="BF129" s="138">
        <f t="shared" si="9"/>
        <v>18000000</v>
      </c>
      <c r="BG129" s="138">
        <f t="shared" si="10"/>
        <v>5900000</v>
      </c>
      <c r="BH129" s="138">
        <f t="shared" si="11"/>
        <v>3200000</v>
      </c>
      <c r="BI129" s="298" t="s">
        <v>9</v>
      </c>
    </row>
    <row r="130" spans="1:61" s="151" customFormat="1" ht="108.75" customHeight="1">
      <c r="A130" s="139">
        <v>312</v>
      </c>
      <c r="B130" s="140" t="s">
        <v>462</v>
      </c>
      <c r="C130" s="139">
        <v>3</v>
      </c>
      <c r="D130" s="140" t="s">
        <v>211</v>
      </c>
      <c r="E130" s="139">
        <v>32</v>
      </c>
      <c r="F130" s="140" t="s">
        <v>226</v>
      </c>
      <c r="G130" s="139" t="s">
        <v>614</v>
      </c>
      <c r="H130" s="140" t="s">
        <v>615</v>
      </c>
      <c r="I130" s="139" t="s">
        <v>614</v>
      </c>
      <c r="J130" s="140" t="s">
        <v>616</v>
      </c>
      <c r="K130" s="140" t="s">
        <v>229</v>
      </c>
      <c r="L130" s="137" t="s">
        <v>626</v>
      </c>
      <c r="M130" s="140" t="s">
        <v>627</v>
      </c>
      <c r="N130" s="137" t="s">
        <v>626</v>
      </c>
      <c r="O130" s="140" t="s">
        <v>627</v>
      </c>
      <c r="P130" s="132" t="s">
        <v>628</v>
      </c>
      <c r="Q130" s="142" t="s">
        <v>629</v>
      </c>
      <c r="R130" s="132" t="s">
        <v>628</v>
      </c>
      <c r="S130" s="142" t="s">
        <v>629</v>
      </c>
      <c r="T130" s="299" t="s">
        <v>157</v>
      </c>
      <c r="U130" s="145">
        <v>50</v>
      </c>
      <c r="V130" s="145"/>
      <c r="W130" s="145">
        <f t="shared" si="14"/>
        <v>50</v>
      </c>
      <c r="X130" s="145">
        <v>0</v>
      </c>
      <c r="Y130" s="146">
        <v>2020003630088</v>
      </c>
      <c r="Z130" s="134" t="s">
        <v>621</v>
      </c>
      <c r="AA130" s="140" t="s">
        <v>622</v>
      </c>
      <c r="AB130" s="130"/>
      <c r="AC130" s="130"/>
      <c r="AD130" s="130"/>
      <c r="AE130" s="130"/>
      <c r="AF130" s="130"/>
      <c r="AG130" s="130"/>
      <c r="AH130" s="130"/>
      <c r="AI130" s="130"/>
      <c r="AJ130" s="130"/>
      <c r="AK130" s="130"/>
      <c r="AL130" s="130"/>
      <c r="AM130" s="130"/>
      <c r="AN130" s="130"/>
      <c r="AO130" s="130"/>
      <c r="AP130" s="130"/>
      <c r="AQ130" s="130"/>
      <c r="AR130" s="130"/>
      <c r="AS130" s="130"/>
      <c r="AT130" s="148">
        <v>75000000</v>
      </c>
      <c r="AU130" s="148"/>
      <c r="AV130" s="148"/>
      <c r="AW130" s="148"/>
      <c r="AX130" s="148"/>
      <c r="AY130" s="148"/>
      <c r="AZ130" s="148"/>
      <c r="BA130" s="148"/>
      <c r="BB130" s="148"/>
      <c r="BC130" s="148"/>
      <c r="BD130" s="148"/>
      <c r="BE130" s="148"/>
      <c r="BF130" s="138">
        <f t="shared" si="9"/>
        <v>75000000</v>
      </c>
      <c r="BG130" s="138">
        <f t="shared" si="10"/>
        <v>0</v>
      </c>
      <c r="BH130" s="138">
        <f t="shared" si="11"/>
        <v>0</v>
      </c>
      <c r="BI130" s="298" t="s">
        <v>9</v>
      </c>
    </row>
    <row r="131" spans="1:61" s="151" customFormat="1" ht="108.75" customHeight="1">
      <c r="A131" s="139">
        <v>313</v>
      </c>
      <c r="B131" s="140" t="s">
        <v>1423</v>
      </c>
      <c r="C131" s="139">
        <v>4</v>
      </c>
      <c r="D131" s="140" t="s">
        <v>59</v>
      </c>
      <c r="E131" s="139">
        <v>45</v>
      </c>
      <c r="F131" s="140" t="s">
        <v>60</v>
      </c>
      <c r="G131" s="139" t="s">
        <v>61</v>
      </c>
      <c r="H131" s="140" t="s">
        <v>62</v>
      </c>
      <c r="I131" s="139">
        <v>4599</v>
      </c>
      <c r="J131" s="140" t="s">
        <v>63</v>
      </c>
      <c r="K131" s="140" t="s">
        <v>64</v>
      </c>
      <c r="L131" s="139" t="s">
        <v>61</v>
      </c>
      <c r="M131" s="140" t="s">
        <v>630</v>
      </c>
      <c r="N131" s="139">
        <v>4599023</v>
      </c>
      <c r="O131" s="140" t="s">
        <v>131</v>
      </c>
      <c r="P131" s="139" t="s">
        <v>61</v>
      </c>
      <c r="Q131" s="142" t="s">
        <v>631</v>
      </c>
      <c r="R131" s="139">
        <v>459902304</v>
      </c>
      <c r="S131" s="142" t="s">
        <v>632</v>
      </c>
      <c r="T131" s="309" t="s">
        <v>69</v>
      </c>
      <c r="U131" s="309">
        <v>1</v>
      </c>
      <c r="V131" s="309"/>
      <c r="W131" s="309">
        <f>U131+V131</f>
        <v>1</v>
      </c>
      <c r="X131" s="310">
        <v>0.1</v>
      </c>
      <c r="Y131" s="278">
        <v>2021003630005</v>
      </c>
      <c r="Z131" s="140" t="s">
        <v>633</v>
      </c>
      <c r="AA131" s="140" t="s">
        <v>634</v>
      </c>
      <c r="AB131" s="130"/>
      <c r="AC131" s="130"/>
      <c r="AD131" s="130"/>
      <c r="AE131" s="130"/>
      <c r="AF131" s="130"/>
      <c r="AG131" s="130"/>
      <c r="AH131" s="130"/>
      <c r="AI131" s="130"/>
      <c r="AJ131" s="130"/>
      <c r="AK131" s="130"/>
      <c r="AL131" s="130"/>
      <c r="AM131" s="130"/>
      <c r="AN131" s="130"/>
      <c r="AO131" s="130"/>
      <c r="AP131" s="130"/>
      <c r="AQ131" s="130"/>
      <c r="AR131" s="130"/>
      <c r="AS131" s="130"/>
      <c r="AT131" s="135">
        <f>125243430+85000000+200000000</f>
        <v>410243430</v>
      </c>
      <c r="AU131" s="135">
        <v>141693430</v>
      </c>
      <c r="AV131" s="135">
        <v>59700000</v>
      </c>
      <c r="AW131" s="130"/>
      <c r="AX131" s="130"/>
      <c r="AY131" s="130"/>
      <c r="AZ131" s="130"/>
      <c r="BA131" s="130"/>
      <c r="BB131" s="130"/>
      <c r="BC131" s="130"/>
      <c r="BD131" s="130"/>
      <c r="BE131" s="130"/>
      <c r="BF131" s="138">
        <f t="shared" si="9"/>
        <v>410243430</v>
      </c>
      <c r="BG131" s="138">
        <f t="shared" si="10"/>
        <v>141693430</v>
      </c>
      <c r="BH131" s="138">
        <f t="shared" si="11"/>
        <v>59700000</v>
      </c>
      <c r="BI131" s="141" t="s">
        <v>1424</v>
      </c>
    </row>
    <row r="132" spans="1:61" s="150" customFormat="1" ht="108.75" customHeight="1">
      <c r="A132" s="139">
        <v>313</v>
      </c>
      <c r="B132" s="140" t="s">
        <v>1423</v>
      </c>
      <c r="C132" s="139">
        <v>4</v>
      </c>
      <c r="D132" s="140" t="s">
        <v>59</v>
      </c>
      <c r="E132" s="139">
        <v>45</v>
      </c>
      <c r="F132" s="140" t="s">
        <v>60</v>
      </c>
      <c r="G132" s="139" t="s">
        <v>61</v>
      </c>
      <c r="H132" s="140" t="s">
        <v>62</v>
      </c>
      <c r="I132" s="139">
        <v>4599</v>
      </c>
      <c r="J132" s="140" t="s">
        <v>63</v>
      </c>
      <c r="K132" s="140" t="s">
        <v>64</v>
      </c>
      <c r="L132" s="139" t="s">
        <v>61</v>
      </c>
      <c r="M132" s="140" t="s">
        <v>635</v>
      </c>
      <c r="N132" s="139">
        <v>4599029</v>
      </c>
      <c r="O132" s="140" t="s">
        <v>82</v>
      </c>
      <c r="P132" s="139" t="s">
        <v>61</v>
      </c>
      <c r="Q132" s="142" t="s">
        <v>636</v>
      </c>
      <c r="R132" s="292">
        <v>459902900</v>
      </c>
      <c r="S132" s="142" t="s">
        <v>84</v>
      </c>
      <c r="T132" s="309" t="s">
        <v>69</v>
      </c>
      <c r="U132" s="309">
        <v>1</v>
      </c>
      <c r="V132" s="309"/>
      <c r="W132" s="309">
        <f>U132+V132</f>
        <v>1</v>
      </c>
      <c r="X132" s="309">
        <v>0.06</v>
      </c>
      <c r="Y132" s="146">
        <v>2020003630090</v>
      </c>
      <c r="Z132" s="140" t="s">
        <v>637</v>
      </c>
      <c r="AA132" s="140" t="s">
        <v>638</v>
      </c>
      <c r="AB132" s="130"/>
      <c r="AC132" s="130"/>
      <c r="AD132" s="130"/>
      <c r="AE132" s="130"/>
      <c r="AF132" s="130"/>
      <c r="AG132" s="130"/>
      <c r="AH132" s="130"/>
      <c r="AI132" s="130"/>
      <c r="AJ132" s="130"/>
      <c r="AK132" s="130"/>
      <c r="AL132" s="130"/>
      <c r="AM132" s="130"/>
      <c r="AN132" s="130"/>
      <c r="AO132" s="130"/>
      <c r="AP132" s="130"/>
      <c r="AQ132" s="130"/>
      <c r="AR132" s="130"/>
      <c r="AS132" s="130"/>
      <c r="AT132" s="135">
        <f>300000000+620000000+270000000+513000000+340000000</f>
        <v>2043000000</v>
      </c>
      <c r="AU132" s="135">
        <v>374290000</v>
      </c>
      <c r="AV132" s="135">
        <v>124180000</v>
      </c>
      <c r="AW132" s="130"/>
      <c r="AX132" s="130"/>
      <c r="AY132" s="130"/>
      <c r="AZ132" s="130"/>
      <c r="BA132" s="130"/>
      <c r="BB132" s="130"/>
      <c r="BC132" s="130"/>
      <c r="BD132" s="130"/>
      <c r="BE132" s="130"/>
      <c r="BF132" s="138">
        <f t="shared" si="9"/>
        <v>2043000000</v>
      </c>
      <c r="BG132" s="138">
        <f t="shared" si="10"/>
        <v>374290000</v>
      </c>
      <c r="BH132" s="138">
        <f t="shared" si="11"/>
        <v>124180000</v>
      </c>
      <c r="BI132" s="141" t="s">
        <v>2</v>
      </c>
    </row>
    <row r="133" spans="1:61" s="151" customFormat="1" ht="108.75" customHeight="1">
      <c r="A133" s="139">
        <v>313</v>
      </c>
      <c r="B133" s="140" t="s">
        <v>1423</v>
      </c>
      <c r="C133" s="139">
        <v>4</v>
      </c>
      <c r="D133" s="140" t="s">
        <v>59</v>
      </c>
      <c r="E133" s="139">
        <v>45</v>
      </c>
      <c r="F133" s="140" t="s">
        <v>60</v>
      </c>
      <c r="G133" s="139">
        <v>4502</v>
      </c>
      <c r="H133" s="140" t="s">
        <v>78</v>
      </c>
      <c r="I133" s="139">
        <v>4502</v>
      </c>
      <c r="J133" s="140" t="s">
        <v>79</v>
      </c>
      <c r="K133" s="140" t="s">
        <v>80</v>
      </c>
      <c r="L133" s="139" t="s">
        <v>61</v>
      </c>
      <c r="M133" s="140" t="s">
        <v>639</v>
      </c>
      <c r="N133" s="139">
        <v>4502001</v>
      </c>
      <c r="O133" s="140" t="s">
        <v>90</v>
      </c>
      <c r="P133" s="139" t="s">
        <v>61</v>
      </c>
      <c r="Q133" s="142" t="s">
        <v>640</v>
      </c>
      <c r="R133" s="139">
        <v>450200100</v>
      </c>
      <c r="S133" s="142" t="s">
        <v>92</v>
      </c>
      <c r="T133" s="309" t="s">
        <v>69</v>
      </c>
      <c r="U133" s="145">
        <v>30</v>
      </c>
      <c r="V133" s="145"/>
      <c r="W133" s="309">
        <f>U133+V133</f>
        <v>30</v>
      </c>
      <c r="X133" s="309">
        <v>3</v>
      </c>
      <c r="Y133" s="146">
        <v>2020003630031</v>
      </c>
      <c r="Z133" s="140" t="s">
        <v>641</v>
      </c>
      <c r="AA133" s="140" t="s">
        <v>642</v>
      </c>
      <c r="AB133" s="280"/>
      <c r="AC133" s="280"/>
      <c r="AD133" s="280"/>
      <c r="AE133" s="280"/>
      <c r="AF133" s="280"/>
      <c r="AG133" s="280"/>
      <c r="AH133" s="280"/>
      <c r="AI133" s="280"/>
      <c r="AJ133" s="280"/>
      <c r="AK133" s="280"/>
      <c r="AL133" s="280"/>
      <c r="AM133" s="280"/>
      <c r="AN133" s="280"/>
      <c r="AO133" s="280"/>
      <c r="AP133" s="280"/>
      <c r="AQ133" s="280"/>
      <c r="AR133" s="280"/>
      <c r="AS133" s="280"/>
      <c r="AT133" s="135">
        <f>145000000+45000000+300000000</f>
        <v>490000000</v>
      </c>
      <c r="AU133" s="135">
        <v>174381570</v>
      </c>
      <c r="AV133" s="135">
        <v>51250000</v>
      </c>
      <c r="AW133" s="280"/>
      <c r="AX133" s="280"/>
      <c r="AY133" s="280"/>
      <c r="AZ133" s="280"/>
      <c r="BA133" s="280"/>
      <c r="BB133" s="280"/>
      <c r="BC133" s="280"/>
      <c r="BD133" s="280"/>
      <c r="BE133" s="280"/>
      <c r="BF133" s="138">
        <f t="shared" si="9"/>
        <v>490000000</v>
      </c>
      <c r="BG133" s="138">
        <f t="shared" si="10"/>
        <v>174381570</v>
      </c>
      <c r="BH133" s="138">
        <f t="shared" si="11"/>
        <v>51250000</v>
      </c>
      <c r="BI133" s="141" t="s">
        <v>2</v>
      </c>
    </row>
    <row r="134" spans="1:61" s="315" customFormat="1" ht="134.25" customHeight="1">
      <c r="A134" s="146">
        <v>313</v>
      </c>
      <c r="B134" s="261" t="s">
        <v>1423</v>
      </c>
      <c r="C134" s="146">
        <v>4</v>
      </c>
      <c r="D134" s="261" t="s">
        <v>59</v>
      </c>
      <c r="E134" s="146">
        <v>45</v>
      </c>
      <c r="F134" s="261" t="s">
        <v>60</v>
      </c>
      <c r="G134" s="146" t="s">
        <v>61</v>
      </c>
      <c r="H134" s="261" t="s">
        <v>62</v>
      </c>
      <c r="I134" s="146">
        <v>4599</v>
      </c>
      <c r="J134" s="261" t="s">
        <v>63</v>
      </c>
      <c r="K134" s="261" t="s">
        <v>64</v>
      </c>
      <c r="L134" s="146" t="s">
        <v>61</v>
      </c>
      <c r="M134" s="261" t="s">
        <v>630</v>
      </c>
      <c r="N134" s="146">
        <v>4599023</v>
      </c>
      <c r="O134" s="261" t="s">
        <v>131</v>
      </c>
      <c r="P134" s="146" t="s">
        <v>61</v>
      </c>
      <c r="Q134" s="261" t="s">
        <v>631</v>
      </c>
      <c r="R134" s="146">
        <v>459902304</v>
      </c>
      <c r="S134" s="261" t="s">
        <v>632</v>
      </c>
      <c r="T134" s="262" t="s">
        <v>69</v>
      </c>
      <c r="U134" s="146">
        <v>1</v>
      </c>
      <c r="V134" s="146"/>
      <c r="W134" s="146">
        <f>U134+V134</f>
        <v>1</v>
      </c>
      <c r="X134" s="263">
        <v>0.1</v>
      </c>
      <c r="Y134" s="146">
        <v>2022003630012</v>
      </c>
      <c r="Z134" s="311" t="s">
        <v>1459</v>
      </c>
      <c r="AA134" s="311" t="s">
        <v>1460</v>
      </c>
      <c r="AB134" s="312"/>
      <c r="AC134" s="312"/>
      <c r="AD134" s="312"/>
      <c r="AE134" s="312"/>
      <c r="AF134" s="312"/>
      <c r="AG134" s="312"/>
      <c r="AH134" s="312"/>
      <c r="AI134" s="312"/>
      <c r="AJ134" s="312"/>
      <c r="AK134" s="312"/>
      <c r="AL134" s="312"/>
      <c r="AM134" s="312"/>
      <c r="AN134" s="312"/>
      <c r="AO134" s="312"/>
      <c r="AP134" s="312"/>
      <c r="AQ134" s="312"/>
      <c r="AR134" s="312"/>
      <c r="AS134" s="312"/>
      <c r="AT134" s="135">
        <v>400000000</v>
      </c>
      <c r="AU134" s="135">
        <v>328563000</v>
      </c>
      <c r="AV134" s="313"/>
      <c r="AW134" s="312"/>
      <c r="AX134" s="312"/>
      <c r="AY134" s="312"/>
      <c r="AZ134" s="312"/>
      <c r="BA134" s="312"/>
      <c r="BB134" s="312"/>
      <c r="BC134" s="314"/>
      <c r="BD134" s="314"/>
      <c r="BE134" s="314"/>
      <c r="BF134" s="138">
        <f t="shared" si="9"/>
        <v>400000000</v>
      </c>
      <c r="BG134" s="138">
        <f t="shared" si="10"/>
        <v>328563000</v>
      </c>
      <c r="BH134" s="138">
        <f t="shared" si="11"/>
        <v>0</v>
      </c>
      <c r="BI134" s="141" t="s">
        <v>2</v>
      </c>
    </row>
    <row r="135" spans="1:61" s="151" customFormat="1" ht="94.5" customHeight="1">
      <c r="A135" s="139">
        <v>314</v>
      </c>
      <c r="B135" s="140" t="s">
        <v>643</v>
      </c>
      <c r="C135" s="139">
        <v>1</v>
      </c>
      <c r="D135" s="140" t="s">
        <v>148</v>
      </c>
      <c r="E135" s="139">
        <v>22</v>
      </c>
      <c r="F135" s="140" t="s">
        <v>160</v>
      </c>
      <c r="G135" s="139">
        <v>2201</v>
      </c>
      <c r="H135" s="140" t="s">
        <v>297</v>
      </c>
      <c r="I135" s="139">
        <v>2201</v>
      </c>
      <c r="J135" s="140" t="s">
        <v>162</v>
      </c>
      <c r="K135" s="140" t="s">
        <v>644</v>
      </c>
      <c r="L135" s="139">
        <v>2201030</v>
      </c>
      <c r="M135" s="140" t="s">
        <v>645</v>
      </c>
      <c r="N135" s="139">
        <v>2201030</v>
      </c>
      <c r="O135" s="140" t="s">
        <v>645</v>
      </c>
      <c r="P135" s="295">
        <v>220103000</v>
      </c>
      <c r="Q135" s="142" t="s">
        <v>646</v>
      </c>
      <c r="R135" s="295">
        <v>220103000</v>
      </c>
      <c r="S135" s="142" t="s">
        <v>646</v>
      </c>
      <c r="T135" s="145" t="s">
        <v>69</v>
      </c>
      <c r="U135" s="145">
        <v>2500</v>
      </c>
      <c r="V135" s="145"/>
      <c r="W135" s="145">
        <f>U135+V135</f>
        <v>2500</v>
      </c>
      <c r="X135" s="145">
        <v>2082</v>
      </c>
      <c r="Y135" s="146">
        <v>2020003630091</v>
      </c>
      <c r="Z135" s="140" t="s">
        <v>647</v>
      </c>
      <c r="AA135" s="140" t="s">
        <v>648</v>
      </c>
      <c r="AB135" s="130"/>
      <c r="AC135" s="130"/>
      <c r="AD135" s="130"/>
      <c r="AE135" s="130">
        <v>0</v>
      </c>
      <c r="AF135" s="130"/>
      <c r="AG135" s="130"/>
      <c r="AH135" s="130"/>
      <c r="AI135" s="130"/>
      <c r="AJ135" s="130"/>
      <c r="AK135" s="130"/>
      <c r="AL135" s="130"/>
      <c r="AM135" s="130"/>
      <c r="AN135" s="130">
        <f>1343000000-5000000+49044112-134564967+110813949</f>
        <v>1363293094</v>
      </c>
      <c r="AO135" s="130">
        <v>598010000</v>
      </c>
      <c r="AP135" s="130">
        <v>121480000</v>
      </c>
      <c r="AQ135" s="130"/>
      <c r="AR135" s="130"/>
      <c r="AS135" s="130"/>
      <c r="AT135" s="135">
        <v>0</v>
      </c>
      <c r="AU135" s="135"/>
      <c r="AV135" s="135"/>
      <c r="AW135" s="130"/>
      <c r="AX135" s="130"/>
      <c r="AY135" s="130"/>
      <c r="AZ135" s="130"/>
      <c r="BA135" s="130"/>
      <c r="BB135" s="130"/>
      <c r="BC135" s="130">
        <v>0</v>
      </c>
      <c r="BD135" s="130"/>
      <c r="BE135" s="130"/>
      <c r="BF135" s="138">
        <f t="shared" si="9"/>
        <v>1363293094</v>
      </c>
      <c r="BG135" s="138">
        <f t="shared" si="10"/>
        <v>598010000</v>
      </c>
      <c r="BH135" s="138">
        <f t="shared" si="11"/>
        <v>121480000</v>
      </c>
      <c r="BI135" s="149" t="s">
        <v>5</v>
      </c>
    </row>
    <row r="136" spans="1:61" s="151" customFormat="1" ht="94.5" customHeight="1">
      <c r="A136" s="139">
        <v>314</v>
      </c>
      <c r="B136" s="140" t="s">
        <v>643</v>
      </c>
      <c r="C136" s="139">
        <v>1</v>
      </c>
      <c r="D136" s="140" t="s">
        <v>148</v>
      </c>
      <c r="E136" s="139">
        <v>22</v>
      </c>
      <c r="F136" s="140" t="s">
        <v>160</v>
      </c>
      <c r="G136" s="139">
        <v>2201</v>
      </c>
      <c r="H136" s="140" t="s">
        <v>297</v>
      </c>
      <c r="I136" s="139">
        <v>2201</v>
      </c>
      <c r="J136" s="140" t="s">
        <v>162</v>
      </c>
      <c r="K136" s="140" t="s">
        <v>649</v>
      </c>
      <c r="L136" s="139">
        <v>2201033</v>
      </c>
      <c r="M136" s="140" t="s">
        <v>650</v>
      </c>
      <c r="N136" s="139">
        <v>2201033</v>
      </c>
      <c r="O136" s="140" t="s">
        <v>650</v>
      </c>
      <c r="P136" s="295">
        <v>220103300</v>
      </c>
      <c r="Q136" s="142" t="s">
        <v>651</v>
      </c>
      <c r="R136" s="295">
        <v>220103300</v>
      </c>
      <c r="S136" s="142" t="s">
        <v>651</v>
      </c>
      <c r="T136" s="145" t="s">
        <v>157</v>
      </c>
      <c r="U136" s="145">
        <v>9000</v>
      </c>
      <c r="V136" s="145"/>
      <c r="W136" s="145">
        <f t="shared" ref="W136:W170" si="15">U136+V136</f>
        <v>9000</v>
      </c>
      <c r="X136" s="145">
        <v>0</v>
      </c>
      <c r="Y136" s="146">
        <v>2020003630091</v>
      </c>
      <c r="Z136" s="140" t="s">
        <v>647</v>
      </c>
      <c r="AA136" s="140" t="s">
        <v>648</v>
      </c>
      <c r="AB136" s="130"/>
      <c r="AC136" s="130"/>
      <c r="AD136" s="130"/>
      <c r="AE136" s="130">
        <v>0</v>
      </c>
      <c r="AF136" s="130"/>
      <c r="AG136" s="130"/>
      <c r="AH136" s="130"/>
      <c r="AI136" s="130"/>
      <c r="AJ136" s="130"/>
      <c r="AK136" s="130"/>
      <c r="AL136" s="130"/>
      <c r="AM136" s="130"/>
      <c r="AN136" s="130">
        <v>0</v>
      </c>
      <c r="AO136" s="130"/>
      <c r="AP136" s="130"/>
      <c r="AQ136" s="130"/>
      <c r="AR136" s="130"/>
      <c r="AS136" s="130"/>
      <c r="AT136" s="135">
        <f>25000000-10000000</f>
        <v>15000000</v>
      </c>
      <c r="AU136" s="135">
        <v>7350000</v>
      </c>
      <c r="AV136" s="135"/>
      <c r="AW136" s="130"/>
      <c r="AX136" s="130"/>
      <c r="AY136" s="130"/>
      <c r="AZ136" s="130"/>
      <c r="BA136" s="130"/>
      <c r="BB136" s="130"/>
      <c r="BC136" s="130">
        <v>0</v>
      </c>
      <c r="BD136" s="130"/>
      <c r="BE136" s="130"/>
      <c r="BF136" s="138">
        <f t="shared" ref="BF136:BF199" si="16">AB136+AE136+AH136+AK136+AN136+AQ136+AT136+AW136+BC136+AZ136</f>
        <v>15000000</v>
      </c>
      <c r="BG136" s="138">
        <f t="shared" ref="BG136:BG199" si="17">AC136+AF136+AI136+AL136+AO136+AR136+AU136+AX136+BD136+BA136</f>
        <v>7350000</v>
      </c>
      <c r="BH136" s="138">
        <f t="shared" ref="BH136:BH199" si="18">AD136+AG136+AJ136+AM136+AP136+AS136+AV136+AY136+BE136+BB136</f>
        <v>0</v>
      </c>
      <c r="BI136" s="149" t="s">
        <v>5</v>
      </c>
    </row>
    <row r="137" spans="1:61" s="151" customFormat="1" ht="99" customHeight="1">
      <c r="A137" s="139">
        <v>314</v>
      </c>
      <c r="B137" s="140" t="s">
        <v>643</v>
      </c>
      <c r="C137" s="139">
        <v>1</v>
      </c>
      <c r="D137" s="140" t="s">
        <v>148</v>
      </c>
      <c r="E137" s="139">
        <v>22</v>
      </c>
      <c r="F137" s="140" t="s">
        <v>160</v>
      </c>
      <c r="G137" s="139">
        <v>2201</v>
      </c>
      <c r="H137" s="140" t="s">
        <v>297</v>
      </c>
      <c r="I137" s="139">
        <v>2201</v>
      </c>
      <c r="J137" s="140" t="s">
        <v>162</v>
      </c>
      <c r="K137" s="140" t="s">
        <v>652</v>
      </c>
      <c r="L137" s="139">
        <v>2201032</v>
      </c>
      <c r="M137" s="140" t="s">
        <v>653</v>
      </c>
      <c r="N137" s="139">
        <v>2201032</v>
      </c>
      <c r="O137" s="140" t="s">
        <v>653</v>
      </c>
      <c r="P137" s="137">
        <v>220103200</v>
      </c>
      <c r="Q137" s="142" t="s">
        <v>654</v>
      </c>
      <c r="R137" s="137">
        <v>220103200</v>
      </c>
      <c r="S137" s="142" t="s">
        <v>654</v>
      </c>
      <c r="T137" s="145" t="s">
        <v>157</v>
      </c>
      <c r="U137" s="145">
        <v>200</v>
      </c>
      <c r="V137" s="145"/>
      <c r="W137" s="145">
        <f t="shared" si="15"/>
        <v>200</v>
      </c>
      <c r="X137" s="145">
        <v>198</v>
      </c>
      <c r="Y137" s="146">
        <v>2020003630091</v>
      </c>
      <c r="Z137" s="140" t="s">
        <v>647</v>
      </c>
      <c r="AA137" s="140" t="s">
        <v>648</v>
      </c>
      <c r="AB137" s="130"/>
      <c r="AC137" s="130"/>
      <c r="AD137" s="130"/>
      <c r="AE137" s="130">
        <v>0</v>
      </c>
      <c r="AF137" s="130"/>
      <c r="AG137" s="130"/>
      <c r="AH137" s="130"/>
      <c r="AI137" s="130"/>
      <c r="AJ137" s="130"/>
      <c r="AK137" s="130"/>
      <c r="AL137" s="130"/>
      <c r="AM137" s="130"/>
      <c r="AN137" s="130">
        <v>0</v>
      </c>
      <c r="AO137" s="130"/>
      <c r="AP137" s="130"/>
      <c r="AQ137" s="130"/>
      <c r="AR137" s="130"/>
      <c r="AS137" s="130"/>
      <c r="AT137" s="135">
        <v>5000000</v>
      </c>
      <c r="AU137" s="135">
        <v>5000000</v>
      </c>
      <c r="AV137" s="135"/>
      <c r="AW137" s="130"/>
      <c r="AX137" s="130"/>
      <c r="AY137" s="130"/>
      <c r="AZ137" s="130"/>
      <c r="BA137" s="130"/>
      <c r="BB137" s="130"/>
      <c r="BC137" s="130">
        <v>0</v>
      </c>
      <c r="BD137" s="130"/>
      <c r="BE137" s="130"/>
      <c r="BF137" s="138">
        <f t="shared" si="16"/>
        <v>5000000</v>
      </c>
      <c r="BG137" s="138">
        <f t="shared" si="17"/>
        <v>5000000</v>
      </c>
      <c r="BH137" s="138">
        <f t="shared" si="18"/>
        <v>0</v>
      </c>
      <c r="BI137" s="149" t="s">
        <v>5</v>
      </c>
    </row>
    <row r="138" spans="1:61" s="151" customFormat="1" ht="99" customHeight="1">
      <c r="A138" s="139">
        <v>314</v>
      </c>
      <c r="B138" s="140" t="s">
        <v>643</v>
      </c>
      <c r="C138" s="139">
        <v>1</v>
      </c>
      <c r="D138" s="140" t="s">
        <v>148</v>
      </c>
      <c r="E138" s="139">
        <v>22</v>
      </c>
      <c r="F138" s="140" t="s">
        <v>160</v>
      </c>
      <c r="G138" s="139">
        <v>2201</v>
      </c>
      <c r="H138" s="140" t="s">
        <v>297</v>
      </c>
      <c r="I138" s="139">
        <v>2201</v>
      </c>
      <c r="J138" s="140" t="s">
        <v>162</v>
      </c>
      <c r="K138" s="140" t="s">
        <v>655</v>
      </c>
      <c r="L138" s="139">
        <v>2201055</v>
      </c>
      <c r="M138" s="140" t="s">
        <v>656</v>
      </c>
      <c r="N138" s="139">
        <v>2201055</v>
      </c>
      <c r="O138" s="140" t="s">
        <v>656</v>
      </c>
      <c r="P138" s="295">
        <v>220105500</v>
      </c>
      <c r="Q138" s="142" t="s">
        <v>657</v>
      </c>
      <c r="R138" s="295">
        <v>220105500</v>
      </c>
      <c r="S138" s="142" t="s">
        <v>657</v>
      </c>
      <c r="T138" s="145" t="s">
        <v>69</v>
      </c>
      <c r="U138" s="145">
        <v>1</v>
      </c>
      <c r="V138" s="145"/>
      <c r="W138" s="145">
        <f t="shared" si="15"/>
        <v>1</v>
      </c>
      <c r="X138" s="145">
        <v>0</v>
      </c>
      <c r="Y138" s="146">
        <v>2020003630091</v>
      </c>
      <c r="Z138" s="134" t="s">
        <v>647</v>
      </c>
      <c r="AA138" s="140" t="s">
        <v>648</v>
      </c>
      <c r="AB138" s="130"/>
      <c r="AC138" s="130"/>
      <c r="AD138" s="130"/>
      <c r="AE138" s="130">
        <v>0</v>
      </c>
      <c r="AF138" s="130"/>
      <c r="AG138" s="130"/>
      <c r="AH138" s="130"/>
      <c r="AI138" s="130"/>
      <c r="AJ138" s="130"/>
      <c r="AK138" s="130"/>
      <c r="AL138" s="130"/>
      <c r="AM138" s="130"/>
      <c r="AN138" s="130">
        <f>60000000-39338851+1828007</f>
        <v>22489156</v>
      </c>
      <c r="AO138" s="130"/>
      <c r="AP138" s="130"/>
      <c r="AQ138" s="130"/>
      <c r="AR138" s="130"/>
      <c r="AS138" s="130"/>
      <c r="AT138" s="135">
        <v>0</v>
      </c>
      <c r="AU138" s="135"/>
      <c r="AV138" s="135"/>
      <c r="AW138" s="130"/>
      <c r="AX138" s="130"/>
      <c r="AY138" s="130"/>
      <c r="AZ138" s="130"/>
      <c r="BA138" s="130"/>
      <c r="BB138" s="130"/>
      <c r="BC138" s="130">
        <v>0</v>
      </c>
      <c r="BD138" s="130"/>
      <c r="BE138" s="130"/>
      <c r="BF138" s="138">
        <f t="shared" si="16"/>
        <v>22489156</v>
      </c>
      <c r="BG138" s="138">
        <f t="shared" si="17"/>
        <v>0</v>
      </c>
      <c r="BH138" s="138">
        <f t="shared" si="18"/>
        <v>0</v>
      </c>
      <c r="BI138" s="149" t="s">
        <v>5</v>
      </c>
    </row>
    <row r="139" spans="1:61" s="151" customFormat="1" ht="99" customHeight="1">
      <c r="A139" s="139">
        <v>314</v>
      </c>
      <c r="B139" s="140" t="s">
        <v>643</v>
      </c>
      <c r="C139" s="139">
        <v>1</v>
      </c>
      <c r="D139" s="140" t="s">
        <v>148</v>
      </c>
      <c r="E139" s="139">
        <v>22</v>
      </c>
      <c r="F139" s="140" t="s">
        <v>160</v>
      </c>
      <c r="G139" s="139">
        <v>2201</v>
      </c>
      <c r="H139" s="140" t="s">
        <v>297</v>
      </c>
      <c r="I139" s="139">
        <v>2201</v>
      </c>
      <c r="J139" s="140" t="s">
        <v>162</v>
      </c>
      <c r="K139" s="140" t="s">
        <v>658</v>
      </c>
      <c r="L139" s="139">
        <v>2201067</v>
      </c>
      <c r="M139" s="140" t="s">
        <v>659</v>
      </c>
      <c r="N139" s="139">
        <v>2201067</v>
      </c>
      <c r="O139" s="140" t="s">
        <v>659</v>
      </c>
      <c r="P139" s="137">
        <v>220106700</v>
      </c>
      <c r="Q139" s="142" t="s">
        <v>660</v>
      </c>
      <c r="R139" s="137">
        <v>220106700</v>
      </c>
      <c r="S139" s="142" t="s">
        <v>660</v>
      </c>
      <c r="T139" s="145" t="s">
        <v>69</v>
      </c>
      <c r="U139" s="145">
        <v>54</v>
      </c>
      <c r="V139" s="145"/>
      <c r="W139" s="145">
        <f t="shared" si="15"/>
        <v>54</v>
      </c>
      <c r="X139" s="145">
        <v>15</v>
      </c>
      <c r="Y139" s="146">
        <v>2020003630091</v>
      </c>
      <c r="Z139" s="134" t="s">
        <v>647</v>
      </c>
      <c r="AA139" s="140" t="s">
        <v>648</v>
      </c>
      <c r="AB139" s="130"/>
      <c r="AC139" s="130"/>
      <c r="AD139" s="130"/>
      <c r="AE139" s="130">
        <v>0</v>
      </c>
      <c r="AF139" s="130"/>
      <c r="AG139" s="130"/>
      <c r="AH139" s="130"/>
      <c r="AI139" s="130"/>
      <c r="AJ139" s="130"/>
      <c r="AK139" s="130"/>
      <c r="AL139" s="130"/>
      <c r="AM139" s="130"/>
      <c r="AN139" s="130">
        <v>0</v>
      </c>
      <c r="AO139" s="130"/>
      <c r="AP139" s="130"/>
      <c r="AQ139" s="130"/>
      <c r="AR139" s="130"/>
      <c r="AS139" s="130"/>
      <c r="AT139" s="135">
        <v>10000000</v>
      </c>
      <c r="AU139" s="135">
        <v>10000000</v>
      </c>
      <c r="AV139" s="135"/>
      <c r="AW139" s="130"/>
      <c r="AX139" s="130"/>
      <c r="AY139" s="130"/>
      <c r="AZ139" s="130"/>
      <c r="BA139" s="130"/>
      <c r="BB139" s="130"/>
      <c r="BC139" s="130">
        <v>0</v>
      </c>
      <c r="BD139" s="130"/>
      <c r="BE139" s="130"/>
      <c r="BF139" s="138">
        <f t="shared" si="16"/>
        <v>10000000</v>
      </c>
      <c r="BG139" s="138">
        <f t="shared" si="17"/>
        <v>10000000</v>
      </c>
      <c r="BH139" s="138">
        <f t="shared" si="18"/>
        <v>0</v>
      </c>
      <c r="BI139" s="149" t="s">
        <v>5</v>
      </c>
    </row>
    <row r="140" spans="1:61" s="151" customFormat="1" ht="96" customHeight="1">
      <c r="A140" s="139">
        <v>314</v>
      </c>
      <c r="B140" s="140" t="s">
        <v>643</v>
      </c>
      <c r="C140" s="139">
        <v>1</v>
      </c>
      <c r="D140" s="140" t="s">
        <v>148</v>
      </c>
      <c r="E140" s="139">
        <v>22</v>
      </c>
      <c r="F140" s="140" t="s">
        <v>160</v>
      </c>
      <c r="G140" s="139">
        <v>2201</v>
      </c>
      <c r="H140" s="140" t="s">
        <v>297</v>
      </c>
      <c r="I140" s="139">
        <v>2201</v>
      </c>
      <c r="J140" s="140" t="s">
        <v>162</v>
      </c>
      <c r="K140" s="140" t="s">
        <v>658</v>
      </c>
      <c r="L140" s="139">
        <v>2201028</v>
      </c>
      <c r="M140" s="140" t="s">
        <v>661</v>
      </c>
      <c r="N140" s="139">
        <v>2201028</v>
      </c>
      <c r="O140" s="140" t="s">
        <v>661</v>
      </c>
      <c r="P140" s="295">
        <v>220102801</v>
      </c>
      <c r="Q140" s="142" t="s">
        <v>662</v>
      </c>
      <c r="R140" s="295">
        <v>220102801</v>
      </c>
      <c r="S140" s="142" t="s">
        <v>662</v>
      </c>
      <c r="T140" s="145" t="s">
        <v>69</v>
      </c>
      <c r="U140" s="145">
        <v>36000</v>
      </c>
      <c r="V140" s="145"/>
      <c r="W140" s="145">
        <f t="shared" si="15"/>
        <v>36000</v>
      </c>
      <c r="X140" s="145">
        <v>26419</v>
      </c>
      <c r="Y140" s="146">
        <v>2020003630091</v>
      </c>
      <c r="Z140" s="140" t="s">
        <v>647</v>
      </c>
      <c r="AA140" s="140" t="s">
        <v>648</v>
      </c>
      <c r="AB140" s="130"/>
      <c r="AC140" s="130"/>
      <c r="AD140" s="130"/>
      <c r="AE140" s="130">
        <v>0</v>
      </c>
      <c r="AF140" s="130"/>
      <c r="AG140" s="130"/>
      <c r="AH140" s="130"/>
      <c r="AI140" s="130"/>
      <c r="AJ140" s="130"/>
      <c r="AK140" s="130"/>
      <c r="AL140" s="130"/>
      <c r="AM140" s="130"/>
      <c r="AN140" s="138">
        <v>0</v>
      </c>
      <c r="AO140" s="138"/>
      <c r="AP140" s="138"/>
      <c r="AQ140" s="130"/>
      <c r="AR140" s="130"/>
      <c r="AS140" s="130"/>
      <c r="AT140" s="135">
        <f>150000000+5000000000+126966033</f>
        <v>5276966033</v>
      </c>
      <c r="AU140" s="135">
        <v>4939154711</v>
      </c>
      <c r="AV140" s="135">
        <v>42150000</v>
      </c>
      <c r="AW140" s="138"/>
      <c r="AX140" s="138"/>
      <c r="AY140" s="138"/>
      <c r="AZ140" s="138"/>
      <c r="BA140" s="138"/>
      <c r="BB140" s="138"/>
      <c r="BC140" s="138">
        <f>9236000000+10000000+55159599.4+639676314.25</f>
        <v>9940835913.6499996</v>
      </c>
      <c r="BD140" s="138">
        <v>6862357011.4399996</v>
      </c>
      <c r="BE140" s="138">
        <v>18000000</v>
      </c>
      <c r="BF140" s="138">
        <f t="shared" si="16"/>
        <v>15217801946.65</v>
      </c>
      <c r="BG140" s="138">
        <f t="shared" si="17"/>
        <v>11801511722.439999</v>
      </c>
      <c r="BH140" s="138">
        <f t="shared" si="18"/>
        <v>60150000</v>
      </c>
      <c r="BI140" s="149" t="s">
        <v>5</v>
      </c>
    </row>
    <row r="141" spans="1:61" s="151" customFormat="1" ht="91.5" customHeight="1">
      <c r="A141" s="139">
        <v>314</v>
      </c>
      <c r="B141" s="140" t="s">
        <v>643</v>
      </c>
      <c r="C141" s="139">
        <v>1</v>
      </c>
      <c r="D141" s="140" t="s">
        <v>148</v>
      </c>
      <c r="E141" s="139">
        <v>22</v>
      </c>
      <c r="F141" s="140" t="s">
        <v>160</v>
      </c>
      <c r="G141" s="139">
        <v>2201</v>
      </c>
      <c r="H141" s="140" t="s">
        <v>297</v>
      </c>
      <c r="I141" s="139">
        <v>2201</v>
      </c>
      <c r="J141" s="140" t="s">
        <v>162</v>
      </c>
      <c r="K141" s="140" t="s">
        <v>658</v>
      </c>
      <c r="L141" s="139">
        <v>2201029</v>
      </c>
      <c r="M141" s="140" t="s">
        <v>663</v>
      </c>
      <c r="N141" s="139">
        <v>2201029</v>
      </c>
      <c r="O141" s="140" t="s">
        <v>663</v>
      </c>
      <c r="P141" s="295">
        <v>220102900</v>
      </c>
      <c r="Q141" s="142" t="s">
        <v>664</v>
      </c>
      <c r="R141" s="295">
        <v>220102900</v>
      </c>
      <c r="S141" s="142" t="s">
        <v>664</v>
      </c>
      <c r="T141" s="145" t="s">
        <v>157</v>
      </c>
      <c r="U141" s="145">
        <v>1500</v>
      </c>
      <c r="V141" s="145">
        <v>203</v>
      </c>
      <c r="W141" s="145">
        <f t="shared" si="15"/>
        <v>1703</v>
      </c>
      <c r="X141" s="145">
        <v>0</v>
      </c>
      <c r="Y141" s="146">
        <v>2020003630091</v>
      </c>
      <c r="Z141" s="140" t="s">
        <v>647</v>
      </c>
      <c r="AA141" s="140" t="s">
        <v>648</v>
      </c>
      <c r="AB141" s="130"/>
      <c r="AC141" s="130"/>
      <c r="AD141" s="130"/>
      <c r="AE141" s="290">
        <f>50000000+100000000</f>
        <v>150000000</v>
      </c>
      <c r="AF141" s="290"/>
      <c r="AG141" s="290"/>
      <c r="AH141" s="130"/>
      <c r="AI141" s="130"/>
      <c r="AJ141" s="130"/>
      <c r="AK141" s="130"/>
      <c r="AL141" s="130"/>
      <c r="AM141" s="130"/>
      <c r="AN141" s="130">
        <v>0</v>
      </c>
      <c r="AO141" s="130"/>
      <c r="AP141" s="130"/>
      <c r="AQ141" s="130"/>
      <c r="AR141" s="130"/>
      <c r="AS141" s="130"/>
      <c r="AT141" s="135">
        <f>336694046-100000000+818832641</f>
        <v>1055526687</v>
      </c>
      <c r="AU141" s="135"/>
      <c r="AV141" s="135"/>
      <c r="AW141" s="130"/>
      <c r="AX141" s="130"/>
      <c r="AY141" s="130"/>
      <c r="AZ141" s="130"/>
      <c r="BA141" s="130"/>
      <c r="BB141" s="130"/>
      <c r="BC141" s="130">
        <v>0</v>
      </c>
      <c r="BD141" s="130"/>
      <c r="BE141" s="130"/>
      <c r="BF141" s="138">
        <f t="shared" si="16"/>
        <v>1205526687</v>
      </c>
      <c r="BG141" s="138">
        <f t="shared" si="17"/>
        <v>0</v>
      </c>
      <c r="BH141" s="138">
        <f t="shared" si="18"/>
        <v>0</v>
      </c>
      <c r="BI141" s="149" t="s">
        <v>5</v>
      </c>
    </row>
    <row r="142" spans="1:61" s="151" customFormat="1" ht="76.5">
      <c r="A142" s="139">
        <v>314</v>
      </c>
      <c r="B142" s="140" t="s">
        <v>643</v>
      </c>
      <c r="C142" s="139">
        <v>1</v>
      </c>
      <c r="D142" s="140" t="s">
        <v>148</v>
      </c>
      <c r="E142" s="139">
        <v>22</v>
      </c>
      <c r="F142" s="140" t="s">
        <v>160</v>
      </c>
      <c r="G142" s="139">
        <v>2201</v>
      </c>
      <c r="H142" s="140" t="s">
        <v>297</v>
      </c>
      <c r="I142" s="139">
        <v>2201</v>
      </c>
      <c r="J142" s="140" t="s">
        <v>162</v>
      </c>
      <c r="K142" s="140" t="s">
        <v>163</v>
      </c>
      <c r="L142" s="139" t="s">
        <v>61</v>
      </c>
      <c r="M142" s="140" t="s">
        <v>665</v>
      </c>
      <c r="N142" s="139">
        <v>2201062</v>
      </c>
      <c r="O142" s="140" t="s">
        <v>165</v>
      </c>
      <c r="P142" s="139" t="s">
        <v>61</v>
      </c>
      <c r="Q142" s="142" t="s">
        <v>166</v>
      </c>
      <c r="R142" s="139">
        <v>220106200</v>
      </c>
      <c r="S142" s="141" t="s">
        <v>666</v>
      </c>
      <c r="T142" s="145" t="s">
        <v>157</v>
      </c>
      <c r="U142" s="139">
        <v>15</v>
      </c>
      <c r="V142" s="139"/>
      <c r="W142" s="145">
        <f t="shared" si="15"/>
        <v>15</v>
      </c>
      <c r="X142" s="145">
        <v>0</v>
      </c>
      <c r="Y142" s="146">
        <v>2020003630091</v>
      </c>
      <c r="Z142" s="140" t="s">
        <v>647</v>
      </c>
      <c r="AA142" s="140" t="s">
        <v>648</v>
      </c>
      <c r="AB142" s="130"/>
      <c r="AC142" s="130"/>
      <c r="AD142" s="130"/>
      <c r="AE142" s="130">
        <v>0</v>
      </c>
      <c r="AF142" s="130"/>
      <c r="AG142" s="130"/>
      <c r="AH142" s="130"/>
      <c r="AI142" s="130"/>
      <c r="AJ142" s="130"/>
      <c r="AK142" s="130"/>
      <c r="AL142" s="130"/>
      <c r="AM142" s="130"/>
      <c r="AN142" s="130">
        <v>0</v>
      </c>
      <c r="AO142" s="130"/>
      <c r="AP142" s="130"/>
      <c r="AQ142" s="130"/>
      <c r="AR142" s="130"/>
      <c r="AS142" s="130"/>
      <c r="AT142" s="135">
        <f>30000000-20000000</f>
        <v>10000000</v>
      </c>
      <c r="AU142" s="135">
        <v>10000000</v>
      </c>
      <c r="AV142" s="135"/>
      <c r="AW142" s="130"/>
      <c r="AX142" s="130"/>
      <c r="AY142" s="130"/>
      <c r="AZ142" s="130"/>
      <c r="BA142" s="130"/>
      <c r="BB142" s="130"/>
      <c r="BC142" s="130">
        <v>0</v>
      </c>
      <c r="BD142" s="130"/>
      <c r="BE142" s="130"/>
      <c r="BF142" s="138">
        <f t="shared" si="16"/>
        <v>10000000</v>
      </c>
      <c r="BG142" s="138">
        <f t="shared" si="17"/>
        <v>10000000</v>
      </c>
      <c r="BH142" s="138">
        <f t="shared" si="18"/>
        <v>0</v>
      </c>
      <c r="BI142" s="149" t="s">
        <v>5</v>
      </c>
    </row>
    <row r="143" spans="1:61" s="151" customFormat="1" ht="91.5" customHeight="1">
      <c r="A143" s="139">
        <v>314</v>
      </c>
      <c r="B143" s="140" t="s">
        <v>643</v>
      </c>
      <c r="C143" s="139">
        <v>1</v>
      </c>
      <c r="D143" s="140" t="s">
        <v>148</v>
      </c>
      <c r="E143" s="139">
        <v>22</v>
      </c>
      <c r="F143" s="140" t="s">
        <v>160</v>
      </c>
      <c r="G143" s="139">
        <v>2201</v>
      </c>
      <c r="H143" s="140" t="s">
        <v>297</v>
      </c>
      <c r="I143" s="139">
        <v>2201</v>
      </c>
      <c r="J143" s="140" t="s">
        <v>162</v>
      </c>
      <c r="K143" s="140" t="s">
        <v>667</v>
      </c>
      <c r="L143" s="139">
        <v>2201063</v>
      </c>
      <c r="M143" s="140" t="s">
        <v>668</v>
      </c>
      <c r="N143" s="139">
        <v>2201063</v>
      </c>
      <c r="O143" s="140" t="s">
        <v>668</v>
      </c>
      <c r="P143" s="137">
        <v>220106300</v>
      </c>
      <c r="Q143" s="142" t="s">
        <v>669</v>
      </c>
      <c r="R143" s="137">
        <v>220106300</v>
      </c>
      <c r="S143" s="141" t="s">
        <v>669</v>
      </c>
      <c r="T143" s="145" t="s">
        <v>157</v>
      </c>
      <c r="U143" s="145">
        <v>1</v>
      </c>
      <c r="V143" s="145"/>
      <c r="W143" s="145">
        <f t="shared" si="15"/>
        <v>1</v>
      </c>
      <c r="X143" s="145">
        <v>0</v>
      </c>
      <c r="Y143" s="146">
        <v>2020003630091</v>
      </c>
      <c r="Z143" s="134" t="s">
        <v>647</v>
      </c>
      <c r="AA143" s="140" t="s">
        <v>648</v>
      </c>
      <c r="AB143" s="130"/>
      <c r="AC143" s="130"/>
      <c r="AD143" s="130"/>
      <c r="AE143" s="130">
        <v>0</v>
      </c>
      <c r="AF143" s="130"/>
      <c r="AG143" s="130"/>
      <c r="AH143" s="130"/>
      <c r="AI143" s="130"/>
      <c r="AJ143" s="130"/>
      <c r="AK143" s="130"/>
      <c r="AL143" s="130"/>
      <c r="AM143" s="130"/>
      <c r="AN143" s="130">
        <v>0</v>
      </c>
      <c r="AO143" s="130"/>
      <c r="AP143" s="130"/>
      <c r="AQ143" s="130"/>
      <c r="AR143" s="130"/>
      <c r="AS143" s="130"/>
      <c r="AT143" s="135">
        <v>20000000</v>
      </c>
      <c r="AU143" s="135">
        <v>10400000</v>
      </c>
      <c r="AV143" s="135"/>
      <c r="AW143" s="130"/>
      <c r="AX143" s="130"/>
      <c r="AY143" s="130"/>
      <c r="AZ143" s="130"/>
      <c r="BA143" s="130"/>
      <c r="BB143" s="130"/>
      <c r="BC143" s="130">
        <v>0</v>
      </c>
      <c r="BD143" s="130"/>
      <c r="BE143" s="130"/>
      <c r="BF143" s="138">
        <f t="shared" si="16"/>
        <v>20000000</v>
      </c>
      <c r="BG143" s="138">
        <f t="shared" si="17"/>
        <v>10400000</v>
      </c>
      <c r="BH143" s="138">
        <f t="shared" si="18"/>
        <v>0</v>
      </c>
      <c r="BI143" s="149" t="s">
        <v>5</v>
      </c>
    </row>
    <row r="144" spans="1:61" s="151" customFormat="1" ht="94.5" customHeight="1">
      <c r="A144" s="139">
        <v>314</v>
      </c>
      <c r="B144" s="140" t="s">
        <v>643</v>
      </c>
      <c r="C144" s="139">
        <v>1</v>
      </c>
      <c r="D144" s="140" t="s">
        <v>148</v>
      </c>
      <c r="E144" s="139">
        <v>22</v>
      </c>
      <c r="F144" s="140" t="s">
        <v>160</v>
      </c>
      <c r="G144" s="139">
        <v>2201</v>
      </c>
      <c r="H144" s="140" t="s">
        <v>297</v>
      </c>
      <c r="I144" s="139">
        <v>2201</v>
      </c>
      <c r="J144" s="140" t="s">
        <v>162</v>
      </c>
      <c r="K144" s="140" t="s">
        <v>667</v>
      </c>
      <c r="L144" s="139">
        <v>2201069</v>
      </c>
      <c r="M144" s="140" t="s">
        <v>670</v>
      </c>
      <c r="N144" s="139">
        <v>2201069</v>
      </c>
      <c r="O144" s="140" t="s">
        <v>670</v>
      </c>
      <c r="P144" s="137">
        <v>220106900</v>
      </c>
      <c r="Q144" s="142" t="s">
        <v>671</v>
      </c>
      <c r="R144" s="137">
        <v>220106900</v>
      </c>
      <c r="S144" s="142" t="s">
        <v>671</v>
      </c>
      <c r="T144" s="145" t="s">
        <v>157</v>
      </c>
      <c r="U144" s="145">
        <v>4</v>
      </c>
      <c r="V144" s="145"/>
      <c r="W144" s="145">
        <f t="shared" si="15"/>
        <v>4</v>
      </c>
      <c r="X144" s="145">
        <v>0</v>
      </c>
      <c r="Y144" s="146">
        <v>2020003630091</v>
      </c>
      <c r="Z144" s="134" t="s">
        <v>647</v>
      </c>
      <c r="AA144" s="140" t="s">
        <v>648</v>
      </c>
      <c r="AB144" s="130"/>
      <c r="AC144" s="130"/>
      <c r="AD144" s="130"/>
      <c r="AE144" s="130">
        <v>0</v>
      </c>
      <c r="AF144" s="130"/>
      <c r="AG144" s="130"/>
      <c r="AH144" s="130"/>
      <c r="AI144" s="130"/>
      <c r="AJ144" s="130"/>
      <c r="AK144" s="130"/>
      <c r="AL144" s="130"/>
      <c r="AM144" s="130"/>
      <c r="AN144" s="130">
        <f>5000000+237414950.55</f>
        <v>242414950.55000001</v>
      </c>
      <c r="AO144" s="130"/>
      <c r="AP144" s="130"/>
      <c r="AQ144" s="130"/>
      <c r="AR144" s="130"/>
      <c r="AS144" s="130"/>
      <c r="AT144" s="135">
        <f>20000000-16000000</f>
        <v>4000000</v>
      </c>
      <c r="AU144" s="135"/>
      <c r="AV144" s="135"/>
      <c r="AW144" s="130"/>
      <c r="AX144" s="130"/>
      <c r="AY144" s="130"/>
      <c r="AZ144" s="130"/>
      <c r="BA144" s="130"/>
      <c r="BB144" s="130"/>
      <c r="BC144" s="130">
        <v>0</v>
      </c>
      <c r="BD144" s="130"/>
      <c r="BE144" s="130"/>
      <c r="BF144" s="138">
        <f t="shared" si="16"/>
        <v>246414950.55000001</v>
      </c>
      <c r="BG144" s="138">
        <f t="shared" si="17"/>
        <v>0</v>
      </c>
      <c r="BH144" s="138">
        <f t="shared" si="18"/>
        <v>0</v>
      </c>
      <c r="BI144" s="149" t="s">
        <v>5</v>
      </c>
    </row>
    <row r="145" spans="1:61" s="151" customFormat="1" ht="98.25" customHeight="1">
      <c r="A145" s="139">
        <v>314</v>
      </c>
      <c r="B145" s="140" t="s">
        <v>643</v>
      </c>
      <c r="C145" s="139">
        <v>1</v>
      </c>
      <c r="D145" s="140" t="s">
        <v>148</v>
      </c>
      <c r="E145" s="139">
        <v>22</v>
      </c>
      <c r="F145" s="140" t="s">
        <v>160</v>
      </c>
      <c r="G145" s="139">
        <v>2201</v>
      </c>
      <c r="H145" s="140" t="s">
        <v>297</v>
      </c>
      <c r="I145" s="139">
        <v>2201</v>
      </c>
      <c r="J145" s="140" t="s">
        <v>162</v>
      </c>
      <c r="K145" s="140" t="s">
        <v>672</v>
      </c>
      <c r="L145" s="139">
        <v>2201018</v>
      </c>
      <c r="M145" s="140" t="s">
        <v>673</v>
      </c>
      <c r="N145" s="139">
        <v>2201018</v>
      </c>
      <c r="O145" s="140" t="s">
        <v>673</v>
      </c>
      <c r="P145" s="137">
        <v>220101802</v>
      </c>
      <c r="Q145" s="142" t="s">
        <v>674</v>
      </c>
      <c r="R145" s="137">
        <v>220101802</v>
      </c>
      <c r="S145" s="142" t="s">
        <v>674</v>
      </c>
      <c r="T145" s="145" t="s">
        <v>69</v>
      </c>
      <c r="U145" s="145">
        <v>1</v>
      </c>
      <c r="V145" s="145"/>
      <c r="W145" s="145">
        <f t="shared" si="15"/>
        <v>1</v>
      </c>
      <c r="X145" s="145">
        <v>1</v>
      </c>
      <c r="Y145" s="146">
        <v>2020003630092</v>
      </c>
      <c r="Z145" s="141" t="s">
        <v>675</v>
      </c>
      <c r="AA145" s="140" t="s">
        <v>676</v>
      </c>
      <c r="AB145" s="130"/>
      <c r="AC145" s="130"/>
      <c r="AD145" s="130"/>
      <c r="AE145" s="130">
        <v>0</v>
      </c>
      <c r="AF145" s="130"/>
      <c r="AG145" s="130"/>
      <c r="AH145" s="130"/>
      <c r="AI145" s="130"/>
      <c r="AJ145" s="130"/>
      <c r="AK145" s="130"/>
      <c r="AL145" s="130"/>
      <c r="AM145" s="130"/>
      <c r="AN145" s="130">
        <v>0</v>
      </c>
      <c r="AO145" s="130"/>
      <c r="AP145" s="130"/>
      <c r="AQ145" s="130"/>
      <c r="AR145" s="130"/>
      <c r="AS145" s="130"/>
      <c r="AT145" s="135">
        <v>5000000</v>
      </c>
      <c r="AU145" s="135">
        <v>5000000</v>
      </c>
      <c r="AV145" s="135">
        <v>5000000</v>
      </c>
      <c r="AW145" s="130"/>
      <c r="AX145" s="130"/>
      <c r="AY145" s="130"/>
      <c r="AZ145" s="130"/>
      <c r="BA145" s="130"/>
      <c r="BB145" s="130"/>
      <c r="BC145" s="130">
        <v>0</v>
      </c>
      <c r="BD145" s="130"/>
      <c r="BE145" s="130"/>
      <c r="BF145" s="138">
        <f t="shared" si="16"/>
        <v>5000000</v>
      </c>
      <c r="BG145" s="138">
        <f t="shared" si="17"/>
        <v>5000000</v>
      </c>
      <c r="BH145" s="138">
        <f t="shared" si="18"/>
        <v>5000000</v>
      </c>
      <c r="BI145" s="149" t="s">
        <v>5</v>
      </c>
    </row>
    <row r="146" spans="1:61" s="151" customFormat="1" ht="98.25" customHeight="1">
      <c r="A146" s="139">
        <v>314</v>
      </c>
      <c r="B146" s="140" t="s">
        <v>643</v>
      </c>
      <c r="C146" s="139">
        <v>1</v>
      </c>
      <c r="D146" s="140" t="s">
        <v>148</v>
      </c>
      <c r="E146" s="139">
        <v>22</v>
      </c>
      <c r="F146" s="140" t="s">
        <v>160</v>
      </c>
      <c r="G146" s="139">
        <v>2201</v>
      </c>
      <c r="H146" s="140" t="s">
        <v>297</v>
      </c>
      <c r="I146" s="139">
        <v>2201</v>
      </c>
      <c r="J146" s="140" t="s">
        <v>162</v>
      </c>
      <c r="K146" s="140" t="s">
        <v>677</v>
      </c>
      <c r="L146" s="139">
        <v>2201037</v>
      </c>
      <c r="M146" s="140" t="s">
        <v>678</v>
      </c>
      <c r="N146" s="139">
        <v>2201037</v>
      </c>
      <c r="O146" s="140" t="s">
        <v>678</v>
      </c>
      <c r="P146" s="295">
        <v>220103700</v>
      </c>
      <c r="Q146" s="142" t="s">
        <v>679</v>
      </c>
      <c r="R146" s="295">
        <v>220103700</v>
      </c>
      <c r="S146" s="142" t="s">
        <v>679</v>
      </c>
      <c r="T146" s="145" t="s">
        <v>69</v>
      </c>
      <c r="U146" s="145">
        <v>54</v>
      </c>
      <c r="V146" s="145"/>
      <c r="W146" s="145">
        <f t="shared" si="15"/>
        <v>54</v>
      </c>
      <c r="X146" s="145">
        <v>54</v>
      </c>
      <c r="Y146" s="146">
        <v>2020003630092</v>
      </c>
      <c r="Z146" s="141" t="s">
        <v>675</v>
      </c>
      <c r="AA146" s="140" t="s">
        <v>676</v>
      </c>
      <c r="AB146" s="130"/>
      <c r="AC146" s="130"/>
      <c r="AD146" s="130"/>
      <c r="AE146" s="130">
        <v>0</v>
      </c>
      <c r="AF146" s="130"/>
      <c r="AG146" s="130"/>
      <c r="AH146" s="130"/>
      <c r="AI146" s="130"/>
      <c r="AJ146" s="130"/>
      <c r="AK146" s="130"/>
      <c r="AL146" s="130"/>
      <c r="AM146" s="130"/>
      <c r="AN146" s="130">
        <v>0</v>
      </c>
      <c r="AO146" s="130"/>
      <c r="AP146" s="130"/>
      <c r="AQ146" s="130"/>
      <c r="AR146" s="130"/>
      <c r="AS146" s="130"/>
      <c r="AT146" s="135">
        <v>10000000</v>
      </c>
      <c r="AU146" s="135">
        <v>4600000</v>
      </c>
      <c r="AV146" s="135">
        <v>1400000</v>
      </c>
      <c r="AW146" s="130"/>
      <c r="AX146" s="130"/>
      <c r="AY146" s="130"/>
      <c r="AZ146" s="130"/>
      <c r="BA146" s="130"/>
      <c r="BB146" s="130"/>
      <c r="BC146" s="130">
        <v>0</v>
      </c>
      <c r="BD146" s="130"/>
      <c r="BE146" s="130"/>
      <c r="BF146" s="138">
        <f t="shared" si="16"/>
        <v>10000000</v>
      </c>
      <c r="BG146" s="138">
        <f t="shared" si="17"/>
        <v>4600000</v>
      </c>
      <c r="BH146" s="138">
        <f t="shared" si="18"/>
        <v>1400000</v>
      </c>
      <c r="BI146" s="149" t="s">
        <v>5</v>
      </c>
    </row>
    <row r="147" spans="1:61" s="151" customFormat="1" ht="148.5" customHeight="1">
      <c r="A147" s="139">
        <v>314</v>
      </c>
      <c r="B147" s="140" t="s">
        <v>643</v>
      </c>
      <c r="C147" s="139">
        <v>1</v>
      </c>
      <c r="D147" s="140" t="s">
        <v>148</v>
      </c>
      <c r="E147" s="139">
        <v>22</v>
      </c>
      <c r="F147" s="140" t="s">
        <v>160</v>
      </c>
      <c r="G147" s="139">
        <v>2201</v>
      </c>
      <c r="H147" s="140" t="s">
        <v>297</v>
      </c>
      <c r="I147" s="139">
        <v>2201</v>
      </c>
      <c r="J147" s="140" t="s">
        <v>162</v>
      </c>
      <c r="K147" s="140" t="s">
        <v>680</v>
      </c>
      <c r="L147" s="139">
        <v>2201007</v>
      </c>
      <c r="M147" s="140" t="s">
        <v>681</v>
      </c>
      <c r="N147" s="139">
        <v>2201073</v>
      </c>
      <c r="O147" s="140" t="s">
        <v>681</v>
      </c>
      <c r="P147" s="139">
        <v>220100700</v>
      </c>
      <c r="Q147" s="142" t="s">
        <v>682</v>
      </c>
      <c r="R147" s="137">
        <v>220107300</v>
      </c>
      <c r="S147" s="142" t="s">
        <v>682</v>
      </c>
      <c r="T147" s="145" t="s">
        <v>157</v>
      </c>
      <c r="U147" s="145">
        <v>7973</v>
      </c>
      <c r="V147" s="145"/>
      <c r="W147" s="145">
        <f t="shared" si="15"/>
        <v>7973</v>
      </c>
      <c r="X147" s="145">
        <v>0</v>
      </c>
      <c r="Y147" s="146">
        <v>2020003630093</v>
      </c>
      <c r="Z147" s="260" t="s">
        <v>683</v>
      </c>
      <c r="AA147" s="260" t="s">
        <v>684</v>
      </c>
      <c r="AB147" s="130"/>
      <c r="AC147" s="130"/>
      <c r="AD147" s="130"/>
      <c r="AE147" s="130">
        <v>0</v>
      </c>
      <c r="AF147" s="130"/>
      <c r="AG147" s="130"/>
      <c r="AH147" s="130"/>
      <c r="AI147" s="130"/>
      <c r="AJ147" s="130"/>
      <c r="AK147" s="130"/>
      <c r="AL147" s="130"/>
      <c r="AM147" s="130"/>
      <c r="AN147" s="130">
        <v>0</v>
      </c>
      <c r="AO147" s="130"/>
      <c r="AP147" s="130"/>
      <c r="AQ147" s="130"/>
      <c r="AR147" s="130"/>
      <c r="AS147" s="130"/>
      <c r="AT147" s="135">
        <v>20000000</v>
      </c>
      <c r="AU147" s="135"/>
      <c r="AV147" s="135"/>
      <c r="AW147" s="130"/>
      <c r="AX147" s="130"/>
      <c r="AY147" s="130"/>
      <c r="AZ147" s="130"/>
      <c r="BA147" s="130"/>
      <c r="BB147" s="130"/>
      <c r="BC147" s="130">
        <v>0</v>
      </c>
      <c r="BD147" s="130"/>
      <c r="BE147" s="130"/>
      <c r="BF147" s="138">
        <f t="shared" si="16"/>
        <v>20000000</v>
      </c>
      <c r="BG147" s="138">
        <f t="shared" si="17"/>
        <v>0</v>
      </c>
      <c r="BH147" s="138">
        <f t="shared" si="18"/>
        <v>0</v>
      </c>
      <c r="BI147" s="149" t="s">
        <v>5</v>
      </c>
    </row>
    <row r="148" spans="1:61" s="151" customFormat="1" ht="98.25" customHeight="1">
      <c r="A148" s="139">
        <v>314</v>
      </c>
      <c r="B148" s="140" t="s">
        <v>643</v>
      </c>
      <c r="C148" s="139">
        <v>1</v>
      </c>
      <c r="D148" s="140" t="s">
        <v>148</v>
      </c>
      <c r="E148" s="139">
        <v>22</v>
      </c>
      <c r="F148" s="140" t="s">
        <v>160</v>
      </c>
      <c r="G148" s="139">
        <v>2201</v>
      </c>
      <c r="H148" s="140" t="s">
        <v>297</v>
      </c>
      <c r="I148" s="139">
        <v>2201</v>
      </c>
      <c r="J148" s="140" t="s">
        <v>162</v>
      </c>
      <c r="K148" s="140" t="s">
        <v>685</v>
      </c>
      <c r="L148" s="139">
        <v>2201068</v>
      </c>
      <c r="M148" s="140" t="s">
        <v>299</v>
      </c>
      <c r="N148" s="139">
        <v>2201068</v>
      </c>
      <c r="O148" s="140" t="s">
        <v>299</v>
      </c>
      <c r="P148" s="295">
        <v>220106800</v>
      </c>
      <c r="Q148" s="142" t="s">
        <v>300</v>
      </c>
      <c r="R148" s="295">
        <v>220106800</v>
      </c>
      <c r="S148" s="142" t="s">
        <v>300</v>
      </c>
      <c r="T148" s="145" t="s">
        <v>157</v>
      </c>
      <c r="U148" s="139">
        <v>72</v>
      </c>
      <c r="V148" s="139"/>
      <c r="W148" s="145">
        <f t="shared" si="15"/>
        <v>72</v>
      </c>
      <c r="X148" s="145">
        <v>18</v>
      </c>
      <c r="Y148" s="146">
        <v>2020003630093</v>
      </c>
      <c r="Z148" s="260" t="s">
        <v>683</v>
      </c>
      <c r="AA148" s="260" t="s">
        <v>684</v>
      </c>
      <c r="AB148" s="130"/>
      <c r="AC148" s="130"/>
      <c r="AD148" s="130"/>
      <c r="AE148" s="130">
        <v>0</v>
      </c>
      <c r="AF148" s="130"/>
      <c r="AG148" s="130"/>
      <c r="AH148" s="130"/>
      <c r="AI148" s="130"/>
      <c r="AJ148" s="130"/>
      <c r="AK148" s="130"/>
      <c r="AL148" s="130"/>
      <c r="AM148" s="130"/>
      <c r="AN148" s="130">
        <v>0</v>
      </c>
      <c r="AO148" s="130"/>
      <c r="AP148" s="130"/>
      <c r="AQ148" s="130"/>
      <c r="AR148" s="130"/>
      <c r="AS148" s="130"/>
      <c r="AT148" s="135">
        <v>18000000</v>
      </c>
      <c r="AU148" s="135">
        <v>17972800</v>
      </c>
      <c r="AV148" s="135">
        <v>17972800</v>
      </c>
      <c r="AW148" s="130"/>
      <c r="AX148" s="130"/>
      <c r="AY148" s="130"/>
      <c r="AZ148" s="130"/>
      <c r="BA148" s="130"/>
      <c r="BB148" s="130"/>
      <c r="BC148" s="130">
        <v>0</v>
      </c>
      <c r="BD148" s="130"/>
      <c r="BE148" s="130"/>
      <c r="BF148" s="138">
        <f t="shared" si="16"/>
        <v>18000000</v>
      </c>
      <c r="BG148" s="138">
        <f t="shared" si="17"/>
        <v>17972800</v>
      </c>
      <c r="BH148" s="138">
        <f t="shared" si="18"/>
        <v>17972800</v>
      </c>
      <c r="BI148" s="149" t="s">
        <v>5</v>
      </c>
    </row>
    <row r="149" spans="1:61" s="151" customFormat="1" ht="97.5" customHeight="1">
      <c r="A149" s="139">
        <v>314</v>
      </c>
      <c r="B149" s="140" t="s">
        <v>643</v>
      </c>
      <c r="C149" s="139">
        <v>1</v>
      </c>
      <c r="D149" s="140" t="s">
        <v>148</v>
      </c>
      <c r="E149" s="139">
        <v>22</v>
      </c>
      <c r="F149" s="140" t="s">
        <v>160</v>
      </c>
      <c r="G149" s="139">
        <v>2201</v>
      </c>
      <c r="H149" s="140" t="s">
        <v>297</v>
      </c>
      <c r="I149" s="139">
        <v>2201</v>
      </c>
      <c r="J149" s="140" t="s">
        <v>162</v>
      </c>
      <c r="K149" s="140" t="s">
        <v>667</v>
      </c>
      <c r="L149" s="139">
        <v>2201026</v>
      </c>
      <c r="M149" s="140" t="s">
        <v>686</v>
      </c>
      <c r="N149" s="139">
        <v>2201026</v>
      </c>
      <c r="O149" s="140" t="s">
        <v>686</v>
      </c>
      <c r="P149" s="295">
        <v>220102600</v>
      </c>
      <c r="Q149" s="142" t="s">
        <v>687</v>
      </c>
      <c r="R149" s="295">
        <v>220102600</v>
      </c>
      <c r="S149" s="142" t="s">
        <v>687</v>
      </c>
      <c r="T149" s="145" t="s">
        <v>157</v>
      </c>
      <c r="U149" s="145">
        <v>10</v>
      </c>
      <c r="V149" s="145"/>
      <c r="W149" s="145">
        <f t="shared" si="15"/>
        <v>10</v>
      </c>
      <c r="X149" s="145">
        <v>0</v>
      </c>
      <c r="Y149" s="146">
        <v>2020003630093</v>
      </c>
      <c r="Z149" s="260" t="s">
        <v>683</v>
      </c>
      <c r="AA149" s="260" t="s">
        <v>684</v>
      </c>
      <c r="AB149" s="130"/>
      <c r="AC149" s="130"/>
      <c r="AD149" s="130"/>
      <c r="AE149" s="130">
        <v>0</v>
      </c>
      <c r="AF149" s="130"/>
      <c r="AG149" s="130"/>
      <c r="AH149" s="130"/>
      <c r="AI149" s="130"/>
      <c r="AJ149" s="130"/>
      <c r="AK149" s="130"/>
      <c r="AL149" s="130"/>
      <c r="AM149" s="130"/>
      <c r="AN149" s="130">
        <f>5000000+714862+505627</f>
        <v>6220489</v>
      </c>
      <c r="AO149" s="130"/>
      <c r="AP149" s="130"/>
      <c r="AQ149" s="130"/>
      <c r="AR149" s="130"/>
      <c r="AS149" s="130"/>
      <c r="AT149" s="135">
        <f>35000000-14000000</f>
        <v>21000000</v>
      </c>
      <c r="AU149" s="135"/>
      <c r="AV149" s="135"/>
      <c r="AW149" s="130"/>
      <c r="AX149" s="130"/>
      <c r="AY149" s="130"/>
      <c r="AZ149" s="130"/>
      <c r="BA149" s="130"/>
      <c r="BB149" s="130"/>
      <c r="BC149" s="130">
        <v>0</v>
      </c>
      <c r="BD149" s="130"/>
      <c r="BE149" s="130"/>
      <c r="BF149" s="138">
        <f t="shared" si="16"/>
        <v>27220489</v>
      </c>
      <c r="BG149" s="138">
        <f t="shared" si="17"/>
        <v>0</v>
      </c>
      <c r="BH149" s="138">
        <f t="shared" si="18"/>
        <v>0</v>
      </c>
      <c r="BI149" s="149" t="s">
        <v>5</v>
      </c>
    </row>
    <row r="150" spans="1:61" s="151" customFormat="1" ht="156.75" customHeight="1">
      <c r="A150" s="139">
        <v>314</v>
      </c>
      <c r="B150" s="140" t="s">
        <v>643</v>
      </c>
      <c r="C150" s="139">
        <v>1</v>
      </c>
      <c r="D150" s="140" t="s">
        <v>148</v>
      </c>
      <c r="E150" s="139">
        <v>22</v>
      </c>
      <c r="F150" s="140" t="s">
        <v>160</v>
      </c>
      <c r="G150" s="139">
        <v>2201</v>
      </c>
      <c r="H150" s="140" t="s">
        <v>297</v>
      </c>
      <c r="I150" s="139">
        <v>2201</v>
      </c>
      <c r="J150" s="140" t="s">
        <v>162</v>
      </c>
      <c r="K150" s="140" t="s">
        <v>680</v>
      </c>
      <c r="L150" s="139">
        <v>2201009</v>
      </c>
      <c r="M150" s="140" t="s">
        <v>688</v>
      </c>
      <c r="N150" s="139">
        <v>2201074</v>
      </c>
      <c r="O150" s="140" t="s">
        <v>688</v>
      </c>
      <c r="P150" s="139">
        <v>220100900</v>
      </c>
      <c r="Q150" s="142" t="s">
        <v>689</v>
      </c>
      <c r="R150" s="137">
        <v>220107400</v>
      </c>
      <c r="S150" s="142" t="s">
        <v>690</v>
      </c>
      <c r="T150" s="145" t="s">
        <v>157</v>
      </c>
      <c r="U150" s="145">
        <v>604</v>
      </c>
      <c r="V150" s="145"/>
      <c r="W150" s="145">
        <f t="shared" si="15"/>
        <v>604</v>
      </c>
      <c r="X150" s="145">
        <v>0</v>
      </c>
      <c r="Y150" s="146">
        <v>2020003630093</v>
      </c>
      <c r="Z150" s="260" t="s">
        <v>683</v>
      </c>
      <c r="AA150" s="260" t="s">
        <v>684</v>
      </c>
      <c r="AB150" s="130"/>
      <c r="AC150" s="130"/>
      <c r="AD150" s="130"/>
      <c r="AE150" s="130">
        <v>0</v>
      </c>
      <c r="AF150" s="130"/>
      <c r="AG150" s="130"/>
      <c r="AH150" s="130"/>
      <c r="AI150" s="130"/>
      <c r="AJ150" s="130"/>
      <c r="AK150" s="130"/>
      <c r="AL150" s="130"/>
      <c r="AM150" s="130"/>
      <c r="AN150" s="130">
        <v>0</v>
      </c>
      <c r="AO150" s="130"/>
      <c r="AP150" s="130"/>
      <c r="AQ150" s="130"/>
      <c r="AR150" s="130"/>
      <c r="AS150" s="130"/>
      <c r="AT150" s="135">
        <v>20000000</v>
      </c>
      <c r="AU150" s="135"/>
      <c r="AV150" s="135"/>
      <c r="AW150" s="130"/>
      <c r="AX150" s="130"/>
      <c r="AY150" s="130"/>
      <c r="AZ150" s="130"/>
      <c r="BA150" s="130"/>
      <c r="BB150" s="130"/>
      <c r="BC150" s="130">
        <v>0</v>
      </c>
      <c r="BD150" s="130"/>
      <c r="BE150" s="130"/>
      <c r="BF150" s="138">
        <f t="shared" si="16"/>
        <v>20000000</v>
      </c>
      <c r="BG150" s="138">
        <f t="shared" si="17"/>
        <v>0</v>
      </c>
      <c r="BH150" s="138">
        <f t="shared" si="18"/>
        <v>0</v>
      </c>
      <c r="BI150" s="149" t="s">
        <v>5</v>
      </c>
    </row>
    <row r="151" spans="1:61" s="151" customFormat="1" ht="145.5" customHeight="1">
      <c r="A151" s="139">
        <v>314</v>
      </c>
      <c r="B151" s="140" t="s">
        <v>643</v>
      </c>
      <c r="C151" s="139">
        <v>1</v>
      </c>
      <c r="D151" s="140" t="s">
        <v>148</v>
      </c>
      <c r="E151" s="139">
        <v>22</v>
      </c>
      <c r="F151" s="140" t="s">
        <v>160</v>
      </c>
      <c r="G151" s="139">
        <v>2201</v>
      </c>
      <c r="H151" s="140" t="s">
        <v>297</v>
      </c>
      <c r="I151" s="139">
        <v>2201</v>
      </c>
      <c r="J151" s="140" t="s">
        <v>162</v>
      </c>
      <c r="K151" s="140" t="s">
        <v>680</v>
      </c>
      <c r="L151" s="139">
        <v>2201010</v>
      </c>
      <c r="M151" s="140" t="s">
        <v>691</v>
      </c>
      <c r="N151" s="139">
        <v>2201074</v>
      </c>
      <c r="O151" s="140" t="s">
        <v>692</v>
      </c>
      <c r="P151" s="139">
        <v>220101000</v>
      </c>
      <c r="Q151" s="142" t="s">
        <v>693</v>
      </c>
      <c r="R151" s="137">
        <v>220107400</v>
      </c>
      <c r="S151" s="142" t="s">
        <v>690</v>
      </c>
      <c r="T151" s="145" t="s">
        <v>69</v>
      </c>
      <c r="U151" s="145">
        <v>94</v>
      </c>
      <c r="V151" s="145"/>
      <c r="W151" s="145">
        <f t="shared" si="15"/>
        <v>94</v>
      </c>
      <c r="X151" s="145">
        <v>0</v>
      </c>
      <c r="Y151" s="146">
        <v>2020003630093</v>
      </c>
      <c r="Z151" s="260" t="s">
        <v>683</v>
      </c>
      <c r="AA151" s="260" t="s">
        <v>684</v>
      </c>
      <c r="AB151" s="130"/>
      <c r="AC151" s="130"/>
      <c r="AD151" s="130"/>
      <c r="AE151" s="130">
        <v>0</v>
      </c>
      <c r="AF151" s="130"/>
      <c r="AG151" s="130"/>
      <c r="AH151" s="130"/>
      <c r="AI151" s="130"/>
      <c r="AJ151" s="130"/>
      <c r="AK151" s="130"/>
      <c r="AL151" s="130"/>
      <c r="AM151" s="130"/>
      <c r="AN151" s="130">
        <v>0</v>
      </c>
      <c r="AO151" s="130"/>
      <c r="AP151" s="130"/>
      <c r="AQ151" s="130"/>
      <c r="AR151" s="130"/>
      <c r="AS151" s="130"/>
      <c r="AT151" s="135">
        <v>5000000</v>
      </c>
      <c r="AU151" s="135"/>
      <c r="AV151" s="135"/>
      <c r="AW151" s="130"/>
      <c r="AX151" s="130"/>
      <c r="AY151" s="130"/>
      <c r="AZ151" s="130"/>
      <c r="BA151" s="130"/>
      <c r="BB151" s="130"/>
      <c r="BC151" s="130">
        <v>0</v>
      </c>
      <c r="BD151" s="130"/>
      <c r="BE151" s="130"/>
      <c r="BF151" s="138">
        <f t="shared" si="16"/>
        <v>5000000</v>
      </c>
      <c r="BG151" s="138">
        <f t="shared" si="17"/>
        <v>0</v>
      </c>
      <c r="BH151" s="138">
        <f t="shared" si="18"/>
        <v>0</v>
      </c>
      <c r="BI151" s="149" t="s">
        <v>5</v>
      </c>
    </row>
    <row r="152" spans="1:61" s="151" customFormat="1" ht="109.5" customHeight="1">
      <c r="A152" s="139">
        <v>314</v>
      </c>
      <c r="B152" s="140" t="s">
        <v>643</v>
      </c>
      <c r="C152" s="139">
        <v>1</v>
      </c>
      <c r="D152" s="140" t="s">
        <v>148</v>
      </c>
      <c r="E152" s="139">
        <v>22</v>
      </c>
      <c r="F152" s="140" t="s">
        <v>160</v>
      </c>
      <c r="G152" s="139">
        <v>2201</v>
      </c>
      <c r="H152" s="140" t="s">
        <v>297</v>
      </c>
      <c r="I152" s="139">
        <v>2201</v>
      </c>
      <c r="J152" s="140" t="s">
        <v>162</v>
      </c>
      <c r="K152" s="140" t="s">
        <v>694</v>
      </c>
      <c r="L152" s="139">
        <v>2201035</v>
      </c>
      <c r="M152" s="140" t="s">
        <v>695</v>
      </c>
      <c r="N152" s="139">
        <v>2201035</v>
      </c>
      <c r="O152" s="140" t="s">
        <v>695</v>
      </c>
      <c r="P152" s="137">
        <v>220103500</v>
      </c>
      <c r="Q152" s="142" t="s">
        <v>696</v>
      </c>
      <c r="R152" s="137">
        <v>220103500</v>
      </c>
      <c r="S152" s="142" t="s">
        <v>696</v>
      </c>
      <c r="T152" s="145" t="s">
        <v>157</v>
      </c>
      <c r="U152" s="145">
        <v>8</v>
      </c>
      <c r="V152" s="145"/>
      <c r="W152" s="145">
        <f t="shared" si="15"/>
        <v>8</v>
      </c>
      <c r="X152" s="145">
        <v>1</v>
      </c>
      <c r="Y152" s="146">
        <v>2020003630093</v>
      </c>
      <c r="Z152" s="260" t="s">
        <v>683</v>
      </c>
      <c r="AA152" s="260" t="s">
        <v>684</v>
      </c>
      <c r="AB152" s="130"/>
      <c r="AC152" s="130"/>
      <c r="AD152" s="130"/>
      <c r="AE152" s="130">
        <v>0</v>
      </c>
      <c r="AF152" s="130"/>
      <c r="AG152" s="130"/>
      <c r="AH152" s="130"/>
      <c r="AI152" s="130"/>
      <c r="AJ152" s="130"/>
      <c r="AK152" s="130"/>
      <c r="AL152" s="130"/>
      <c r="AM152" s="130"/>
      <c r="AN152" s="130">
        <v>0</v>
      </c>
      <c r="AO152" s="130"/>
      <c r="AP152" s="130"/>
      <c r="AQ152" s="130"/>
      <c r="AR152" s="130"/>
      <c r="AS152" s="130"/>
      <c r="AT152" s="135">
        <v>10000000</v>
      </c>
      <c r="AU152" s="135">
        <v>4800000</v>
      </c>
      <c r="AV152" s="135">
        <v>4800000</v>
      </c>
      <c r="AW152" s="130"/>
      <c r="AX152" s="130"/>
      <c r="AY152" s="130"/>
      <c r="AZ152" s="130"/>
      <c r="BA152" s="130"/>
      <c r="BB152" s="130"/>
      <c r="BC152" s="130">
        <v>0</v>
      </c>
      <c r="BD152" s="130"/>
      <c r="BE152" s="130"/>
      <c r="BF152" s="138">
        <f t="shared" si="16"/>
        <v>10000000</v>
      </c>
      <c r="BG152" s="138">
        <f t="shared" si="17"/>
        <v>4800000</v>
      </c>
      <c r="BH152" s="138">
        <f t="shared" si="18"/>
        <v>4800000</v>
      </c>
      <c r="BI152" s="149" t="s">
        <v>5</v>
      </c>
    </row>
    <row r="153" spans="1:61" s="151" customFormat="1" ht="109.5" customHeight="1">
      <c r="A153" s="139">
        <v>314</v>
      </c>
      <c r="B153" s="140" t="s">
        <v>643</v>
      </c>
      <c r="C153" s="139">
        <v>1</v>
      </c>
      <c r="D153" s="140" t="s">
        <v>148</v>
      </c>
      <c r="E153" s="139">
        <v>22</v>
      </c>
      <c r="F153" s="140" t="s">
        <v>160</v>
      </c>
      <c r="G153" s="139">
        <v>2201</v>
      </c>
      <c r="H153" s="140" t="s">
        <v>297</v>
      </c>
      <c r="I153" s="139">
        <v>2201</v>
      </c>
      <c r="J153" s="140" t="s">
        <v>162</v>
      </c>
      <c r="K153" s="140" t="s">
        <v>658</v>
      </c>
      <c r="L153" s="139">
        <v>2201046</v>
      </c>
      <c r="M153" s="140" t="s">
        <v>697</v>
      </c>
      <c r="N153" s="139">
        <v>2201046</v>
      </c>
      <c r="O153" s="140" t="s">
        <v>697</v>
      </c>
      <c r="P153" s="295">
        <v>220104602</v>
      </c>
      <c r="Q153" s="142" t="s">
        <v>698</v>
      </c>
      <c r="R153" s="295">
        <v>220104602</v>
      </c>
      <c r="S153" s="142" t="s">
        <v>698</v>
      </c>
      <c r="T153" s="145" t="s">
        <v>157</v>
      </c>
      <c r="U153" s="145">
        <v>18</v>
      </c>
      <c r="V153" s="145"/>
      <c r="W153" s="145">
        <f t="shared" si="15"/>
        <v>18</v>
      </c>
      <c r="X153" s="145">
        <v>2</v>
      </c>
      <c r="Y153" s="146">
        <v>2020003630093</v>
      </c>
      <c r="Z153" s="260" t="s">
        <v>683</v>
      </c>
      <c r="AA153" s="260" t="s">
        <v>684</v>
      </c>
      <c r="AB153" s="130"/>
      <c r="AC153" s="130"/>
      <c r="AD153" s="130"/>
      <c r="AE153" s="138">
        <v>0</v>
      </c>
      <c r="AF153" s="138"/>
      <c r="AG153" s="138"/>
      <c r="AH153" s="130"/>
      <c r="AI153" s="130"/>
      <c r="AJ153" s="130"/>
      <c r="AK153" s="130"/>
      <c r="AL153" s="130"/>
      <c r="AM153" s="130"/>
      <c r="AN153" s="130">
        <v>0</v>
      </c>
      <c r="AO153" s="130"/>
      <c r="AP153" s="130"/>
      <c r="AQ153" s="130"/>
      <c r="AR153" s="130"/>
      <c r="AS153" s="130"/>
      <c r="AT153" s="135">
        <v>19000000</v>
      </c>
      <c r="AU153" s="135">
        <v>4800000</v>
      </c>
      <c r="AV153" s="135">
        <v>1600000</v>
      </c>
      <c r="AW153" s="130"/>
      <c r="AX153" s="130"/>
      <c r="AY153" s="130"/>
      <c r="AZ153" s="130"/>
      <c r="BA153" s="130"/>
      <c r="BB153" s="130"/>
      <c r="BC153" s="130">
        <v>0</v>
      </c>
      <c r="BD153" s="130"/>
      <c r="BE153" s="130"/>
      <c r="BF153" s="138">
        <f t="shared" si="16"/>
        <v>19000000</v>
      </c>
      <c r="BG153" s="138">
        <f t="shared" si="17"/>
        <v>4800000</v>
      </c>
      <c r="BH153" s="138">
        <f t="shared" si="18"/>
        <v>1600000</v>
      </c>
      <c r="BI153" s="149" t="s">
        <v>5</v>
      </c>
    </row>
    <row r="154" spans="1:61" s="151" customFormat="1" ht="109.5" customHeight="1">
      <c r="A154" s="139">
        <v>314</v>
      </c>
      <c r="B154" s="140" t="s">
        <v>643</v>
      </c>
      <c r="C154" s="139">
        <v>1</v>
      </c>
      <c r="D154" s="140" t="s">
        <v>148</v>
      </c>
      <c r="E154" s="139">
        <v>22</v>
      </c>
      <c r="F154" s="140" t="s">
        <v>160</v>
      </c>
      <c r="G154" s="139">
        <v>2201</v>
      </c>
      <c r="H154" s="140" t="s">
        <v>297</v>
      </c>
      <c r="I154" s="139">
        <v>2201</v>
      </c>
      <c r="J154" s="140" t="s">
        <v>162</v>
      </c>
      <c r="K154" s="140" t="s">
        <v>658</v>
      </c>
      <c r="L154" s="139">
        <v>2201054</v>
      </c>
      <c r="M154" s="140" t="s">
        <v>699</v>
      </c>
      <c r="N154" s="139">
        <v>2201054</v>
      </c>
      <c r="O154" s="140" t="s">
        <v>699</v>
      </c>
      <c r="P154" s="137">
        <v>220105400</v>
      </c>
      <c r="Q154" s="142" t="s">
        <v>700</v>
      </c>
      <c r="R154" s="137">
        <v>220105400</v>
      </c>
      <c r="S154" s="142" t="s">
        <v>700</v>
      </c>
      <c r="T154" s="145" t="s">
        <v>69</v>
      </c>
      <c r="U154" s="145">
        <v>11</v>
      </c>
      <c r="V154" s="145"/>
      <c r="W154" s="145">
        <f t="shared" si="15"/>
        <v>11</v>
      </c>
      <c r="X154" s="145">
        <v>7</v>
      </c>
      <c r="Y154" s="146">
        <v>2020003630093</v>
      </c>
      <c r="Z154" s="260" t="s">
        <v>683</v>
      </c>
      <c r="AA154" s="260" t="s">
        <v>684</v>
      </c>
      <c r="AB154" s="130"/>
      <c r="AC154" s="130"/>
      <c r="AD154" s="130"/>
      <c r="AE154" s="130">
        <v>0</v>
      </c>
      <c r="AF154" s="130"/>
      <c r="AG154" s="130"/>
      <c r="AH154" s="130"/>
      <c r="AI154" s="130"/>
      <c r="AJ154" s="130"/>
      <c r="AK154" s="130"/>
      <c r="AL154" s="130"/>
      <c r="AM154" s="130"/>
      <c r="AN154" s="130">
        <v>0</v>
      </c>
      <c r="AO154" s="130"/>
      <c r="AP154" s="130"/>
      <c r="AQ154" s="130"/>
      <c r="AR154" s="130"/>
      <c r="AS154" s="130"/>
      <c r="AT154" s="135">
        <v>10000000</v>
      </c>
      <c r="AU154" s="135">
        <v>9200000</v>
      </c>
      <c r="AV154" s="135">
        <v>6400000</v>
      </c>
      <c r="AW154" s="130"/>
      <c r="AX154" s="130"/>
      <c r="AY154" s="130"/>
      <c r="AZ154" s="130"/>
      <c r="BA154" s="130"/>
      <c r="BB154" s="130"/>
      <c r="BC154" s="130">
        <v>0</v>
      </c>
      <c r="BD154" s="130"/>
      <c r="BE154" s="130"/>
      <c r="BF154" s="138">
        <f t="shared" si="16"/>
        <v>10000000</v>
      </c>
      <c r="BG154" s="138">
        <f t="shared" si="17"/>
        <v>9200000</v>
      </c>
      <c r="BH154" s="138">
        <f t="shared" si="18"/>
        <v>6400000</v>
      </c>
      <c r="BI154" s="149" t="s">
        <v>5</v>
      </c>
    </row>
    <row r="155" spans="1:61" s="151" customFormat="1" ht="109.5" customHeight="1">
      <c r="A155" s="139">
        <v>314</v>
      </c>
      <c r="B155" s="140" t="s">
        <v>643</v>
      </c>
      <c r="C155" s="139">
        <v>1</v>
      </c>
      <c r="D155" s="140" t="s">
        <v>148</v>
      </c>
      <c r="E155" s="139">
        <v>22</v>
      </c>
      <c r="F155" s="140" t="s">
        <v>160</v>
      </c>
      <c r="G155" s="139">
        <v>2201</v>
      </c>
      <c r="H155" s="140" t="s">
        <v>297</v>
      </c>
      <c r="I155" s="139">
        <v>2201</v>
      </c>
      <c r="J155" s="140" t="s">
        <v>162</v>
      </c>
      <c r="K155" s="140" t="s">
        <v>655</v>
      </c>
      <c r="L155" s="139">
        <v>2201061</v>
      </c>
      <c r="M155" s="140" t="s">
        <v>701</v>
      </c>
      <c r="N155" s="139">
        <v>2201061</v>
      </c>
      <c r="O155" s="140" t="s">
        <v>701</v>
      </c>
      <c r="P155" s="137">
        <v>220106102</v>
      </c>
      <c r="Q155" s="142" t="s">
        <v>702</v>
      </c>
      <c r="R155" s="137">
        <v>220106102</v>
      </c>
      <c r="S155" s="141" t="s">
        <v>702</v>
      </c>
      <c r="T155" s="145" t="s">
        <v>157</v>
      </c>
      <c r="U155" s="145">
        <v>14</v>
      </c>
      <c r="V155" s="145"/>
      <c r="W155" s="145">
        <f t="shared" si="15"/>
        <v>14</v>
      </c>
      <c r="X155" s="145">
        <v>0</v>
      </c>
      <c r="Y155" s="146">
        <v>2020003630093</v>
      </c>
      <c r="Z155" s="260" t="s">
        <v>683</v>
      </c>
      <c r="AA155" s="260" t="s">
        <v>684</v>
      </c>
      <c r="AB155" s="130"/>
      <c r="AC155" s="130"/>
      <c r="AD155" s="130"/>
      <c r="AE155" s="130">
        <v>0</v>
      </c>
      <c r="AF155" s="130"/>
      <c r="AG155" s="130"/>
      <c r="AH155" s="130"/>
      <c r="AI155" s="130"/>
      <c r="AJ155" s="130"/>
      <c r="AK155" s="130"/>
      <c r="AL155" s="130"/>
      <c r="AM155" s="130"/>
      <c r="AN155" s="130">
        <v>0</v>
      </c>
      <c r="AO155" s="130"/>
      <c r="AP155" s="130"/>
      <c r="AQ155" s="130"/>
      <c r="AR155" s="130"/>
      <c r="AS155" s="130"/>
      <c r="AT155" s="135">
        <v>10000000</v>
      </c>
      <c r="AU155" s="135">
        <v>9600000</v>
      </c>
      <c r="AV155" s="135"/>
      <c r="AW155" s="130"/>
      <c r="AX155" s="130"/>
      <c r="AY155" s="130"/>
      <c r="AZ155" s="130"/>
      <c r="BA155" s="130"/>
      <c r="BB155" s="130"/>
      <c r="BC155" s="130">
        <v>0</v>
      </c>
      <c r="BD155" s="130"/>
      <c r="BE155" s="130"/>
      <c r="BF155" s="138">
        <f t="shared" si="16"/>
        <v>10000000</v>
      </c>
      <c r="BG155" s="138">
        <f t="shared" si="17"/>
        <v>9600000</v>
      </c>
      <c r="BH155" s="138">
        <f t="shared" si="18"/>
        <v>0</v>
      </c>
      <c r="BI155" s="149" t="s">
        <v>5</v>
      </c>
    </row>
    <row r="156" spans="1:61" s="151" customFormat="1" ht="98.25" customHeight="1">
      <c r="A156" s="139">
        <v>314</v>
      </c>
      <c r="B156" s="140" t="s">
        <v>643</v>
      </c>
      <c r="C156" s="139">
        <v>1</v>
      </c>
      <c r="D156" s="140" t="s">
        <v>148</v>
      </c>
      <c r="E156" s="139">
        <v>22</v>
      </c>
      <c r="F156" s="140" t="s">
        <v>160</v>
      </c>
      <c r="G156" s="139">
        <v>2201</v>
      </c>
      <c r="H156" s="140" t="s">
        <v>297</v>
      </c>
      <c r="I156" s="139">
        <v>2201</v>
      </c>
      <c r="J156" s="140" t="s">
        <v>162</v>
      </c>
      <c r="K156" s="142" t="s">
        <v>703</v>
      </c>
      <c r="L156" s="139">
        <v>2201066</v>
      </c>
      <c r="M156" s="140" t="s">
        <v>704</v>
      </c>
      <c r="N156" s="139">
        <v>2201066</v>
      </c>
      <c r="O156" s="140" t="s">
        <v>704</v>
      </c>
      <c r="P156" s="137">
        <v>220106600</v>
      </c>
      <c r="Q156" s="142" t="s">
        <v>705</v>
      </c>
      <c r="R156" s="137">
        <v>220106600</v>
      </c>
      <c r="S156" s="142" t="s">
        <v>705</v>
      </c>
      <c r="T156" s="145" t="s">
        <v>157</v>
      </c>
      <c r="U156" s="297">
        <v>9496</v>
      </c>
      <c r="V156" s="297">
        <v>2533</v>
      </c>
      <c r="W156" s="145">
        <f t="shared" si="15"/>
        <v>12029</v>
      </c>
      <c r="X156" s="145">
        <v>0</v>
      </c>
      <c r="Y156" s="146">
        <v>2020003630093</v>
      </c>
      <c r="Z156" s="260" t="s">
        <v>683</v>
      </c>
      <c r="AA156" s="260" t="s">
        <v>684</v>
      </c>
      <c r="AB156" s="130"/>
      <c r="AC156" s="130"/>
      <c r="AD156" s="130"/>
      <c r="AE156" s="130">
        <v>0</v>
      </c>
      <c r="AF156" s="130"/>
      <c r="AG156" s="130"/>
      <c r="AH156" s="130"/>
      <c r="AI156" s="130"/>
      <c r="AJ156" s="130"/>
      <c r="AK156" s="130"/>
      <c r="AL156" s="130"/>
      <c r="AM156" s="130"/>
      <c r="AN156" s="130">
        <v>0</v>
      </c>
      <c r="AO156" s="130"/>
      <c r="AP156" s="130"/>
      <c r="AQ156" s="130"/>
      <c r="AR156" s="130"/>
      <c r="AS156" s="130"/>
      <c r="AT156" s="135">
        <v>30000000</v>
      </c>
      <c r="AU156" s="135">
        <v>9600000</v>
      </c>
      <c r="AV156" s="135"/>
      <c r="AW156" s="130"/>
      <c r="AX156" s="130"/>
      <c r="AY156" s="130"/>
      <c r="AZ156" s="130"/>
      <c r="BA156" s="130"/>
      <c r="BB156" s="130"/>
      <c r="BC156" s="130">
        <v>0</v>
      </c>
      <c r="BD156" s="130"/>
      <c r="BE156" s="130"/>
      <c r="BF156" s="138">
        <f t="shared" si="16"/>
        <v>30000000</v>
      </c>
      <c r="BG156" s="138">
        <f t="shared" si="17"/>
        <v>9600000</v>
      </c>
      <c r="BH156" s="138">
        <f t="shared" si="18"/>
        <v>0</v>
      </c>
      <c r="BI156" s="149" t="s">
        <v>5</v>
      </c>
    </row>
    <row r="157" spans="1:61" s="151" customFormat="1" ht="76.5">
      <c r="A157" s="139">
        <v>314</v>
      </c>
      <c r="B157" s="140" t="s">
        <v>643</v>
      </c>
      <c r="C157" s="139">
        <v>1</v>
      </c>
      <c r="D157" s="140" t="s">
        <v>148</v>
      </c>
      <c r="E157" s="139">
        <v>22</v>
      </c>
      <c r="F157" s="140" t="s">
        <v>160</v>
      </c>
      <c r="G157" s="139">
        <v>2201</v>
      </c>
      <c r="H157" s="140" t="s">
        <v>297</v>
      </c>
      <c r="I157" s="139">
        <v>2201</v>
      </c>
      <c r="J157" s="140" t="s">
        <v>162</v>
      </c>
      <c r="K157" s="140" t="s">
        <v>706</v>
      </c>
      <c r="L157" s="139">
        <v>2201006</v>
      </c>
      <c r="M157" s="140" t="s">
        <v>707</v>
      </c>
      <c r="N157" s="139">
        <v>2201006</v>
      </c>
      <c r="O157" s="140" t="s">
        <v>707</v>
      </c>
      <c r="P157" s="295">
        <v>220100600</v>
      </c>
      <c r="Q157" s="142" t="s">
        <v>708</v>
      </c>
      <c r="R157" s="295">
        <v>220100600</v>
      </c>
      <c r="S157" s="142" t="s">
        <v>708</v>
      </c>
      <c r="T157" s="145" t="s">
        <v>69</v>
      </c>
      <c r="U157" s="145">
        <v>54</v>
      </c>
      <c r="V157" s="145"/>
      <c r="W157" s="145">
        <f t="shared" si="15"/>
        <v>54</v>
      </c>
      <c r="X157" s="145">
        <v>54</v>
      </c>
      <c r="Y157" s="146">
        <v>2020003630016</v>
      </c>
      <c r="Z157" s="140" t="s">
        <v>709</v>
      </c>
      <c r="AA157" s="140" t="s">
        <v>710</v>
      </c>
      <c r="AB157" s="130"/>
      <c r="AC157" s="130"/>
      <c r="AD157" s="130"/>
      <c r="AE157" s="130">
        <v>0</v>
      </c>
      <c r="AF157" s="130"/>
      <c r="AG157" s="130"/>
      <c r="AH157" s="130"/>
      <c r="AI157" s="130"/>
      <c r="AJ157" s="130"/>
      <c r="AK157" s="130"/>
      <c r="AL157" s="130"/>
      <c r="AM157" s="130"/>
      <c r="AN157" s="290">
        <v>0</v>
      </c>
      <c r="AO157" s="290"/>
      <c r="AP157" s="290"/>
      <c r="AQ157" s="130"/>
      <c r="AR157" s="130"/>
      <c r="AS157" s="130"/>
      <c r="AT157" s="135">
        <f>10000000+260000000+9100000</f>
        <v>279100000</v>
      </c>
      <c r="AU157" s="135">
        <v>261460000</v>
      </c>
      <c r="AV157" s="135">
        <v>57800000</v>
      </c>
      <c r="AW157" s="130"/>
      <c r="AX157" s="130"/>
      <c r="AY157" s="130"/>
      <c r="AZ157" s="130"/>
      <c r="BA157" s="130"/>
      <c r="BB157" s="130"/>
      <c r="BC157" s="130">
        <v>0</v>
      </c>
      <c r="BD157" s="130"/>
      <c r="BE157" s="130"/>
      <c r="BF157" s="138">
        <f t="shared" si="16"/>
        <v>279100000</v>
      </c>
      <c r="BG157" s="138">
        <f t="shared" si="17"/>
        <v>261460000</v>
      </c>
      <c r="BH157" s="138">
        <f t="shared" si="18"/>
        <v>57800000</v>
      </c>
      <c r="BI157" s="149" t="s">
        <v>5</v>
      </c>
    </row>
    <row r="158" spans="1:61" s="151" customFormat="1" ht="90.75" customHeight="1">
      <c r="A158" s="139">
        <v>314</v>
      </c>
      <c r="B158" s="140" t="s">
        <v>643</v>
      </c>
      <c r="C158" s="139">
        <v>1</v>
      </c>
      <c r="D158" s="140" t="s">
        <v>148</v>
      </c>
      <c r="E158" s="139">
        <v>22</v>
      </c>
      <c r="F158" s="140" t="s">
        <v>160</v>
      </c>
      <c r="G158" s="139">
        <v>2201</v>
      </c>
      <c r="H158" s="140" t="s">
        <v>297</v>
      </c>
      <c r="I158" s="139">
        <v>2201</v>
      </c>
      <c r="J158" s="140" t="s">
        <v>162</v>
      </c>
      <c r="K158" s="140" t="s">
        <v>706</v>
      </c>
      <c r="L158" s="139">
        <v>2201015</v>
      </c>
      <c r="M158" s="140" t="s">
        <v>711</v>
      </c>
      <c r="N158" s="139">
        <v>2201015</v>
      </c>
      <c r="O158" s="140" t="s">
        <v>711</v>
      </c>
      <c r="P158" s="137">
        <v>220101500</v>
      </c>
      <c r="Q158" s="142" t="s">
        <v>712</v>
      </c>
      <c r="R158" s="137">
        <v>220101500</v>
      </c>
      <c r="S158" s="142" t="s">
        <v>712</v>
      </c>
      <c r="T158" s="145" t="s">
        <v>69</v>
      </c>
      <c r="U158" s="145">
        <v>11</v>
      </c>
      <c r="V158" s="145"/>
      <c r="W158" s="145">
        <f t="shared" si="15"/>
        <v>11</v>
      </c>
      <c r="X158" s="145">
        <v>3</v>
      </c>
      <c r="Y158" s="146">
        <v>2020003630016</v>
      </c>
      <c r="Z158" s="140" t="s">
        <v>709</v>
      </c>
      <c r="AA158" s="140" t="s">
        <v>710</v>
      </c>
      <c r="AB158" s="130"/>
      <c r="AC158" s="130"/>
      <c r="AD158" s="130"/>
      <c r="AE158" s="130">
        <v>0</v>
      </c>
      <c r="AF158" s="130"/>
      <c r="AG158" s="130"/>
      <c r="AH158" s="130"/>
      <c r="AI158" s="130"/>
      <c r="AJ158" s="130"/>
      <c r="AK158" s="130"/>
      <c r="AL158" s="130"/>
      <c r="AM158" s="130"/>
      <c r="AN158" s="130">
        <v>0</v>
      </c>
      <c r="AO158" s="130"/>
      <c r="AP158" s="130"/>
      <c r="AQ158" s="130"/>
      <c r="AR158" s="130"/>
      <c r="AS158" s="130"/>
      <c r="AT158" s="135">
        <f>5000000+10900000</f>
        <v>15900000</v>
      </c>
      <c r="AU158" s="135">
        <v>15900000</v>
      </c>
      <c r="AV158" s="135"/>
      <c r="AW158" s="130"/>
      <c r="AX158" s="130"/>
      <c r="AY158" s="130"/>
      <c r="AZ158" s="130"/>
      <c r="BA158" s="130"/>
      <c r="BB158" s="130"/>
      <c r="BC158" s="130">
        <v>0</v>
      </c>
      <c r="BD158" s="130"/>
      <c r="BE158" s="130"/>
      <c r="BF158" s="138">
        <f t="shared" si="16"/>
        <v>15900000</v>
      </c>
      <c r="BG158" s="138">
        <f t="shared" si="17"/>
        <v>15900000</v>
      </c>
      <c r="BH158" s="138">
        <f t="shared" si="18"/>
        <v>0</v>
      </c>
      <c r="BI158" s="149" t="s">
        <v>5</v>
      </c>
    </row>
    <row r="159" spans="1:61" s="151" customFormat="1" ht="81.75" customHeight="1">
      <c r="A159" s="139">
        <v>314</v>
      </c>
      <c r="B159" s="140" t="s">
        <v>643</v>
      </c>
      <c r="C159" s="139">
        <v>1</v>
      </c>
      <c r="D159" s="140" t="s">
        <v>148</v>
      </c>
      <c r="E159" s="139">
        <v>22</v>
      </c>
      <c r="F159" s="140" t="s">
        <v>160</v>
      </c>
      <c r="G159" s="139">
        <v>2201</v>
      </c>
      <c r="H159" s="140" t="s">
        <v>297</v>
      </c>
      <c r="I159" s="139">
        <v>2201</v>
      </c>
      <c r="J159" s="140" t="s">
        <v>162</v>
      </c>
      <c r="K159" s="140" t="s">
        <v>658</v>
      </c>
      <c r="L159" s="139">
        <v>2201042</v>
      </c>
      <c r="M159" s="140" t="s">
        <v>713</v>
      </c>
      <c r="N159" s="139">
        <v>2201042</v>
      </c>
      <c r="O159" s="140" t="s">
        <v>713</v>
      </c>
      <c r="P159" s="137">
        <v>220104200</v>
      </c>
      <c r="Q159" s="142" t="s">
        <v>714</v>
      </c>
      <c r="R159" s="137">
        <v>220104200</v>
      </c>
      <c r="S159" s="142" t="s">
        <v>714</v>
      </c>
      <c r="T159" s="145" t="s">
        <v>157</v>
      </c>
      <c r="U159" s="145">
        <v>6000</v>
      </c>
      <c r="V159" s="145"/>
      <c r="W159" s="145">
        <f t="shared" si="15"/>
        <v>6000</v>
      </c>
      <c r="X159" s="145">
        <v>762</v>
      </c>
      <c r="Y159" s="146">
        <v>2020003630016</v>
      </c>
      <c r="Z159" s="140" t="s">
        <v>709</v>
      </c>
      <c r="AA159" s="140" t="s">
        <v>710</v>
      </c>
      <c r="AB159" s="130"/>
      <c r="AC159" s="130"/>
      <c r="AD159" s="130"/>
      <c r="AE159" s="130">
        <v>0</v>
      </c>
      <c r="AF159" s="130"/>
      <c r="AG159" s="130"/>
      <c r="AH159" s="130"/>
      <c r="AI159" s="130"/>
      <c r="AJ159" s="130"/>
      <c r="AK159" s="130"/>
      <c r="AL159" s="130"/>
      <c r="AM159" s="130"/>
      <c r="AN159" s="130">
        <v>0</v>
      </c>
      <c r="AO159" s="130"/>
      <c r="AP159" s="130"/>
      <c r="AQ159" s="130"/>
      <c r="AR159" s="130"/>
      <c r="AS159" s="130"/>
      <c r="AT159" s="135">
        <v>10000000</v>
      </c>
      <c r="AU159" s="135">
        <v>9600000</v>
      </c>
      <c r="AV159" s="135">
        <v>3200000</v>
      </c>
      <c r="AW159" s="130"/>
      <c r="AX159" s="130"/>
      <c r="AY159" s="130"/>
      <c r="AZ159" s="130"/>
      <c r="BA159" s="130"/>
      <c r="BB159" s="130"/>
      <c r="BC159" s="130">
        <v>0</v>
      </c>
      <c r="BD159" s="130"/>
      <c r="BE159" s="130"/>
      <c r="BF159" s="138">
        <f t="shared" si="16"/>
        <v>10000000</v>
      </c>
      <c r="BG159" s="138">
        <f t="shared" si="17"/>
        <v>9600000</v>
      </c>
      <c r="BH159" s="138">
        <f t="shared" si="18"/>
        <v>3200000</v>
      </c>
      <c r="BI159" s="149" t="s">
        <v>5</v>
      </c>
    </row>
    <row r="160" spans="1:61" s="151" customFormat="1" ht="81.75" customHeight="1">
      <c r="A160" s="139">
        <v>314</v>
      </c>
      <c r="B160" s="140" t="s">
        <v>643</v>
      </c>
      <c r="C160" s="139">
        <v>1</v>
      </c>
      <c r="D160" s="140" t="s">
        <v>148</v>
      </c>
      <c r="E160" s="139">
        <v>22</v>
      </c>
      <c r="F160" s="140" t="s">
        <v>160</v>
      </c>
      <c r="G160" s="139">
        <v>2201</v>
      </c>
      <c r="H160" s="140" t="s">
        <v>297</v>
      </c>
      <c r="I160" s="139">
        <v>2201</v>
      </c>
      <c r="J160" s="140" t="s">
        <v>162</v>
      </c>
      <c r="K160" s="140" t="s">
        <v>163</v>
      </c>
      <c r="L160" s="139">
        <v>2201071</v>
      </c>
      <c r="M160" s="316" t="s">
        <v>715</v>
      </c>
      <c r="N160" s="139">
        <v>2201071</v>
      </c>
      <c r="O160" s="316" t="s">
        <v>715</v>
      </c>
      <c r="P160" s="295">
        <v>220107100</v>
      </c>
      <c r="Q160" s="142" t="s">
        <v>716</v>
      </c>
      <c r="R160" s="295">
        <v>220107100</v>
      </c>
      <c r="S160" s="142" t="s">
        <v>716</v>
      </c>
      <c r="T160" s="145" t="s">
        <v>69</v>
      </c>
      <c r="U160" s="145">
        <v>54</v>
      </c>
      <c r="V160" s="145"/>
      <c r="W160" s="145">
        <f t="shared" si="15"/>
        <v>54</v>
      </c>
      <c r="X160" s="145">
        <v>54</v>
      </c>
      <c r="Y160" s="146">
        <v>2020003630016</v>
      </c>
      <c r="Z160" s="134" t="s">
        <v>709</v>
      </c>
      <c r="AA160" s="140" t="s">
        <v>710</v>
      </c>
      <c r="AB160" s="290"/>
      <c r="AC160" s="290"/>
      <c r="AD160" s="290"/>
      <c r="AE160" s="290">
        <f>2712985418+1460656453.37</f>
        <v>4173641871.3699999</v>
      </c>
      <c r="AF160" s="290">
        <v>2712985418</v>
      </c>
      <c r="AG160" s="290"/>
      <c r="AH160" s="290"/>
      <c r="AI160" s="290"/>
      <c r="AJ160" s="290"/>
      <c r="AK160" s="290"/>
      <c r="AL160" s="290"/>
      <c r="AM160" s="290"/>
      <c r="AN160" s="290">
        <f>154839000000+29870000000+80000000+554351.09+115811865.59</f>
        <v>184905366216.67999</v>
      </c>
      <c r="AO160" s="290">
        <v>40157934955.400002</v>
      </c>
      <c r="AP160" s="290">
        <v>39729336546</v>
      </c>
      <c r="AQ160" s="290"/>
      <c r="AR160" s="290"/>
      <c r="AS160" s="290"/>
      <c r="AT160" s="135">
        <f>3600000000+1476236623</f>
        <v>5076236623</v>
      </c>
      <c r="AU160" s="135">
        <v>2393946770.3000002</v>
      </c>
      <c r="AV160" s="135">
        <v>865342948.29999995</v>
      </c>
      <c r="AW160" s="138"/>
      <c r="AX160" s="138"/>
      <c r="AY160" s="138"/>
      <c r="AZ160" s="138"/>
      <c r="BA160" s="138"/>
      <c r="BB160" s="138"/>
      <c r="BC160" s="290">
        <v>0</v>
      </c>
      <c r="BD160" s="290"/>
      <c r="BE160" s="290"/>
      <c r="BF160" s="138">
        <f t="shared" si="16"/>
        <v>194155244711.04999</v>
      </c>
      <c r="BG160" s="138">
        <f t="shared" si="17"/>
        <v>45264867143.700005</v>
      </c>
      <c r="BH160" s="138">
        <f t="shared" si="18"/>
        <v>40594679494.300003</v>
      </c>
      <c r="BI160" s="149" t="s">
        <v>5</v>
      </c>
    </row>
    <row r="161" spans="1:61" s="151" customFormat="1" ht="96" customHeight="1">
      <c r="A161" s="139">
        <v>314</v>
      </c>
      <c r="B161" s="140" t="s">
        <v>643</v>
      </c>
      <c r="C161" s="139">
        <v>1</v>
      </c>
      <c r="D161" s="140" t="s">
        <v>148</v>
      </c>
      <c r="E161" s="139">
        <v>22</v>
      </c>
      <c r="F161" s="140" t="s">
        <v>160</v>
      </c>
      <c r="G161" s="139">
        <v>2201</v>
      </c>
      <c r="H161" s="140" t="s">
        <v>297</v>
      </c>
      <c r="I161" s="139">
        <v>2201</v>
      </c>
      <c r="J161" s="140" t="s">
        <v>162</v>
      </c>
      <c r="K161" s="140" t="s">
        <v>658</v>
      </c>
      <c r="L161" s="139">
        <v>2201050</v>
      </c>
      <c r="M161" s="140" t="s">
        <v>717</v>
      </c>
      <c r="N161" s="139">
        <v>2201050</v>
      </c>
      <c r="O161" s="140" t="s">
        <v>717</v>
      </c>
      <c r="P161" s="137">
        <v>220105000</v>
      </c>
      <c r="Q161" s="142" t="s">
        <v>718</v>
      </c>
      <c r="R161" s="137">
        <v>220105000</v>
      </c>
      <c r="S161" s="142" t="s">
        <v>718</v>
      </c>
      <c r="T161" s="145" t="s">
        <v>157</v>
      </c>
      <c r="U161" s="297">
        <v>7000</v>
      </c>
      <c r="V161" s="297"/>
      <c r="W161" s="145">
        <f t="shared" si="15"/>
        <v>7000</v>
      </c>
      <c r="X161" s="145">
        <v>4308</v>
      </c>
      <c r="Y161" s="146">
        <v>2020003630094</v>
      </c>
      <c r="Z161" s="134" t="s">
        <v>719</v>
      </c>
      <c r="AA161" s="140" t="s">
        <v>720</v>
      </c>
      <c r="AB161" s="130"/>
      <c r="AC161" s="130"/>
      <c r="AD161" s="130"/>
      <c r="AE161" s="130">
        <v>0</v>
      </c>
      <c r="AF161" s="130"/>
      <c r="AG161" s="130"/>
      <c r="AH161" s="130"/>
      <c r="AI161" s="130"/>
      <c r="AJ161" s="130"/>
      <c r="AK161" s="130"/>
      <c r="AL161" s="130"/>
      <c r="AM161" s="130"/>
      <c r="AN161" s="138"/>
      <c r="AO161" s="138"/>
      <c r="AP161" s="138"/>
      <c r="AQ161" s="130"/>
      <c r="AR161" s="130"/>
      <c r="AS161" s="130"/>
      <c r="AT161" s="135">
        <v>10000000</v>
      </c>
      <c r="AU161" s="135">
        <v>4800000</v>
      </c>
      <c r="AV161" s="135">
        <v>1600000</v>
      </c>
      <c r="AW161" s="130"/>
      <c r="AX161" s="130"/>
      <c r="AY161" s="130"/>
      <c r="AZ161" s="130"/>
      <c r="BA161" s="130"/>
      <c r="BB161" s="130"/>
      <c r="BC161" s="130">
        <v>0</v>
      </c>
      <c r="BD161" s="130"/>
      <c r="BE161" s="130"/>
      <c r="BF161" s="138">
        <f t="shared" si="16"/>
        <v>10000000</v>
      </c>
      <c r="BG161" s="138">
        <f t="shared" si="17"/>
        <v>4800000</v>
      </c>
      <c r="BH161" s="138">
        <f t="shared" si="18"/>
        <v>1600000</v>
      </c>
      <c r="BI161" s="149" t="s">
        <v>5</v>
      </c>
    </row>
    <row r="162" spans="1:61" s="151" customFormat="1" ht="96" customHeight="1">
      <c r="A162" s="139">
        <v>314</v>
      </c>
      <c r="B162" s="140" t="s">
        <v>643</v>
      </c>
      <c r="C162" s="139">
        <v>1</v>
      </c>
      <c r="D162" s="140" t="s">
        <v>148</v>
      </c>
      <c r="E162" s="139">
        <v>22</v>
      </c>
      <c r="F162" s="140" t="s">
        <v>160</v>
      </c>
      <c r="G162" s="139">
        <v>2201</v>
      </c>
      <c r="H162" s="140" t="s">
        <v>297</v>
      </c>
      <c r="I162" s="139">
        <v>2201</v>
      </c>
      <c r="J162" s="140" t="s">
        <v>162</v>
      </c>
      <c r="K162" s="140" t="s">
        <v>658</v>
      </c>
      <c r="L162" s="139">
        <v>2201050</v>
      </c>
      <c r="M162" s="140" t="s">
        <v>717</v>
      </c>
      <c r="N162" s="139">
        <v>2201050</v>
      </c>
      <c r="O162" s="140" t="s">
        <v>717</v>
      </c>
      <c r="P162" s="295">
        <v>220105001</v>
      </c>
      <c r="Q162" s="142" t="s">
        <v>721</v>
      </c>
      <c r="R162" s="295">
        <v>220105001</v>
      </c>
      <c r="S162" s="142" t="s">
        <v>721</v>
      </c>
      <c r="T162" s="145" t="s">
        <v>69</v>
      </c>
      <c r="U162" s="145">
        <v>150</v>
      </c>
      <c r="V162" s="145"/>
      <c r="W162" s="145">
        <f t="shared" si="15"/>
        <v>150</v>
      </c>
      <c r="X162" s="145">
        <v>0</v>
      </c>
      <c r="Y162" s="146">
        <v>2020003630094</v>
      </c>
      <c r="Z162" s="134" t="s">
        <v>719</v>
      </c>
      <c r="AA162" s="140" t="s">
        <v>720</v>
      </c>
      <c r="AB162" s="130"/>
      <c r="AC162" s="130"/>
      <c r="AD162" s="130"/>
      <c r="AE162" s="130">
        <v>0</v>
      </c>
      <c r="AF162" s="130"/>
      <c r="AG162" s="130"/>
      <c r="AH162" s="130"/>
      <c r="AI162" s="130"/>
      <c r="AJ162" s="130"/>
      <c r="AK162" s="130"/>
      <c r="AL162" s="130"/>
      <c r="AM162" s="130"/>
      <c r="AN162" s="130">
        <f>611000000-4175320</f>
        <v>606824680</v>
      </c>
      <c r="AO162" s="130">
        <v>445280195.22000003</v>
      </c>
      <c r="AP162" s="130"/>
      <c r="AQ162" s="130"/>
      <c r="AR162" s="130"/>
      <c r="AS162" s="130"/>
      <c r="AT162" s="135">
        <v>0</v>
      </c>
      <c r="AU162" s="135"/>
      <c r="AV162" s="135"/>
      <c r="AW162" s="130"/>
      <c r="AX162" s="130"/>
      <c r="AY162" s="130"/>
      <c r="AZ162" s="130"/>
      <c r="BA162" s="130"/>
      <c r="BB162" s="130"/>
      <c r="BC162" s="130">
        <v>0</v>
      </c>
      <c r="BD162" s="130"/>
      <c r="BE162" s="130"/>
      <c r="BF162" s="138">
        <f t="shared" si="16"/>
        <v>606824680</v>
      </c>
      <c r="BG162" s="138">
        <f t="shared" si="17"/>
        <v>445280195.22000003</v>
      </c>
      <c r="BH162" s="138">
        <f t="shared" si="18"/>
        <v>0</v>
      </c>
      <c r="BI162" s="149" t="s">
        <v>5</v>
      </c>
    </row>
    <row r="163" spans="1:61" s="151" customFormat="1" ht="96" customHeight="1">
      <c r="A163" s="139">
        <v>314</v>
      </c>
      <c r="B163" s="140" t="s">
        <v>643</v>
      </c>
      <c r="C163" s="139">
        <v>1</v>
      </c>
      <c r="D163" s="140" t="s">
        <v>148</v>
      </c>
      <c r="E163" s="139">
        <v>22</v>
      </c>
      <c r="F163" s="140" t="s">
        <v>160</v>
      </c>
      <c r="G163" s="139">
        <v>2201</v>
      </c>
      <c r="H163" s="140" t="s">
        <v>297</v>
      </c>
      <c r="I163" s="139">
        <v>2201</v>
      </c>
      <c r="J163" s="140" t="s">
        <v>162</v>
      </c>
      <c r="K163" s="142" t="s">
        <v>667</v>
      </c>
      <c r="L163" s="139" t="s">
        <v>61</v>
      </c>
      <c r="M163" s="140" t="s">
        <v>722</v>
      </c>
      <c r="N163" s="139">
        <v>2201001</v>
      </c>
      <c r="O163" s="140" t="s">
        <v>253</v>
      </c>
      <c r="P163" s="139" t="s">
        <v>61</v>
      </c>
      <c r="Q163" s="142" t="s">
        <v>723</v>
      </c>
      <c r="R163" s="137">
        <v>220100100</v>
      </c>
      <c r="S163" s="142" t="s">
        <v>724</v>
      </c>
      <c r="T163" s="145" t="s">
        <v>69</v>
      </c>
      <c r="U163" s="145">
        <v>2</v>
      </c>
      <c r="V163" s="145"/>
      <c r="W163" s="145">
        <f t="shared" si="15"/>
        <v>2</v>
      </c>
      <c r="X163" s="145">
        <v>0</v>
      </c>
      <c r="Y163" s="146">
        <v>2020003630094</v>
      </c>
      <c r="Z163" s="134" t="s">
        <v>719</v>
      </c>
      <c r="AA163" s="140" t="s">
        <v>720</v>
      </c>
      <c r="AB163" s="130"/>
      <c r="AC163" s="130"/>
      <c r="AD163" s="130"/>
      <c r="AE163" s="130">
        <v>0</v>
      </c>
      <c r="AF163" s="130"/>
      <c r="AG163" s="130"/>
      <c r="AH163" s="130"/>
      <c r="AI163" s="130"/>
      <c r="AJ163" s="130"/>
      <c r="AK163" s="130"/>
      <c r="AL163" s="130"/>
      <c r="AM163" s="130"/>
      <c r="AN163" s="130">
        <v>0</v>
      </c>
      <c r="AO163" s="130"/>
      <c r="AP163" s="130"/>
      <c r="AQ163" s="130"/>
      <c r="AR163" s="130"/>
      <c r="AS163" s="130"/>
      <c r="AT163" s="135">
        <v>10000000</v>
      </c>
      <c r="AU163" s="135">
        <v>4800000</v>
      </c>
      <c r="AV163" s="135">
        <v>4800000</v>
      </c>
      <c r="AW163" s="130"/>
      <c r="AX163" s="130"/>
      <c r="AY163" s="130"/>
      <c r="AZ163" s="130"/>
      <c r="BA163" s="130"/>
      <c r="BB163" s="130"/>
      <c r="BC163" s="130">
        <v>0</v>
      </c>
      <c r="BD163" s="130"/>
      <c r="BE163" s="130"/>
      <c r="BF163" s="138">
        <f t="shared" si="16"/>
        <v>10000000</v>
      </c>
      <c r="BG163" s="138">
        <f t="shared" si="17"/>
        <v>4800000</v>
      </c>
      <c r="BH163" s="138">
        <f t="shared" si="18"/>
        <v>4800000</v>
      </c>
      <c r="BI163" s="149" t="s">
        <v>5</v>
      </c>
    </row>
    <row r="164" spans="1:61" s="151" customFormat="1" ht="81.75" customHeight="1">
      <c r="A164" s="139">
        <v>314</v>
      </c>
      <c r="B164" s="140" t="s">
        <v>643</v>
      </c>
      <c r="C164" s="139">
        <v>1</v>
      </c>
      <c r="D164" s="140" t="s">
        <v>148</v>
      </c>
      <c r="E164" s="139">
        <v>22</v>
      </c>
      <c r="F164" s="140" t="s">
        <v>160</v>
      </c>
      <c r="G164" s="139">
        <v>2201</v>
      </c>
      <c r="H164" s="140" t="s">
        <v>297</v>
      </c>
      <c r="I164" s="139">
        <v>2201</v>
      </c>
      <c r="J164" s="140" t="s">
        <v>162</v>
      </c>
      <c r="K164" s="140" t="s">
        <v>725</v>
      </c>
      <c r="L164" s="139">
        <v>2201034</v>
      </c>
      <c r="M164" s="140" t="s">
        <v>726</v>
      </c>
      <c r="N164" s="139">
        <v>2201034</v>
      </c>
      <c r="O164" s="140" t="s">
        <v>726</v>
      </c>
      <c r="P164" s="295">
        <v>220103400</v>
      </c>
      <c r="Q164" s="142" t="s">
        <v>727</v>
      </c>
      <c r="R164" s="295">
        <v>220103400</v>
      </c>
      <c r="S164" s="142" t="s">
        <v>727</v>
      </c>
      <c r="T164" s="145" t="s">
        <v>157</v>
      </c>
      <c r="U164" s="145">
        <v>4400</v>
      </c>
      <c r="V164" s="145">
        <v>0</v>
      </c>
      <c r="W164" s="145">
        <f t="shared" si="15"/>
        <v>4400</v>
      </c>
      <c r="X164" s="145">
        <v>0</v>
      </c>
      <c r="Y164" s="146">
        <v>2020003630015</v>
      </c>
      <c r="Z164" s="134" t="s">
        <v>728</v>
      </c>
      <c r="AA164" s="140" t="s">
        <v>729</v>
      </c>
      <c r="AB164" s="130"/>
      <c r="AC164" s="130"/>
      <c r="AD164" s="130"/>
      <c r="AE164" s="130">
        <v>0</v>
      </c>
      <c r="AF164" s="130"/>
      <c r="AG164" s="130"/>
      <c r="AH164" s="130"/>
      <c r="AI164" s="130"/>
      <c r="AJ164" s="130"/>
      <c r="AK164" s="130"/>
      <c r="AL164" s="130"/>
      <c r="AM164" s="130"/>
      <c r="AN164" s="130">
        <v>0</v>
      </c>
      <c r="AO164" s="130"/>
      <c r="AP164" s="130"/>
      <c r="AQ164" s="130"/>
      <c r="AR164" s="130"/>
      <c r="AS164" s="130"/>
      <c r="AT164" s="135">
        <v>10000000</v>
      </c>
      <c r="AU164" s="135"/>
      <c r="AV164" s="135"/>
      <c r="AW164" s="130"/>
      <c r="AX164" s="130"/>
      <c r="AY164" s="130"/>
      <c r="AZ164" s="130"/>
      <c r="BA164" s="130"/>
      <c r="BB164" s="130"/>
      <c r="BC164" s="130">
        <v>0</v>
      </c>
      <c r="BD164" s="130"/>
      <c r="BE164" s="130"/>
      <c r="BF164" s="138">
        <f t="shared" si="16"/>
        <v>10000000</v>
      </c>
      <c r="BG164" s="138">
        <f t="shared" si="17"/>
        <v>0</v>
      </c>
      <c r="BH164" s="138">
        <f t="shared" si="18"/>
        <v>0</v>
      </c>
      <c r="BI164" s="149" t="s">
        <v>5</v>
      </c>
    </row>
    <row r="165" spans="1:61" s="151" customFormat="1" ht="81.75" customHeight="1">
      <c r="A165" s="139">
        <v>314</v>
      </c>
      <c r="B165" s="140" t="s">
        <v>643</v>
      </c>
      <c r="C165" s="139">
        <v>1</v>
      </c>
      <c r="D165" s="140" t="s">
        <v>148</v>
      </c>
      <c r="E165" s="139">
        <v>22</v>
      </c>
      <c r="F165" s="140" t="s">
        <v>160</v>
      </c>
      <c r="G165" s="139">
        <v>2201</v>
      </c>
      <c r="H165" s="140" t="s">
        <v>297</v>
      </c>
      <c r="I165" s="139">
        <v>2201</v>
      </c>
      <c r="J165" s="140" t="s">
        <v>162</v>
      </c>
      <c r="K165" s="140" t="s">
        <v>725</v>
      </c>
      <c r="L165" s="139">
        <v>2201034</v>
      </c>
      <c r="M165" s="140" t="s">
        <v>730</v>
      </c>
      <c r="N165" s="139">
        <v>2201034</v>
      </c>
      <c r="O165" s="140" t="s">
        <v>730</v>
      </c>
      <c r="P165" s="137">
        <v>220103401</v>
      </c>
      <c r="Q165" s="142" t="s">
        <v>731</v>
      </c>
      <c r="R165" s="137">
        <v>220103401</v>
      </c>
      <c r="S165" s="142" t="s">
        <v>731</v>
      </c>
      <c r="T165" s="145" t="s">
        <v>69</v>
      </c>
      <c r="U165" s="145">
        <v>54</v>
      </c>
      <c r="V165" s="145">
        <v>0</v>
      </c>
      <c r="W165" s="145">
        <f t="shared" si="15"/>
        <v>54</v>
      </c>
      <c r="X165" s="145">
        <v>0</v>
      </c>
      <c r="Y165" s="146">
        <v>2020003630015</v>
      </c>
      <c r="Z165" s="134" t="s">
        <v>728</v>
      </c>
      <c r="AA165" s="140" t="s">
        <v>729</v>
      </c>
      <c r="AB165" s="130"/>
      <c r="AC165" s="130"/>
      <c r="AD165" s="130"/>
      <c r="AE165" s="130">
        <v>0</v>
      </c>
      <c r="AF165" s="130"/>
      <c r="AG165" s="130"/>
      <c r="AH165" s="130"/>
      <c r="AI165" s="130"/>
      <c r="AJ165" s="130"/>
      <c r="AK165" s="130"/>
      <c r="AL165" s="130"/>
      <c r="AM165" s="130"/>
      <c r="AN165" s="130">
        <v>0</v>
      </c>
      <c r="AO165" s="130"/>
      <c r="AP165" s="130"/>
      <c r="AQ165" s="130"/>
      <c r="AR165" s="130"/>
      <c r="AS165" s="130"/>
      <c r="AT165" s="135">
        <v>10000000</v>
      </c>
      <c r="AU165" s="135"/>
      <c r="AV165" s="135"/>
      <c r="AW165" s="130"/>
      <c r="AX165" s="130"/>
      <c r="AY165" s="130"/>
      <c r="AZ165" s="130"/>
      <c r="BA165" s="130"/>
      <c r="BB165" s="130"/>
      <c r="BC165" s="130">
        <v>0</v>
      </c>
      <c r="BD165" s="130"/>
      <c r="BE165" s="130"/>
      <c r="BF165" s="138">
        <f t="shared" si="16"/>
        <v>10000000</v>
      </c>
      <c r="BG165" s="138">
        <f t="shared" si="17"/>
        <v>0</v>
      </c>
      <c r="BH165" s="138">
        <f t="shared" si="18"/>
        <v>0</v>
      </c>
      <c r="BI165" s="149" t="s">
        <v>5</v>
      </c>
    </row>
    <row r="166" spans="1:61" s="151" customFormat="1" ht="81.75" customHeight="1">
      <c r="A166" s="139">
        <v>314</v>
      </c>
      <c r="B166" s="140" t="s">
        <v>643</v>
      </c>
      <c r="C166" s="139">
        <v>1</v>
      </c>
      <c r="D166" s="140" t="s">
        <v>148</v>
      </c>
      <c r="E166" s="139">
        <v>22</v>
      </c>
      <c r="F166" s="140" t="s">
        <v>160</v>
      </c>
      <c r="G166" s="139">
        <v>2201</v>
      </c>
      <c r="H166" s="140" t="s">
        <v>297</v>
      </c>
      <c r="I166" s="139">
        <v>2201</v>
      </c>
      <c r="J166" s="140" t="s">
        <v>162</v>
      </c>
      <c r="K166" s="140" t="s">
        <v>725</v>
      </c>
      <c r="L166" s="139">
        <v>2201060</v>
      </c>
      <c r="M166" s="140" t="s">
        <v>732</v>
      </c>
      <c r="N166" s="139">
        <v>2201060</v>
      </c>
      <c r="O166" s="140" t="s">
        <v>732</v>
      </c>
      <c r="P166" s="295">
        <v>220106000</v>
      </c>
      <c r="Q166" s="142" t="s">
        <v>733</v>
      </c>
      <c r="R166" s="295">
        <v>220106000</v>
      </c>
      <c r="S166" s="142" t="s">
        <v>733</v>
      </c>
      <c r="T166" s="145" t="s">
        <v>157</v>
      </c>
      <c r="U166" s="145">
        <v>100</v>
      </c>
      <c r="V166" s="145">
        <v>13</v>
      </c>
      <c r="W166" s="145">
        <f t="shared" si="15"/>
        <v>113</v>
      </c>
      <c r="X166" s="145">
        <v>0</v>
      </c>
      <c r="Y166" s="146">
        <v>2020003630015</v>
      </c>
      <c r="Z166" s="134" t="s">
        <v>728</v>
      </c>
      <c r="AA166" s="140" t="s">
        <v>729</v>
      </c>
      <c r="AB166" s="130"/>
      <c r="AC166" s="130"/>
      <c r="AD166" s="130"/>
      <c r="AE166" s="130">
        <v>0</v>
      </c>
      <c r="AF166" s="130"/>
      <c r="AG166" s="130"/>
      <c r="AH166" s="130"/>
      <c r="AI166" s="130"/>
      <c r="AJ166" s="130"/>
      <c r="AK166" s="130"/>
      <c r="AL166" s="130"/>
      <c r="AM166" s="130"/>
      <c r="AN166" s="130">
        <v>0</v>
      </c>
      <c r="AO166" s="130"/>
      <c r="AP166" s="130"/>
      <c r="AQ166" s="130"/>
      <c r="AR166" s="130"/>
      <c r="AS166" s="130"/>
      <c r="AT166" s="135">
        <v>5000000</v>
      </c>
      <c r="AU166" s="135"/>
      <c r="AV166" s="135"/>
      <c r="AW166" s="130"/>
      <c r="AX166" s="130"/>
      <c r="AY166" s="130"/>
      <c r="AZ166" s="130"/>
      <c r="BA166" s="130"/>
      <c r="BB166" s="130"/>
      <c r="BC166" s="130">
        <v>0</v>
      </c>
      <c r="BD166" s="130"/>
      <c r="BE166" s="130"/>
      <c r="BF166" s="138">
        <f t="shared" si="16"/>
        <v>5000000</v>
      </c>
      <c r="BG166" s="138">
        <f t="shared" si="17"/>
        <v>0</v>
      </c>
      <c r="BH166" s="138">
        <f t="shared" si="18"/>
        <v>0</v>
      </c>
      <c r="BI166" s="149" t="s">
        <v>5</v>
      </c>
    </row>
    <row r="167" spans="1:61" s="151" customFormat="1" ht="90.75" customHeight="1">
      <c r="A167" s="139">
        <v>314</v>
      </c>
      <c r="B167" s="140" t="s">
        <v>643</v>
      </c>
      <c r="C167" s="139">
        <v>1</v>
      </c>
      <c r="D167" s="140" t="s">
        <v>148</v>
      </c>
      <c r="E167" s="139">
        <v>22</v>
      </c>
      <c r="F167" s="140" t="s">
        <v>160</v>
      </c>
      <c r="G167" s="139">
        <v>2201</v>
      </c>
      <c r="H167" s="140" t="s">
        <v>297</v>
      </c>
      <c r="I167" s="139">
        <v>2201</v>
      </c>
      <c r="J167" s="140" t="s">
        <v>162</v>
      </c>
      <c r="K167" s="140" t="s">
        <v>706</v>
      </c>
      <c r="L167" s="139">
        <v>2201001</v>
      </c>
      <c r="M167" s="140" t="s">
        <v>253</v>
      </c>
      <c r="N167" s="139">
        <v>2201001</v>
      </c>
      <c r="O167" s="140" t="s">
        <v>253</v>
      </c>
      <c r="P167" s="137">
        <v>220100100</v>
      </c>
      <c r="Q167" s="142" t="s">
        <v>724</v>
      </c>
      <c r="R167" s="137">
        <v>220100100</v>
      </c>
      <c r="S167" s="142" t="s">
        <v>724</v>
      </c>
      <c r="T167" s="145" t="s">
        <v>69</v>
      </c>
      <c r="U167" s="145">
        <v>5</v>
      </c>
      <c r="V167" s="145"/>
      <c r="W167" s="145">
        <f t="shared" si="15"/>
        <v>5</v>
      </c>
      <c r="X167" s="145">
        <v>1</v>
      </c>
      <c r="Y167" s="146">
        <v>2020003630095</v>
      </c>
      <c r="Z167" s="134" t="s">
        <v>734</v>
      </c>
      <c r="AA167" s="134" t="s">
        <v>735</v>
      </c>
      <c r="AB167" s="130"/>
      <c r="AC167" s="130"/>
      <c r="AD167" s="130"/>
      <c r="AE167" s="130">
        <v>0</v>
      </c>
      <c r="AF167" s="130"/>
      <c r="AG167" s="130"/>
      <c r="AH167" s="130"/>
      <c r="AI167" s="130"/>
      <c r="AJ167" s="130"/>
      <c r="AK167" s="130"/>
      <c r="AL167" s="130"/>
      <c r="AM167" s="130"/>
      <c r="AN167" s="130">
        <v>0</v>
      </c>
      <c r="AO167" s="130"/>
      <c r="AP167" s="130"/>
      <c r="AQ167" s="130"/>
      <c r="AR167" s="130"/>
      <c r="AS167" s="130"/>
      <c r="AT167" s="135">
        <v>9000000</v>
      </c>
      <c r="AU167" s="135">
        <v>9000000</v>
      </c>
      <c r="AV167" s="135">
        <v>3200000</v>
      </c>
      <c r="AW167" s="130"/>
      <c r="AX167" s="130"/>
      <c r="AY167" s="130"/>
      <c r="AZ167" s="130"/>
      <c r="BA167" s="130"/>
      <c r="BB167" s="130"/>
      <c r="BC167" s="130">
        <v>0</v>
      </c>
      <c r="BD167" s="130"/>
      <c r="BE167" s="130"/>
      <c r="BF167" s="138">
        <f t="shared" si="16"/>
        <v>9000000</v>
      </c>
      <c r="BG167" s="138">
        <f t="shared" si="17"/>
        <v>9000000</v>
      </c>
      <c r="BH167" s="138">
        <f t="shared" si="18"/>
        <v>3200000</v>
      </c>
      <c r="BI167" s="149" t="s">
        <v>5</v>
      </c>
    </row>
    <row r="168" spans="1:61" s="151" customFormat="1" ht="81" customHeight="1">
      <c r="A168" s="139">
        <v>314</v>
      </c>
      <c r="B168" s="140" t="s">
        <v>643</v>
      </c>
      <c r="C168" s="139">
        <v>1</v>
      </c>
      <c r="D168" s="140" t="s">
        <v>148</v>
      </c>
      <c r="E168" s="139">
        <v>22</v>
      </c>
      <c r="F168" s="140" t="s">
        <v>160</v>
      </c>
      <c r="G168" s="139">
        <v>2201</v>
      </c>
      <c r="H168" s="140" t="s">
        <v>297</v>
      </c>
      <c r="I168" s="139">
        <v>2201</v>
      </c>
      <c r="J168" s="140" t="s">
        <v>162</v>
      </c>
      <c r="K168" s="140" t="s">
        <v>658</v>
      </c>
      <c r="L168" s="139">
        <v>2201048</v>
      </c>
      <c r="M168" s="140" t="s">
        <v>736</v>
      </c>
      <c r="N168" s="139">
        <v>2201048</v>
      </c>
      <c r="O168" s="140" t="s">
        <v>736</v>
      </c>
      <c r="P168" s="137">
        <v>220104801</v>
      </c>
      <c r="Q168" s="142" t="s">
        <v>737</v>
      </c>
      <c r="R168" s="137">
        <v>220104801</v>
      </c>
      <c r="S168" s="142" t="s">
        <v>737</v>
      </c>
      <c r="T168" s="145" t="s">
        <v>69</v>
      </c>
      <c r="U168" s="145">
        <v>1</v>
      </c>
      <c r="V168" s="145"/>
      <c r="W168" s="145">
        <f t="shared" si="15"/>
        <v>1</v>
      </c>
      <c r="X168" s="145">
        <v>0</v>
      </c>
      <c r="Y168" s="146">
        <v>2020003630095</v>
      </c>
      <c r="Z168" s="134" t="s">
        <v>734</v>
      </c>
      <c r="AA168" s="134" t="s">
        <v>735</v>
      </c>
      <c r="AB168" s="130"/>
      <c r="AC168" s="130"/>
      <c r="AD168" s="130"/>
      <c r="AE168" s="130">
        <v>0</v>
      </c>
      <c r="AF168" s="130"/>
      <c r="AG168" s="130"/>
      <c r="AH168" s="130"/>
      <c r="AI168" s="130"/>
      <c r="AJ168" s="130"/>
      <c r="AK168" s="130"/>
      <c r="AL168" s="130"/>
      <c r="AM168" s="130"/>
      <c r="AN168" s="130">
        <v>0</v>
      </c>
      <c r="AO168" s="130"/>
      <c r="AP168" s="130"/>
      <c r="AQ168" s="130"/>
      <c r="AR168" s="130"/>
      <c r="AS168" s="130"/>
      <c r="AT168" s="135">
        <v>22484457</v>
      </c>
      <c r="AU168" s="135">
        <v>10200000</v>
      </c>
      <c r="AV168" s="135">
        <v>3200000</v>
      </c>
      <c r="AW168" s="130"/>
      <c r="AX168" s="130"/>
      <c r="AY168" s="130"/>
      <c r="AZ168" s="130"/>
      <c r="BA168" s="130"/>
      <c r="BB168" s="130"/>
      <c r="BC168" s="130">
        <v>0</v>
      </c>
      <c r="BD168" s="130"/>
      <c r="BE168" s="130"/>
      <c r="BF168" s="138">
        <f t="shared" si="16"/>
        <v>22484457</v>
      </c>
      <c r="BG168" s="138">
        <f t="shared" si="17"/>
        <v>10200000</v>
      </c>
      <c r="BH168" s="138">
        <f t="shared" si="18"/>
        <v>3200000</v>
      </c>
      <c r="BI168" s="149" t="s">
        <v>5</v>
      </c>
    </row>
    <row r="169" spans="1:61" s="151" customFormat="1" ht="77.25" customHeight="1">
      <c r="A169" s="139">
        <v>314</v>
      </c>
      <c r="B169" s="140" t="s">
        <v>643</v>
      </c>
      <c r="C169" s="139">
        <v>1</v>
      </c>
      <c r="D169" s="140" t="s">
        <v>148</v>
      </c>
      <c r="E169" s="139">
        <v>22</v>
      </c>
      <c r="F169" s="140" t="s">
        <v>160</v>
      </c>
      <c r="G169" s="139" t="s">
        <v>61</v>
      </c>
      <c r="H169" s="140" t="s">
        <v>738</v>
      </c>
      <c r="I169" s="139">
        <v>2202</v>
      </c>
      <c r="J169" s="140" t="s">
        <v>739</v>
      </c>
      <c r="K169" s="140" t="s">
        <v>703</v>
      </c>
      <c r="L169" s="139" t="s">
        <v>61</v>
      </c>
      <c r="M169" s="140" t="s">
        <v>740</v>
      </c>
      <c r="N169" s="139">
        <v>2202006</v>
      </c>
      <c r="O169" s="140" t="s">
        <v>740</v>
      </c>
      <c r="P169" s="139" t="s">
        <v>61</v>
      </c>
      <c r="Q169" s="142" t="s">
        <v>741</v>
      </c>
      <c r="R169" s="139">
        <v>220200604</v>
      </c>
      <c r="S169" s="142" t="s">
        <v>742</v>
      </c>
      <c r="T169" s="145" t="s">
        <v>69</v>
      </c>
      <c r="U169" s="145">
        <v>2</v>
      </c>
      <c r="V169" s="145"/>
      <c r="W169" s="145">
        <f t="shared" si="15"/>
        <v>2</v>
      </c>
      <c r="X169" s="145">
        <v>2</v>
      </c>
      <c r="Y169" s="146">
        <v>2020003630096</v>
      </c>
      <c r="Z169" s="134" t="s">
        <v>743</v>
      </c>
      <c r="AA169" s="140" t="s">
        <v>744</v>
      </c>
      <c r="AB169" s="130"/>
      <c r="AC169" s="130"/>
      <c r="AD169" s="130"/>
      <c r="AE169" s="290">
        <f>70000000+100000000</f>
        <v>170000000</v>
      </c>
      <c r="AF169" s="290">
        <v>60197609</v>
      </c>
      <c r="AG169" s="290">
        <v>60197609</v>
      </c>
      <c r="AH169" s="130"/>
      <c r="AI169" s="130"/>
      <c r="AJ169" s="130"/>
      <c r="AK169" s="130"/>
      <c r="AL169" s="130"/>
      <c r="AM169" s="130"/>
      <c r="AN169" s="148">
        <v>0</v>
      </c>
      <c r="AO169" s="148"/>
      <c r="AP169" s="148"/>
      <c r="AQ169" s="130"/>
      <c r="AR169" s="130"/>
      <c r="AS169" s="130"/>
      <c r="AT169" s="135">
        <f>100000000-100000000</f>
        <v>0</v>
      </c>
      <c r="AU169" s="135"/>
      <c r="AV169" s="135"/>
      <c r="AW169" s="130"/>
      <c r="AX169" s="130"/>
      <c r="AY169" s="130"/>
      <c r="AZ169" s="130"/>
      <c r="BA169" s="130"/>
      <c r="BB169" s="130"/>
      <c r="BC169" s="130">
        <v>0</v>
      </c>
      <c r="BD169" s="130"/>
      <c r="BE169" s="130"/>
      <c r="BF169" s="138">
        <f t="shared" si="16"/>
        <v>170000000</v>
      </c>
      <c r="BG169" s="138">
        <f t="shared" si="17"/>
        <v>60197609</v>
      </c>
      <c r="BH169" s="138">
        <f t="shared" si="18"/>
        <v>60197609</v>
      </c>
      <c r="BI169" s="149" t="s">
        <v>5</v>
      </c>
    </row>
    <row r="170" spans="1:61" s="151" customFormat="1" ht="79.5" customHeight="1">
      <c r="A170" s="139">
        <v>314</v>
      </c>
      <c r="B170" s="140" t="s">
        <v>643</v>
      </c>
      <c r="C170" s="139">
        <v>2</v>
      </c>
      <c r="D170" s="140" t="s">
        <v>199</v>
      </c>
      <c r="E170" s="139">
        <v>39</v>
      </c>
      <c r="F170" s="140" t="s">
        <v>745</v>
      </c>
      <c r="G170" s="139">
        <v>3904</v>
      </c>
      <c r="H170" s="140" t="s">
        <v>746</v>
      </c>
      <c r="I170" s="139">
        <v>3904</v>
      </c>
      <c r="J170" s="140" t="s">
        <v>747</v>
      </c>
      <c r="K170" s="140" t="s">
        <v>748</v>
      </c>
      <c r="L170" s="139">
        <v>3904006</v>
      </c>
      <c r="M170" s="140" t="s">
        <v>749</v>
      </c>
      <c r="N170" s="139">
        <v>3904006</v>
      </c>
      <c r="O170" s="140" t="s">
        <v>749</v>
      </c>
      <c r="P170" s="145">
        <v>390400604</v>
      </c>
      <c r="Q170" s="142" t="s">
        <v>750</v>
      </c>
      <c r="R170" s="145">
        <v>390400604</v>
      </c>
      <c r="S170" s="142" t="s">
        <v>751</v>
      </c>
      <c r="T170" s="143" t="s">
        <v>157</v>
      </c>
      <c r="U170" s="145">
        <v>18</v>
      </c>
      <c r="V170" s="145"/>
      <c r="W170" s="145">
        <f t="shared" si="15"/>
        <v>18</v>
      </c>
      <c r="X170" s="145">
        <v>0</v>
      </c>
      <c r="Y170" s="146">
        <v>2020003630097</v>
      </c>
      <c r="Z170" s="134" t="s">
        <v>752</v>
      </c>
      <c r="AA170" s="140" t="s">
        <v>753</v>
      </c>
      <c r="AB170" s="130"/>
      <c r="AC170" s="130"/>
      <c r="AD170" s="130"/>
      <c r="AE170" s="290">
        <v>20000000</v>
      </c>
      <c r="AF170" s="290"/>
      <c r="AG170" s="290"/>
      <c r="AH170" s="130"/>
      <c r="AI170" s="130"/>
      <c r="AJ170" s="130"/>
      <c r="AK170" s="130"/>
      <c r="AL170" s="130"/>
      <c r="AM170" s="130"/>
      <c r="AN170" s="148">
        <v>0</v>
      </c>
      <c r="AO170" s="148"/>
      <c r="AP170" s="148"/>
      <c r="AQ170" s="130"/>
      <c r="AR170" s="130"/>
      <c r="AS170" s="130"/>
      <c r="AT170" s="135">
        <v>12514678</v>
      </c>
      <c r="AU170" s="135"/>
      <c r="AV170" s="135"/>
      <c r="AW170" s="130"/>
      <c r="AX170" s="130"/>
      <c r="AY170" s="130"/>
      <c r="AZ170" s="130"/>
      <c r="BA170" s="130"/>
      <c r="BB170" s="130"/>
      <c r="BC170" s="130">
        <v>0</v>
      </c>
      <c r="BD170" s="130"/>
      <c r="BE170" s="130"/>
      <c r="BF170" s="138">
        <f t="shared" si="16"/>
        <v>32514678</v>
      </c>
      <c r="BG170" s="138">
        <f t="shared" si="17"/>
        <v>0</v>
      </c>
      <c r="BH170" s="138">
        <f t="shared" si="18"/>
        <v>0</v>
      </c>
      <c r="BI170" s="149" t="s">
        <v>5</v>
      </c>
    </row>
    <row r="171" spans="1:61" s="151" customFormat="1" ht="174.75" customHeight="1">
      <c r="A171" s="139">
        <v>316</v>
      </c>
      <c r="B171" s="140" t="s">
        <v>754</v>
      </c>
      <c r="C171" s="139">
        <v>1</v>
      </c>
      <c r="D171" s="140" t="s">
        <v>148</v>
      </c>
      <c r="E171" s="139">
        <v>19</v>
      </c>
      <c r="F171" s="140" t="s">
        <v>755</v>
      </c>
      <c r="G171" s="139">
        <v>1905</v>
      </c>
      <c r="H171" s="140" t="s">
        <v>756</v>
      </c>
      <c r="I171" s="139">
        <v>1905</v>
      </c>
      <c r="J171" s="140" t="s">
        <v>757</v>
      </c>
      <c r="K171" s="140" t="s">
        <v>758</v>
      </c>
      <c r="L171" s="137">
        <v>1905021</v>
      </c>
      <c r="M171" s="140" t="s">
        <v>759</v>
      </c>
      <c r="N171" s="137">
        <v>1905021</v>
      </c>
      <c r="O171" s="140" t="s">
        <v>759</v>
      </c>
      <c r="P171" s="137">
        <v>190502100</v>
      </c>
      <c r="Q171" s="142" t="s">
        <v>760</v>
      </c>
      <c r="R171" s="137">
        <v>190502100</v>
      </c>
      <c r="S171" s="142" t="s">
        <v>760</v>
      </c>
      <c r="T171" s="145" t="s">
        <v>69</v>
      </c>
      <c r="U171" s="145">
        <v>12</v>
      </c>
      <c r="V171" s="145"/>
      <c r="W171" s="145">
        <f>U171+V171</f>
        <v>12</v>
      </c>
      <c r="X171" s="145">
        <v>3</v>
      </c>
      <c r="Y171" s="146">
        <v>2020003630011</v>
      </c>
      <c r="Z171" s="134" t="s">
        <v>761</v>
      </c>
      <c r="AA171" s="134" t="s">
        <v>762</v>
      </c>
      <c r="AB171" s="130"/>
      <c r="AC171" s="130"/>
      <c r="AD171" s="130"/>
      <c r="AE171" s="130"/>
      <c r="AF171" s="130"/>
      <c r="AG171" s="130"/>
      <c r="AH171" s="130"/>
      <c r="AI171" s="130"/>
      <c r="AJ171" s="130"/>
      <c r="AK171" s="130"/>
      <c r="AL171" s="130"/>
      <c r="AM171" s="130"/>
      <c r="AN171" s="130"/>
      <c r="AO171" s="130"/>
      <c r="AP171" s="130"/>
      <c r="AQ171" s="130"/>
      <c r="AR171" s="130"/>
      <c r="AS171" s="130"/>
      <c r="AT171" s="148">
        <v>60000000</v>
      </c>
      <c r="AU171" s="148">
        <v>47900000</v>
      </c>
      <c r="AV171" s="148">
        <v>28950000</v>
      </c>
      <c r="AW171" s="130"/>
      <c r="AX171" s="130"/>
      <c r="AY171" s="130"/>
      <c r="AZ171" s="130"/>
      <c r="BA171" s="130"/>
      <c r="BB171" s="130"/>
      <c r="BC171" s="130"/>
      <c r="BD171" s="130"/>
      <c r="BE171" s="130"/>
      <c r="BF171" s="138">
        <f t="shared" si="16"/>
        <v>60000000</v>
      </c>
      <c r="BG171" s="138">
        <f t="shared" si="17"/>
        <v>47900000</v>
      </c>
      <c r="BH171" s="138">
        <f t="shared" si="18"/>
        <v>28950000</v>
      </c>
      <c r="BI171" s="149" t="s">
        <v>6</v>
      </c>
    </row>
    <row r="172" spans="1:61" s="151" customFormat="1" ht="139.5" customHeight="1">
      <c r="A172" s="139">
        <v>316</v>
      </c>
      <c r="B172" s="140" t="s">
        <v>754</v>
      </c>
      <c r="C172" s="139">
        <v>1</v>
      </c>
      <c r="D172" s="140" t="s">
        <v>148</v>
      </c>
      <c r="E172" s="139">
        <v>19</v>
      </c>
      <c r="F172" s="140" t="s">
        <v>755</v>
      </c>
      <c r="G172" s="139">
        <v>1905</v>
      </c>
      <c r="H172" s="140" t="s">
        <v>756</v>
      </c>
      <c r="I172" s="139">
        <v>1905</v>
      </c>
      <c r="J172" s="140" t="s">
        <v>757</v>
      </c>
      <c r="K172" s="140" t="s">
        <v>763</v>
      </c>
      <c r="L172" s="275">
        <v>1905022</v>
      </c>
      <c r="M172" s="274" t="s">
        <v>764</v>
      </c>
      <c r="N172" s="275">
        <v>1905022</v>
      </c>
      <c r="O172" s="274" t="s">
        <v>764</v>
      </c>
      <c r="P172" s="145">
        <v>190502200</v>
      </c>
      <c r="Q172" s="142" t="s">
        <v>765</v>
      </c>
      <c r="R172" s="145">
        <v>190502200</v>
      </c>
      <c r="S172" s="142" t="s">
        <v>765</v>
      </c>
      <c r="T172" s="145" t="s">
        <v>69</v>
      </c>
      <c r="U172" s="145">
        <v>12</v>
      </c>
      <c r="V172" s="145"/>
      <c r="W172" s="145">
        <f t="shared" ref="W172:W201" si="19">U172+V172</f>
        <v>12</v>
      </c>
      <c r="X172" s="145">
        <v>3</v>
      </c>
      <c r="Y172" s="146">
        <v>2020003630011</v>
      </c>
      <c r="Z172" s="134" t="s">
        <v>761</v>
      </c>
      <c r="AA172" s="134" t="s">
        <v>762</v>
      </c>
      <c r="AB172" s="130"/>
      <c r="AC172" s="130"/>
      <c r="AD172" s="130"/>
      <c r="AE172" s="130"/>
      <c r="AF172" s="130"/>
      <c r="AG172" s="130"/>
      <c r="AH172" s="130"/>
      <c r="AI172" s="130"/>
      <c r="AJ172" s="130"/>
      <c r="AK172" s="130"/>
      <c r="AL172" s="130"/>
      <c r="AM172" s="130"/>
      <c r="AN172" s="130"/>
      <c r="AO172" s="130"/>
      <c r="AP172" s="130"/>
      <c r="AQ172" s="130"/>
      <c r="AR172" s="130"/>
      <c r="AS172" s="130"/>
      <c r="AT172" s="138">
        <f>40000000+30000000</f>
        <v>70000000</v>
      </c>
      <c r="AU172" s="138">
        <v>26200000</v>
      </c>
      <c r="AV172" s="138">
        <v>5400000</v>
      </c>
      <c r="AW172" s="130"/>
      <c r="AX172" s="130"/>
      <c r="AY172" s="130"/>
      <c r="AZ172" s="130"/>
      <c r="BA172" s="130"/>
      <c r="BB172" s="130"/>
      <c r="BC172" s="130"/>
      <c r="BD172" s="130"/>
      <c r="BE172" s="130"/>
      <c r="BF172" s="138">
        <f t="shared" si="16"/>
        <v>70000000</v>
      </c>
      <c r="BG172" s="138">
        <f t="shared" si="17"/>
        <v>26200000</v>
      </c>
      <c r="BH172" s="138">
        <f t="shared" si="18"/>
        <v>5400000</v>
      </c>
      <c r="BI172" s="149" t="s">
        <v>6</v>
      </c>
    </row>
    <row r="173" spans="1:61" s="151" customFormat="1" ht="95.25" customHeight="1">
      <c r="A173" s="139">
        <v>316</v>
      </c>
      <c r="B173" s="140" t="s">
        <v>754</v>
      </c>
      <c r="C173" s="139">
        <v>1</v>
      </c>
      <c r="D173" s="140" t="s">
        <v>148</v>
      </c>
      <c r="E173" s="139">
        <v>33</v>
      </c>
      <c r="F173" s="140" t="s">
        <v>170</v>
      </c>
      <c r="G173" s="139">
        <v>3301</v>
      </c>
      <c r="H173" s="141" t="s">
        <v>171</v>
      </c>
      <c r="I173" s="139">
        <v>3301</v>
      </c>
      <c r="J173" s="140" t="s">
        <v>172</v>
      </c>
      <c r="K173" s="140" t="s">
        <v>766</v>
      </c>
      <c r="L173" s="137">
        <v>3301051</v>
      </c>
      <c r="M173" s="140" t="s">
        <v>767</v>
      </c>
      <c r="N173" s="137">
        <v>3301051</v>
      </c>
      <c r="O173" s="140" t="s">
        <v>767</v>
      </c>
      <c r="P173" s="137">
        <v>330105110</v>
      </c>
      <c r="Q173" s="142" t="s">
        <v>768</v>
      </c>
      <c r="R173" s="137">
        <v>330105110</v>
      </c>
      <c r="S173" s="142" t="s">
        <v>768</v>
      </c>
      <c r="T173" s="145" t="s">
        <v>157</v>
      </c>
      <c r="U173" s="145">
        <v>350</v>
      </c>
      <c r="V173" s="145"/>
      <c r="W173" s="145">
        <f t="shared" si="19"/>
        <v>350</v>
      </c>
      <c r="X173" s="145">
        <v>88</v>
      </c>
      <c r="Y173" s="146">
        <v>2020003630098</v>
      </c>
      <c r="Z173" s="134" t="s">
        <v>769</v>
      </c>
      <c r="AA173" s="140" t="s">
        <v>770</v>
      </c>
      <c r="AB173" s="130"/>
      <c r="AC173" s="130"/>
      <c r="AD173" s="130"/>
      <c r="AE173" s="130"/>
      <c r="AF173" s="130"/>
      <c r="AG173" s="130"/>
      <c r="AH173" s="130"/>
      <c r="AI173" s="130"/>
      <c r="AJ173" s="130"/>
      <c r="AK173" s="130"/>
      <c r="AL173" s="130"/>
      <c r="AM173" s="130"/>
      <c r="AN173" s="130"/>
      <c r="AO173" s="130"/>
      <c r="AP173" s="130"/>
      <c r="AQ173" s="130"/>
      <c r="AR173" s="130"/>
      <c r="AS173" s="130"/>
      <c r="AT173" s="138">
        <f>14600000+4300000</f>
        <v>18900000</v>
      </c>
      <c r="AU173" s="138">
        <v>9600000</v>
      </c>
      <c r="AV173" s="138">
        <v>3200000</v>
      </c>
      <c r="AW173" s="130"/>
      <c r="AX173" s="130"/>
      <c r="AY173" s="130"/>
      <c r="AZ173" s="130"/>
      <c r="BA173" s="130"/>
      <c r="BB173" s="130"/>
      <c r="BC173" s="130"/>
      <c r="BD173" s="130"/>
      <c r="BE173" s="130"/>
      <c r="BF173" s="138">
        <f t="shared" si="16"/>
        <v>18900000</v>
      </c>
      <c r="BG173" s="138">
        <f t="shared" si="17"/>
        <v>9600000</v>
      </c>
      <c r="BH173" s="138">
        <f t="shared" si="18"/>
        <v>3200000</v>
      </c>
      <c r="BI173" s="149" t="s">
        <v>6</v>
      </c>
    </row>
    <row r="174" spans="1:61" s="151" customFormat="1" ht="94.5" customHeight="1">
      <c r="A174" s="139">
        <v>316</v>
      </c>
      <c r="B174" s="140" t="s">
        <v>754</v>
      </c>
      <c r="C174" s="139">
        <v>1</v>
      </c>
      <c r="D174" s="140" t="s">
        <v>148</v>
      </c>
      <c r="E174" s="139">
        <v>41</v>
      </c>
      <c r="F174" s="140" t="s">
        <v>771</v>
      </c>
      <c r="G174" s="139">
        <v>4102</v>
      </c>
      <c r="H174" s="140" t="s">
        <v>772</v>
      </c>
      <c r="I174" s="139">
        <v>4102</v>
      </c>
      <c r="J174" s="140" t="s">
        <v>773</v>
      </c>
      <c r="K174" s="140" t="s">
        <v>774</v>
      </c>
      <c r="L174" s="139" t="s">
        <v>61</v>
      </c>
      <c r="M174" s="140" t="s">
        <v>775</v>
      </c>
      <c r="N174" s="137">
        <v>4102035</v>
      </c>
      <c r="O174" s="140" t="s">
        <v>101</v>
      </c>
      <c r="P174" s="139" t="s">
        <v>61</v>
      </c>
      <c r="Q174" s="142" t="s">
        <v>776</v>
      </c>
      <c r="R174" s="132">
        <v>410203500</v>
      </c>
      <c r="S174" s="142" t="s">
        <v>103</v>
      </c>
      <c r="T174" s="317" t="s">
        <v>69</v>
      </c>
      <c r="U174" s="132">
        <v>1</v>
      </c>
      <c r="V174" s="132"/>
      <c r="W174" s="145">
        <f t="shared" si="19"/>
        <v>1</v>
      </c>
      <c r="X174" s="145">
        <v>0.25</v>
      </c>
      <c r="Y174" s="146">
        <v>2020003630099</v>
      </c>
      <c r="Z174" s="134" t="s">
        <v>777</v>
      </c>
      <c r="AA174" s="140" t="s">
        <v>778</v>
      </c>
      <c r="AB174" s="130"/>
      <c r="AC174" s="130"/>
      <c r="AD174" s="130"/>
      <c r="AE174" s="130"/>
      <c r="AF174" s="130"/>
      <c r="AG174" s="130"/>
      <c r="AH174" s="130"/>
      <c r="AI174" s="130"/>
      <c r="AJ174" s="130"/>
      <c r="AK174" s="130"/>
      <c r="AL174" s="130"/>
      <c r="AM174" s="130"/>
      <c r="AN174" s="130"/>
      <c r="AO174" s="130"/>
      <c r="AP174" s="130"/>
      <c r="AQ174" s="130"/>
      <c r="AR174" s="130"/>
      <c r="AS174" s="130"/>
      <c r="AT174" s="138">
        <v>20000000</v>
      </c>
      <c r="AU174" s="138">
        <v>12000000</v>
      </c>
      <c r="AV174" s="138">
        <v>6400000</v>
      </c>
      <c r="AW174" s="130"/>
      <c r="AX174" s="130"/>
      <c r="AY174" s="130"/>
      <c r="AZ174" s="130"/>
      <c r="BA174" s="130"/>
      <c r="BB174" s="130"/>
      <c r="BC174" s="130"/>
      <c r="BD174" s="130"/>
      <c r="BE174" s="130"/>
      <c r="BF174" s="138">
        <f t="shared" si="16"/>
        <v>20000000</v>
      </c>
      <c r="BG174" s="138">
        <f t="shared" si="17"/>
        <v>12000000</v>
      </c>
      <c r="BH174" s="138">
        <f t="shared" si="18"/>
        <v>6400000</v>
      </c>
      <c r="BI174" s="149" t="s">
        <v>6</v>
      </c>
    </row>
    <row r="175" spans="1:61" s="151" customFormat="1" ht="90.75" customHeight="1">
      <c r="A175" s="139">
        <v>316</v>
      </c>
      <c r="B175" s="140" t="s">
        <v>754</v>
      </c>
      <c r="C175" s="139">
        <v>1</v>
      </c>
      <c r="D175" s="140" t="s">
        <v>148</v>
      </c>
      <c r="E175" s="139">
        <v>41</v>
      </c>
      <c r="F175" s="140" t="s">
        <v>771</v>
      </c>
      <c r="G175" s="139">
        <v>4102</v>
      </c>
      <c r="H175" s="140" t="s">
        <v>772</v>
      </c>
      <c r="I175" s="139">
        <v>4102</v>
      </c>
      <c r="J175" s="140" t="s">
        <v>773</v>
      </c>
      <c r="K175" s="140" t="s">
        <v>779</v>
      </c>
      <c r="L175" s="139" t="s">
        <v>61</v>
      </c>
      <c r="M175" s="140" t="s">
        <v>780</v>
      </c>
      <c r="N175" s="137">
        <v>4102001</v>
      </c>
      <c r="O175" s="140" t="s">
        <v>781</v>
      </c>
      <c r="P175" s="139" t="s">
        <v>61</v>
      </c>
      <c r="Q175" s="142" t="s">
        <v>782</v>
      </c>
      <c r="R175" s="137">
        <v>410200100</v>
      </c>
      <c r="S175" s="142" t="s">
        <v>783</v>
      </c>
      <c r="T175" s="317" t="s">
        <v>69</v>
      </c>
      <c r="U175" s="132">
        <v>12</v>
      </c>
      <c r="V175" s="132"/>
      <c r="W175" s="145">
        <f t="shared" si="19"/>
        <v>12</v>
      </c>
      <c r="X175" s="145">
        <v>1</v>
      </c>
      <c r="Y175" s="146">
        <v>2020003630099</v>
      </c>
      <c r="Z175" s="134" t="s">
        <v>777</v>
      </c>
      <c r="AA175" s="140" t="s">
        <v>778</v>
      </c>
      <c r="AB175" s="130"/>
      <c r="AC175" s="130"/>
      <c r="AD175" s="130"/>
      <c r="AE175" s="130"/>
      <c r="AF175" s="130"/>
      <c r="AG175" s="130"/>
      <c r="AH175" s="130"/>
      <c r="AI175" s="130"/>
      <c r="AJ175" s="130"/>
      <c r="AK175" s="130"/>
      <c r="AL175" s="130"/>
      <c r="AM175" s="130"/>
      <c r="AN175" s="130"/>
      <c r="AO175" s="130"/>
      <c r="AP175" s="130"/>
      <c r="AQ175" s="130"/>
      <c r="AR175" s="130"/>
      <c r="AS175" s="130"/>
      <c r="AT175" s="138">
        <f>37000000+14600000</f>
        <v>51600000</v>
      </c>
      <c r="AU175" s="138">
        <v>16000000</v>
      </c>
      <c r="AV175" s="138">
        <v>6400000</v>
      </c>
      <c r="AW175" s="130"/>
      <c r="AX175" s="130"/>
      <c r="AY175" s="130"/>
      <c r="AZ175" s="130"/>
      <c r="BA175" s="130"/>
      <c r="BB175" s="130"/>
      <c r="BC175" s="130"/>
      <c r="BD175" s="130"/>
      <c r="BE175" s="130"/>
      <c r="BF175" s="138">
        <f t="shared" si="16"/>
        <v>51600000</v>
      </c>
      <c r="BG175" s="138">
        <f t="shared" si="17"/>
        <v>16000000</v>
      </c>
      <c r="BH175" s="138">
        <f t="shared" si="18"/>
        <v>6400000</v>
      </c>
      <c r="BI175" s="149" t="s">
        <v>6</v>
      </c>
    </row>
    <row r="176" spans="1:61" s="151" customFormat="1" ht="271.5" customHeight="1">
      <c r="A176" s="139">
        <v>316</v>
      </c>
      <c r="B176" s="140" t="s">
        <v>754</v>
      </c>
      <c r="C176" s="139">
        <v>1</v>
      </c>
      <c r="D176" s="140" t="s">
        <v>148</v>
      </c>
      <c r="E176" s="139">
        <v>41</v>
      </c>
      <c r="F176" s="140" t="s">
        <v>771</v>
      </c>
      <c r="G176" s="139">
        <v>4102</v>
      </c>
      <c r="H176" s="140" t="s">
        <v>772</v>
      </c>
      <c r="I176" s="139">
        <v>4102</v>
      </c>
      <c r="J176" s="140" t="s">
        <v>773</v>
      </c>
      <c r="K176" s="140" t="s">
        <v>784</v>
      </c>
      <c r="L176" s="139" t="s">
        <v>61</v>
      </c>
      <c r="M176" s="140" t="s">
        <v>785</v>
      </c>
      <c r="N176" s="271" t="s">
        <v>786</v>
      </c>
      <c r="O176" s="140" t="s">
        <v>787</v>
      </c>
      <c r="P176" s="139" t="s">
        <v>61</v>
      </c>
      <c r="Q176" s="142" t="s">
        <v>788</v>
      </c>
      <c r="R176" s="271" t="s">
        <v>789</v>
      </c>
      <c r="S176" s="142" t="s">
        <v>790</v>
      </c>
      <c r="T176" s="317" t="s">
        <v>69</v>
      </c>
      <c r="U176" s="132">
        <v>1</v>
      </c>
      <c r="V176" s="132"/>
      <c r="W176" s="145">
        <f t="shared" si="19"/>
        <v>1</v>
      </c>
      <c r="X176" s="145">
        <v>0.25</v>
      </c>
      <c r="Y176" s="146">
        <v>2020003630100</v>
      </c>
      <c r="Z176" s="134" t="s">
        <v>791</v>
      </c>
      <c r="AA176" s="140" t="s">
        <v>792</v>
      </c>
      <c r="AB176" s="130"/>
      <c r="AC176" s="130"/>
      <c r="AD176" s="130"/>
      <c r="AE176" s="130"/>
      <c r="AF176" s="130"/>
      <c r="AG176" s="130"/>
      <c r="AH176" s="130"/>
      <c r="AI176" s="130"/>
      <c r="AJ176" s="130"/>
      <c r="AK176" s="130"/>
      <c r="AL176" s="130"/>
      <c r="AM176" s="130"/>
      <c r="AN176" s="130"/>
      <c r="AO176" s="130"/>
      <c r="AP176" s="130"/>
      <c r="AQ176" s="130"/>
      <c r="AR176" s="130"/>
      <c r="AS176" s="130"/>
      <c r="AT176" s="138">
        <f>100200000+24600000</f>
        <v>124800000</v>
      </c>
      <c r="AU176" s="138">
        <v>67800000</v>
      </c>
      <c r="AV176" s="138">
        <v>22200000</v>
      </c>
      <c r="AW176" s="130"/>
      <c r="AX176" s="130"/>
      <c r="AY176" s="130"/>
      <c r="AZ176" s="130"/>
      <c r="BA176" s="130"/>
      <c r="BB176" s="130"/>
      <c r="BC176" s="130"/>
      <c r="BD176" s="130"/>
      <c r="BE176" s="130"/>
      <c r="BF176" s="138">
        <f t="shared" si="16"/>
        <v>124800000</v>
      </c>
      <c r="BG176" s="138">
        <f t="shared" si="17"/>
        <v>67800000</v>
      </c>
      <c r="BH176" s="138">
        <f t="shared" si="18"/>
        <v>22200000</v>
      </c>
      <c r="BI176" s="149" t="s">
        <v>6</v>
      </c>
    </row>
    <row r="177" spans="1:61" s="151" customFormat="1" ht="237" customHeight="1">
      <c r="A177" s="139">
        <v>316</v>
      </c>
      <c r="B177" s="140" t="s">
        <v>754</v>
      </c>
      <c r="C177" s="139">
        <v>1</v>
      </c>
      <c r="D177" s="140" t="s">
        <v>148</v>
      </c>
      <c r="E177" s="139">
        <v>41</v>
      </c>
      <c r="F177" s="140" t="s">
        <v>771</v>
      </c>
      <c r="G177" s="139">
        <v>4102</v>
      </c>
      <c r="H177" s="140" t="s">
        <v>772</v>
      </c>
      <c r="I177" s="139">
        <v>4102</v>
      </c>
      <c r="J177" s="141" t="s">
        <v>773</v>
      </c>
      <c r="K177" s="140" t="s">
        <v>793</v>
      </c>
      <c r="L177" s="139" t="s">
        <v>61</v>
      </c>
      <c r="M177" s="140" t="s">
        <v>794</v>
      </c>
      <c r="N177" s="271" t="s">
        <v>786</v>
      </c>
      <c r="O177" s="140" t="s">
        <v>795</v>
      </c>
      <c r="P177" s="139" t="s">
        <v>61</v>
      </c>
      <c r="Q177" s="141" t="s">
        <v>796</v>
      </c>
      <c r="R177" s="137">
        <v>410204301</v>
      </c>
      <c r="S177" s="140" t="s">
        <v>797</v>
      </c>
      <c r="T177" s="317" t="s">
        <v>69</v>
      </c>
      <c r="U177" s="132">
        <v>1</v>
      </c>
      <c r="V177" s="132"/>
      <c r="W177" s="145">
        <f t="shared" si="19"/>
        <v>1</v>
      </c>
      <c r="X177" s="145">
        <v>0.15</v>
      </c>
      <c r="Y177" s="146">
        <v>2020003630101</v>
      </c>
      <c r="Z177" s="134" t="s">
        <v>798</v>
      </c>
      <c r="AA177" s="140" t="s">
        <v>799</v>
      </c>
      <c r="AB177" s="130"/>
      <c r="AC177" s="130"/>
      <c r="AD177" s="130"/>
      <c r="AE177" s="130"/>
      <c r="AF177" s="130"/>
      <c r="AG177" s="130"/>
      <c r="AH177" s="130"/>
      <c r="AI177" s="130"/>
      <c r="AJ177" s="130"/>
      <c r="AK177" s="130"/>
      <c r="AL177" s="130"/>
      <c r="AM177" s="130"/>
      <c r="AN177" s="130"/>
      <c r="AO177" s="130"/>
      <c r="AP177" s="130"/>
      <c r="AQ177" s="130"/>
      <c r="AR177" s="130"/>
      <c r="AS177" s="130"/>
      <c r="AT177" s="138">
        <f>229000000+68700000</f>
        <v>297700000</v>
      </c>
      <c r="AU177" s="138">
        <v>103050000</v>
      </c>
      <c r="AV177" s="138">
        <v>30000000</v>
      </c>
      <c r="AW177" s="130"/>
      <c r="AX177" s="130"/>
      <c r="AY177" s="130"/>
      <c r="AZ177" s="130"/>
      <c r="BA177" s="130"/>
      <c r="BB177" s="130"/>
      <c r="BC177" s="130"/>
      <c r="BD177" s="130"/>
      <c r="BE177" s="130"/>
      <c r="BF177" s="138">
        <f t="shared" si="16"/>
        <v>297700000</v>
      </c>
      <c r="BG177" s="138">
        <f t="shared" si="17"/>
        <v>103050000</v>
      </c>
      <c r="BH177" s="138">
        <f t="shared" si="18"/>
        <v>30000000</v>
      </c>
      <c r="BI177" s="149" t="s">
        <v>6</v>
      </c>
    </row>
    <row r="178" spans="1:61" s="151" customFormat="1" ht="228.75" customHeight="1">
      <c r="A178" s="139">
        <v>316</v>
      </c>
      <c r="B178" s="140" t="s">
        <v>754</v>
      </c>
      <c r="C178" s="139">
        <v>1</v>
      </c>
      <c r="D178" s="140" t="s">
        <v>148</v>
      </c>
      <c r="E178" s="139">
        <v>41</v>
      </c>
      <c r="F178" s="140" t="s">
        <v>771</v>
      </c>
      <c r="G178" s="139">
        <v>4102</v>
      </c>
      <c r="H178" s="140" t="s">
        <v>772</v>
      </c>
      <c r="I178" s="139">
        <v>4102</v>
      </c>
      <c r="J178" s="140" t="s">
        <v>773</v>
      </c>
      <c r="K178" s="140" t="s">
        <v>800</v>
      </c>
      <c r="L178" s="139" t="s">
        <v>61</v>
      </c>
      <c r="M178" s="140" t="s">
        <v>801</v>
      </c>
      <c r="N178" s="137">
        <v>4102038</v>
      </c>
      <c r="O178" s="140" t="s">
        <v>802</v>
      </c>
      <c r="P178" s="139" t="s">
        <v>61</v>
      </c>
      <c r="Q178" s="142" t="s">
        <v>803</v>
      </c>
      <c r="R178" s="137">
        <v>410203800</v>
      </c>
      <c r="S178" s="140" t="s">
        <v>804</v>
      </c>
      <c r="T178" s="317" t="s">
        <v>69</v>
      </c>
      <c r="U178" s="132">
        <v>1</v>
      </c>
      <c r="V178" s="132"/>
      <c r="W178" s="145">
        <f t="shared" si="19"/>
        <v>1</v>
      </c>
      <c r="X178" s="145">
        <v>0.25</v>
      </c>
      <c r="Y178" s="146">
        <v>2020003630102</v>
      </c>
      <c r="Z178" s="141" t="s">
        <v>805</v>
      </c>
      <c r="AA178" s="140" t="s">
        <v>806</v>
      </c>
      <c r="AB178" s="130"/>
      <c r="AC178" s="130"/>
      <c r="AD178" s="130"/>
      <c r="AE178" s="130"/>
      <c r="AF178" s="130"/>
      <c r="AG178" s="130"/>
      <c r="AH178" s="130"/>
      <c r="AI178" s="130"/>
      <c r="AJ178" s="130"/>
      <c r="AK178" s="130"/>
      <c r="AL178" s="130"/>
      <c r="AM178" s="130"/>
      <c r="AN178" s="130"/>
      <c r="AO178" s="130"/>
      <c r="AP178" s="130"/>
      <c r="AQ178" s="130"/>
      <c r="AR178" s="130"/>
      <c r="AS178" s="130"/>
      <c r="AT178" s="138">
        <f>180000000+54000000+30000000</f>
        <v>264000000</v>
      </c>
      <c r="AU178" s="138">
        <v>78847028</v>
      </c>
      <c r="AV178" s="138">
        <v>29200000</v>
      </c>
      <c r="AW178" s="130"/>
      <c r="AX178" s="130"/>
      <c r="AY178" s="130"/>
      <c r="AZ178" s="130"/>
      <c r="BA178" s="130"/>
      <c r="BB178" s="130"/>
      <c r="BC178" s="130"/>
      <c r="BD178" s="130"/>
      <c r="BE178" s="130"/>
      <c r="BF178" s="138">
        <f t="shared" si="16"/>
        <v>264000000</v>
      </c>
      <c r="BG178" s="138">
        <f t="shared" si="17"/>
        <v>78847028</v>
      </c>
      <c r="BH178" s="138">
        <f t="shared" si="18"/>
        <v>29200000</v>
      </c>
      <c r="BI178" s="149" t="s">
        <v>6</v>
      </c>
    </row>
    <row r="179" spans="1:61" s="151" customFormat="1" ht="91.5" customHeight="1">
      <c r="A179" s="139">
        <v>316</v>
      </c>
      <c r="B179" s="140" t="s">
        <v>754</v>
      </c>
      <c r="C179" s="139">
        <v>1</v>
      </c>
      <c r="D179" s="140" t="s">
        <v>148</v>
      </c>
      <c r="E179" s="139">
        <v>41</v>
      </c>
      <c r="F179" s="140" t="s">
        <v>771</v>
      </c>
      <c r="G179" s="139">
        <v>4102</v>
      </c>
      <c r="H179" s="140" t="s">
        <v>772</v>
      </c>
      <c r="I179" s="139">
        <v>4102</v>
      </c>
      <c r="J179" s="140" t="s">
        <v>773</v>
      </c>
      <c r="K179" s="140" t="s">
        <v>807</v>
      </c>
      <c r="L179" s="139" t="s">
        <v>61</v>
      </c>
      <c r="M179" s="140" t="s">
        <v>808</v>
      </c>
      <c r="N179" s="137">
        <v>4102042</v>
      </c>
      <c r="O179" s="140" t="s">
        <v>809</v>
      </c>
      <c r="P179" s="139" t="s">
        <v>61</v>
      </c>
      <c r="Q179" s="142" t="s">
        <v>810</v>
      </c>
      <c r="R179" s="137">
        <v>410204200</v>
      </c>
      <c r="S179" s="142" t="s">
        <v>811</v>
      </c>
      <c r="T179" s="317" t="s">
        <v>69</v>
      </c>
      <c r="U179" s="132">
        <v>12</v>
      </c>
      <c r="V179" s="132"/>
      <c r="W179" s="145">
        <f t="shared" si="19"/>
        <v>12</v>
      </c>
      <c r="X179" s="145">
        <v>3</v>
      </c>
      <c r="Y179" s="278">
        <v>2021003630010</v>
      </c>
      <c r="Z179" s="134" t="s">
        <v>812</v>
      </c>
      <c r="AA179" s="274" t="s">
        <v>813</v>
      </c>
      <c r="AB179" s="130"/>
      <c r="AC179" s="130"/>
      <c r="AD179" s="130"/>
      <c r="AE179" s="130"/>
      <c r="AF179" s="130"/>
      <c r="AG179" s="130"/>
      <c r="AH179" s="130"/>
      <c r="AI179" s="130"/>
      <c r="AJ179" s="130"/>
      <c r="AK179" s="130"/>
      <c r="AL179" s="130"/>
      <c r="AM179" s="130"/>
      <c r="AN179" s="130"/>
      <c r="AO179" s="130"/>
      <c r="AP179" s="130"/>
      <c r="AQ179" s="130"/>
      <c r="AR179" s="130"/>
      <c r="AS179" s="130"/>
      <c r="AT179" s="138">
        <f>18000000+5400000</f>
        <v>23400000</v>
      </c>
      <c r="AU179" s="138">
        <v>12000000</v>
      </c>
      <c r="AV179" s="138">
        <v>3200000</v>
      </c>
      <c r="AW179" s="130"/>
      <c r="AX179" s="130"/>
      <c r="AY179" s="130"/>
      <c r="AZ179" s="130"/>
      <c r="BA179" s="130"/>
      <c r="BB179" s="130"/>
      <c r="BC179" s="130"/>
      <c r="BD179" s="130"/>
      <c r="BE179" s="130"/>
      <c r="BF179" s="138">
        <f t="shared" si="16"/>
        <v>23400000</v>
      </c>
      <c r="BG179" s="138">
        <f t="shared" si="17"/>
        <v>12000000</v>
      </c>
      <c r="BH179" s="138">
        <f t="shared" si="18"/>
        <v>3200000</v>
      </c>
      <c r="BI179" s="149" t="s">
        <v>6</v>
      </c>
    </row>
    <row r="180" spans="1:61" s="151" customFormat="1" ht="134.25" customHeight="1">
      <c r="A180" s="139">
        <v>316</v>
      </c>
      <c r="B180" s="140" t="s">
        <v>754</v>
      </c>
      <c r="C180" s="139">
        <v>1</v>
      </c>
      <c r="D180" s="140" t="s">
        <v>148</v>
      </c>
      <c r="E180" s="139">
        <v>41</v>
      </c>
      <c r="F180" s="140" t="s">
        <v>771</v>
      </c>
      <c r="G180" s="139">
        <v>4102</v>
      </c>
      <c r="H180" s="140" t="s">
        <v>772</v>
      </c>
      <c r="I180" s="139">
        <v>4102</v>
      </c>
      <c r="J180" s="140" t="s">
        <v>773</v>
      </c>
      <c r="K180" s="140" t="s">
        <v>814</v>
      </c>
      <c r="L180" s="139" t="s">
        <v>61</v>
      </c>
      <c r="M180" s="134" t="s">
        <v>815</v>
      </c>
      <c r="N180" s="137">
        <v>4102001</v>
      </c>
      <c r="O180" s="134" t="s">
        <v>816</v>
      </c>
      <c r="P180" s="139" t="s">
        <v>61</v>
      </c>
      <c r="Q180" s="142" t="s">
        <v>817</v>
      </c>
      <c r="R180" s="137">
        <v>410200100</v>
      </c>
      <c r="S180" s="142" t="s">
        <v>818</v>
      </c>
      <c r="T180" s="317" t="s">
        <v>69</v>
      </c>
      <c r="U180" s="132">
        <v>1</v>
      </c>
      <c r="V180" s="132"/>
      <c r="W180" s="145">
        <f t="shared" si="19"/>
        <v>1</v>
      </c>
      <c r="X180" s="145">
        <v>0.25</v>
      </c>
      <c r="Y180" s="146">
        <v>2020003630033</v>
      </c>
      <c r="Z180" s="134" t="s">
        <v>819</v>
      </c>
      <c r="AA180" s="134" t="s">
        <v>820</v>
      </c>
      <c r="AB180" s="130"/>
      <c r="AC180" s="130"/>
      <c r="AD180" s="130"/>
      <c r="AE180" s="130"/>
      <c r="AF180" s="130"/>
      <c r="AG180" s="130"/>
      <c r="AH180" s="130"/>
      <c r="AI180" s="130"/>
      <c r="AJ180" s="130"/>
      <c r="AK180" s="130"/>
      <c r="AL180" s="130"/>
      <c r="AM180" s="130"/>
      <c r="AN180" s="130"/>
      <c r="AO180" s="130"/>
      <c r="AP180" s="130"/>
      <c r="AQ180" s="130"/>
      <c r="AR180" s="130"/>
      <c r="AS180" s="130"/>
      <c r="AT180" s="138">
        <v>15000000</v>
      </c>
      <c r="AU180" s="138">
        <v>11000000</v>
      </c>
      <c r="AV180" s="138">
        <v>9400000</v>
      </c>
      <c r="AW180" s="130"/>
      <c r="AX180" s="130"/>
      <c r="AY180" s="130"/>
      <c r="AZ180" s="130"/>
      <c r="BA180" s="130"/>
      <c r="BB180" s="130"/>
      <c r="BC180" s="130"/>
      <c r="BD180" s="130"/>
      <c r="BE180" s="130"/>
      <c r="BF180" s="138">
        <f t="shared" si="16"/>
        <v>15000000</v>
      </c>
      <c r="BG180" s="138">
        <f t="shared" si="17"/>
        <v>11000000</v>
      </c>
      <c r="BH180" s="138">
        <f t="shared" si="18"/>
        <v>9400000</v>
      </c>
      <c r="BI180" s="149" t="s">
        <v>6</v>
      </c>
    </row>
    <row r="181" spans="1:61" s="151" customFormat="1" ht="180.75" customHeight="1">
      <c r="A181" s="139">
        <v>316</v>
      </c>
      <c r="B181" s="140" t="s">
        <v>754</v>
      </c>
      <c r="C181" s="139">
        <v>1</v>
      </c>
      <c r="D181" s="140" t="s">
        <v>148</v>
      </c>
      <c r="E181" s="139">
        <v>41</v>
      </c>
      <c r="F181" s="140" t="s">
        <v>771</v>
      </c>
      <c r="G181" s="139">
        <v>4102</v>
      </c>
      <c r="H181" s="140" t="s">
        <v>772</v>
      </c>
      <c r="I181" s="139">
        <v>4102</v>
      </c>
      <c r="J181" s="140" t="s">
        <v>773</v>
      </c>
      <c r="K181" s="140" t="s">
        <v>821</v>
      </c>
      <c r="L181" s="139">
        <v>4102022</v>
      </c>
      <c r="M181" s="274" t="s">
        <v>822</v>
      </c>
      <c r="N181" s="275">
        <v>4102046</v>
      </c>
      <c r="O181" s="274" t="s">
        <v>823</v>
      </c>
      <c r="P181" s="275" t="s">
        <v>824</v>
      </c>
      <c r="Q181" s="142" t="s">
        <v>825</v>
      </c>
      <c r="R181" s="275">
        <v>410204600</v>
      </c>
      <c r="S181" s="142" t="s">
        <v>826</v>
      </c>
      <c r="T181" s="317" t="s">
        <v>157</v>
      </c>
      <c r="U181" s="132">
        <v>21</v>
      </c>
      <c r="V181" s="132"/>
      <c r="W181" s="145">
        <f t="shared" si="19"/>
        <v>21</v>
      </c>
      <c r="X181" s="145">
        <v>4</v>
      </c>
      <c r="Y181" s="146">
        <v>2020003630033</v>
      </c>
      <c r="Z181" s="134" t="s">
        <v>819</v>
      </c>
      <c r="AA181" s="134" t="s">
        <v>820</v>
      </c>
      <c r="AB181" s="130"/>
      <c r="AC181" s="130"/>
      <c r="AD181" s="130"/>
      <c r="AE181" s="130"/>
      <c r="AF181" s="130"/>
      <c r="AG181" s="130"/>
      <c r="AH181" s="130"/>
      <c r="AI181" s="130"/>
      <c r="AJ181" s="130"/>
      <c r="AK181" s="130"/>
      <c r="AL181" s="130"/>
      <c r="AM181" s="130"/>
      <c r="AN181" s="130"/>
      <c r="AO181" s="130"/>
      <c r="AP181" s="130"/>
      <c r="AQ181" s="130"/>
      <c r="AR181" s="130"/>
      <c r="AS181" s="130"/>
      <c r="AT181" s="138">
        <v>18000000</v>
      </c>
      <c r="AU181" s="138">
        <v>2000000</v>
      </c>
      <c r="AV181" s="138"/>
      <c r="AW181" s="130"/>
      <c r="AX181" s="130"/>
      <c r="AY181" s="130"/>
      <c r="AZ181" s="130"/>
      <c r="BA181" s="130"/>
      <c r="BB181" s="130"/>
      <c r="BC181" s="130"/>
      <c r="BD181" s="130"/>
      <c r="BE181" s="130"/>
      <c r="BF181" s="138">
        <f t="shared" si="16"/>
        <v>18000000</v>
      </c>
      <c r="BG181" s="138">
        <f t="shared" si="17"/>
        <v>2000000</v>
      </c>
      <c r="BH181" s="138">
        <f t="shared" si="18"/>
        <v>0</v>
      </c>
      <c r="BI181" s="149" t="s">
        <v>6</v>
      </c>
    </row>
    <row r="182" spans="1:61" s="151" customFormat="1" ht="98.25" customHeight="1">
      <c r="A182" s="139">
        <v>316</v>
      </c>
      <c r="B182" s="140" t="s">
        <v>754</v>
      </c>
      <c r="C182" s="139">
        <v>1</v>
      </c>
      <c r="D182" s="140" t="s">
        <v>148</v>
      </c>
      <c r="E182" s="139">
        <v>41</v>
      </c>
      <c r="F182" s="140" t="s">
        <v>771</v>
      </c>
      <c r="G182" s="139">
        <v>4102</v>
      </c>
      <c r="H182" s="140" t="s">
        <v>772</v>
      </c>
      <c r="I182" s="139">
        <v>4102</v>
      </c>
      <c r="J182" s="140" t="s">
        <v>773</v>
      </c>
      <c r="K182" s="140" t="s">
        <v>827</v>
      </c>
      <c r="L182" s="139">
        <v>4102038</v>
      </c>
      <c r="M182" s="140" t="s">
        <v>828</v>
      </c>
      <c r="N182" s="139">
        <v>4102038</v>
      </c>
      <c r="O182" s="140" t="s">
        <v>828</v>
      </c>
      <c r="P182" s="145">
        <v>410203800</v>
      </c>
      <c r="Q182" s="142" t="s">
        <v>804</v>
      </c>
      <c r="R182" s="145">
        <v>410203800</v>
      </c>
      <c r="S182" s="142" t="s">
        <v>804</v>
      </c>
      <c r="T182" s="317" t="s">
        <v>157</v>
      </c>
      <c r="U182" s="132">
        <v>10</v>
      </c>
      <c r="V182" s="132"/>
      <c r="W182" s="145">
        <f t="shared" si="19"/>
        <v>10</v>
      </c>
      <c r="X182" s="145">
        <v>3</v>
      </c>
      <c r="Y182" s="146">
        <v>2020003630034</v>
      </c>
      <c r="Z182" s="140" t="s">
        <v>829</v>
      </c>
      <c r="AA182" s="274" t="s">
        <v>830</v>
      </c>
      <c r="AB182" s="130"/>
      <c r="AC182" s="130"/>
      <c r="AD182" s="130"/>
      <c r="AE182" s="130"/>
      <c r="AF182" s="130"/>
      <c r="AG182" s="130"/>
      <c r="AH182" s="130"/>
      <c r="AI182" s="130"/>
      <c r="AJ182" s="130"/>
      <c r="AK182" s="130"/>
      <c r="AL182" s="130"/>
      <c r="AM182" s="130"/>
      <c r="AN182" s="130"/>
      <c r="AO182" s="130"/>
      <c r="AP182" s="130"/>
      <c r="AQ182" s="130"/>
      <c r="AR182" s="130"/>
      <c r="AS182" s="130"/>
      <c r="AT182" s="138">
        <f>37000000+11100000</f>
        <v>48100000</v>
      </c>
      <c r="AU182" s="138">
        <v>20430000</v>
      </c>
      <c r="AV182" s="138">
        <v>9250000</v>
      </c>
      <c r="AW182" s="130"/>
      <c r="AX182" s="130"/>
      <c r="AY182" s="130"/>
      <c r="AZ182" s="130"/>
      <c r="BA182" s="130"/>
      <c r="BB182" s="130"/>
      <c r="BC182" s="130"/>
      <c r="BD182" s="130"/>
      <c r="BE182" s="130"/>
      <c r="BF182" s="138">
        <f t="shared" si="16"/>
        <v>48100000</v>
      </c>
      <c r="BG182" s="138">
        <f t="shared" si="17"/>
        <v>20430000</v>
      </c>
      <c r="BH182" s="138">
        <f t="shared" si="18"/>
        <v>9250000</v>
      </c>
      <c r="BI182" s="149" t="s">
        <v>6</v>
      </c>
    </row>
    <row r="183" spans="1:61" s="151" customFormat="1" ht="79.5" customHeight="1">
      <c r="A183" s="139">
        <v>316</v>
      </c>
      <c r="B183" s="140" t="s">
        <v>754</v>
      </c>
      <c r="C183" s="139">
        <v>1</v>
      </c>
      <c r="D183" s="140" t="s">
        <v>148</v>
      </c>
      <c r="E183" s="139">
        <v>41</v>
      </c>
      <c r="F183" s="140" t="s">
        <v>771</v>
      </c>
      <c r="G183" s="139">
        <v>4103</v>
      </c>
      <c r="H183" s="140" t="s">
        <v>321</v>
      </c>
      <c r="I183" s="139">
        <v>4103</v>
      </c>
      <c r="J183" s="140" t="s">
        <v>322</v>
      </c>
      <c r="K183" s="140" t="s">
        <v>831</v>
      </c>
      <c r="L183" s="137">
        <v>4103059</v>
      </c>
      <c r="M183" s="140" t="s">
        <v>832</v>
      </c>
      <c r="N183" s="137">
        <v>4103059</v>
      </c>
      <c r="O183" s="140" t="s">
        <v>832</v>
      </c>
      <c r="P183" s="132">
        <v>410305900</v>
      </c>
      <c r="Q183" s="142" t="s">
        <v>833</v>
      </c>
      <c r="R183" s="132">
        <v>410305900</v>
      </c>
      <c r="S183" s="142" t="s">
        <v>833</v>
      </c>
      <c r="T183" s="145" t="s">
        <v>157</v>
      </c>
      <c r="U183" s="145">
        <v>16</v>
      </c>
      <c r="V183" s="145"/>
      <c r="W183" s="145">
        <f t="shared" si="19"/>
        <v>16</v>
      </c>
      <c r="X183" s="145">
        <v>4</v>
      </c>
      <c r="Y183" s="146">
        <v>2020003630103</v>
      </c>
      <c r="Z183" s="140" t="s">
        <v>834</v>
      </c>
      <c r="AA183" s="140" t="s">
        <v>835</v>
      </c>
      <c r="AB183" s="130"/>
      <c r="AC183" s="130"/>
      <c r="AD183" s="130"/>
      <c r="AE183" s="130"/>
      <c r="AF183" s="130"/>
      <c r="AG183" s="130"/>
      <c r="AH183" s="130"/>
      <c r="AI183" s="130"/>
      <c r="AJ183" s="130"/>
      <c r="AK183" s="130"/>
      <c r="AL183" s="130"/>
      <c r="AM183" s="130"/>
      <c r="AN183" s="130"/>
      <c r="AO183" s="130"/>
      <c r="AP183" s="130"/>
      <c r="AQ183" s="130"/>
      <c r="AR183" s="130"/>
      <c r="AS183" s="130"/>
      <c r="AT183" s="138">
        <f>35000000+10500000</f>
        <v>45500000</v>
      </c>
      <c r="AU183" s="138">
        <v>19200000</v>
      </c>
      <c r="AV183" s="138">
        <v>9600000</v>
      </c>
      <c r="AW183" s="130"/>
      <c r="AX183" s="130"/>
      <c r="AY183" s="130"/>
      <c r="AZ183" s="130"/>
      <c r="BA183" s="130"/>
      <c r="BB183" s="130"/>
      <c r="BC183" s="130"/>
      <c r="BD183" s="130"/>
      <c r="BE183" s="130"/>
      <c r="BF183" s="138">
        <f t="shared" si="16"/>
        <v>45500000</v>
      </c>
      <c r="BG183" s="138">
        <f t="shared" si="17"/>
        <v>19200000</v>
      </c>
      <c r="BH183" s="138">
        <f t="shared" si="18"/>
        <v>9600000</v>
      </c>
      <c r="BI183" s="149" t="s">
        <v>6</v>
      </c>
    </row>
    <row r="184" spans="1:61" s="151" customFormat="1" ht="78" customHeight="1">
      <c r="A184" s="139">
        <v>316</v>
      </c>
      <c r="B184" s="140" t="s">
        <v>754</v>
      </c>
      <c r="C184" s="139">
        <v>1</v>
      </c>
      <c r="D184" s="140" t="s">
        <v>148</v>
      </c>
      <c r="E184" s="139">
        <v>41</v>
      </c>
      <c r="F184" s="140" t="s">
        <v>771</v>
      </c>
      <c r="G184" s="139">
        <v>4103</v>
      </c>
      <c r="H184" s="140" t="s">
        <v>321</v>
      </c>
      <c r="I184" s="139">
        <v>4103</v>
      </c>
      <c r="J184" s="140" t="s">
        <v>322</v>
      </c>
      <c r="K184" s="140" t="s">
        <v>836</v>
      </c>
      <c r="L184" s="139">
        <v>4103052</v>
      </c>
      <c r="M184" s="140" t="s">
        <v>325</v>
      </c>
      <c r="N184" s="139">
        <v>4103052</v>
      </c>
      <c r="O184" s="140" t="s">
        <v>325</v>
      </c>
      <c r="P184" s="145">
        <v>410305202</v>
      </c>
      <c r="Q184" s="142" t="s">
        <v>837</v>
      </c>
      <c r="R184" s="145">
        <v>410305202</v>
      </c>
      <c r="S184" s="142" t="s">
        <v>838</v>
      </c>
      <c r="T184" s="145" t="s">
        <v>69</v>
      </c>
      <c r="U184" s="145">
        <v>1</v>
      </c>
      <c r="V184" s="145"/>
      <c r="W184" s="145">
        <f t="shared" si="19"/>
        <v>1</v>
      </c>
      <c r="X184" s="145">
        <v>0.3</v>
      </c>
      <c r="Y184" s="146">
        <v>2020003630104</v>
      </c>
      <c r="Z184" s="142" t="s">
        <v>839</v>
      </c>
      <c r="AA184" s="140" t="s">
        <v>840</v>
      </c>
      <c r="AB184" s="130"/>
      <c r="AC184" s="130"/>
      <c r="AD184" s="130"/>
      <c r="AE184" s="130"/>
      <c r="AF184" s="130"/>
      <c r="AG184" s="130"/>
      <c r="AH184" s="130"/>
      <c r="AI184" s="130"/>
      <c r="AJ184" s="130"/>
      <c r="AK184" s="130"/>
      <c r="AL184" s="130"/>
      <c r="AM184" s="130"/>
      <c r="AN184" s="130"/>
      <c r="AO184" s="130"/>
      <c r="AP184" s="130"/>
      <c r="AQ184" s="130"/>
      <c r="AR184" s="130"/>
      <c r="AS184" s="130"/>
      <c r="AT184" s="138">
        <f>32000000+9600000</f>
        <v>41600000</v>
      </c>
      <c r="AU184" s="138">
        <v>14400000</v>
      </c>
      <c r="AV184" s="138">
        <v>6400000</v>
      </c>
      <c r="AW184" s="130"/>
      <c r="AX184" s="130"/>
      <c r="AY184" s="130"/>
      <c r="AZ184" s="130"/>
      <c r="BA184" s="130"/>
      <c r="BB184" s="130"/>
      <c r="BC184" s="130"/>
      <c r="BD184" s="130"/>
      <c r="BE184" s="130"/>
      <c r="BF184" s="138">
        <f t="shared" si="16"/>
        <v>41600000</v>
      </c>
      <c r="BG184" s="138">
        <f t="shared" si="17"/>
        <v>14400000</v>
      </c>
      <c r="BH184" s="138">
        <f t="shared" si="18"/>
        <v>6400000</v>
      </c>
      <c r="BI184" s="149" t="s">
        <v>6</v>
      </c>
    </row>
    <row r="185" spans="1:61" s="151" customFormat="1" ht="171" customHeight="1">
      <c r="A185" s="139">
        <v>316</v>
      </c>
      <c r="B185" s="140" t="s">
        <v>754</v>
      </c>
      <c r="C185" s="139">
        <v>1</v>
      </c>
      <c r="D185" s="140" t="s">
        <v>148</v>
      </c>
      <c r="E185" s="139">
        <v>41</v>
      </c>
      <c r="F185" s="140" t="s">
        <v>771</v>
      </c>
      <c r="G185" s="139">
        <v>4103</v>
      </c>
      <c r="H185" s="140" t="s">
        <v>321</v>
      </c>
      <c r="I185" s="139">
        <v>4103</v>
      </c>
      <c r="J185" s="140" t="s">
        <v>322</v>
      </c>
      <c r="K185" s="140" t="s">
        <v>821</v>
      </c>
      <c r="L185" s="139">
        <v>4103050</v>
      </c>
      <c r="M185" s="140" t="s">
        <v>841</v>
      </c>
      <c r="N185" s="139">
        <v>4103050</v>
      </c>
      <c r="O185" s="140" t="s">
        <v>841</v>
      </c>
      <c r="P185" s="145">
        <v>410305001</v>
      </c>
      <c r="Q185" s="142" t="s">
        <v>842</v>
      </c>
      <c r="R185" s="145">
        <v>410305001</v>
      </c>
      <c r="S185" s="142" t="s">
        <v>842</v>
      </c>
      <c r="T185" s="145" t="s">
        <v>69</v>
      </c>
      <c r="U185" s="145">
        <v>12</v>
      </c>
      <c r="V185" s="145"/>
      <c r="W185" s="145">
        <f t="shared" si="19"/>
        <v>12</v>
      </c>
      <c r="X185" s="145">
        <v>2</v>
      </c>
      <c r="Y185" s="146">
        <v>2020003630105</v>
      </c>
      <c r="Z185" s="142" t="s">
        <v>843</v>
      </c>
      <c r="AA185" s="140" t="s">
        <v>844</v>
      </c>
      <c r="AB185" s="130"/>
      <c r="AC185" s="130"/>
      <c r="AD185" s="130"/>
      <c r="AE185" s="130"/>
      <c r="AF185" s="130"/>
      <c r="AG185" s="130"/>
      <c r="AH185" s="130"/>
      <c r="AI185" s="130"/>
      <c r="AJ185" s="130"/>
      <c r="AK185" s="130"/>
      <c r="AL185" s="130"/>
      <c r="AM185" s="130"/>
      <c r="AN185" s="130"/>
      <c r="AO185" s="130"/>
      <c r="AP185" s="130"/>
      <c r="AQ185" s="130"/>
      <c r="AR185" s="130"/>
      <c r="AS185" s="130"/>
      <c r="AT185" s="138">
        <f>29000000+8700000</f>
        <v>37700000</v>
      </c>
      <c r="AU185" s="138">
        <v>4800000</v>
      </c>
      <c r="AV185" s="138"/>
      <c r="AW185" s="130"/>
      <c r="AX185" s="130"/>
      <c r="AY185" s="130"/>
      <c r="AZ185" s="130"/>
      <c r="BA185" s="130"/>
      <c r="BB185" s="130"/>
      <c r="BC185" s="130"/>
      <c r="BD185" s="130"/>
      <c r="BE185" s="130"/>
      <c r="BF185" s="138">
        <f t="shared" si="16"/>
        <v>37700000</v>
      </c>
      <c r="BG185" s="138">
        <f t="shared" si="17"/>
        <v>4800000</v>
      </c>
      <c r="BH185" s="138">
        <f t="shared" si="18"/>
        <v>0</v>
      </c>
      <c r="BI185" s="149" t="s">
        <v>6</v>
      </c>
    </row>
    <row r="186" spans="1:61" s="151" customFormat="1" ht="105" customHeight="1">
      <c r="A186" s="139">
        <v>316</v>
      </c>
      <c r="B186" s="140" t="s">
        <v>754</v>
      </c>
      <c r="C186" s="139">
        <v>1</v>
      </c>
      <c r="D186" s="140" t="s">
        <v>148</v>
      </c>
      <c r="E186" s="139">
        <v>41</v>
      </c>
      <c r="F186" s="140" t="s">
        <v>771</v>
      </c>
      <c r="G186" s="139">
        <v>4103</v>
      </c>
      <c r="H186" s="140" t="s">
        <v>321</v>
      </c>
      <c r="I186" s="139">
        <v>4103</v>
      </c>
      <c r="J186" s="140" t="s">
        <v>322</v>
      </c>
      <c r="K186" s="140" t="s">
        <v>845</v>
      </c>
      <c r="L186" s="137">
        <v>4103058</v>
      </c>
      <c r="M186" s="140" t="s">
        <v>846</v>
      </c>
      <c r="N186" s="137">
        <v>4103058</v>
      </c>
      <c r="O186" s="140" t="s">
        <v>846</v>
      </c>
      <c r="P186" s="132">
        <v>410305800</v>
      </c>
      <c r="Q186" s="142" t="s">
        <v>847</v>
      </c>
      <c r="R186" s="132">
        <v>410305800</v>
      </c>
      <c r="S186" s="142" t="s">
        <v>847</v>
      </c>
      <c r="T186" s="145" t="s">
        <v>157</v>
      </c>
      <c r="U186" s="145">
        <v>5</v>
      </c>
      <c r="V186" s="145"/>
      <c r="W186" s="145">
        <f t="shared" si="19"/>
        <v>5</v>
      </c>
      <c r="X186" s="145">
        <v>3</v>
      </c>
      <c r="Y186" s="146">
        <v>2020003630106</v>
      </c>
      <c r="Z186" s="142" t="s">
        <v>848</v>
      </c>
      <c r="AA186" s="140" t="s">
        <v>849</v>
      </c>
      <c r="AB186" s="130"/>
      <c r="AC186" s="130"/>
      <c r="AD186" s="130"/>
      <c r="AE186" s="130"/>
      <c r="AF186" s="130"/>
      <c r="AG186" s="130"/>
      <c r="AH186" s="130"/>
      <c r="AI186" s="130"/>
      <c r="AJ186" s="130"/>
      <c r="AK186" s="130"/>
      <c r="AL186" s="130"/>
      <c r="AM186" s="130"/>
      <c r="AN186" s="130"/>
      <c r="AO186" s="130"/>
      <c r="AP186" s="130"/>
      <c r="AQ186" s="130"/>
      <c r="AR186" s="130"/>
      <c r="AS186" s="130"/>
      <c r="AT186" s="138">
        <f>30000000+9000000</f>
        <v>39000000</v>
      </c>
      <c r="AU186" s="138">
        <v>15100000</v>
      </c>
      <c r="AV186" s="138">
        <v>7400000</v>
      </c>
      <c r="AW186" s="130"/>
      <c r="AX186" s="130"/>
      <c r="AY186" s="130"/>
      <c r="AZ186" s="130"/>
      <c r="BA186" s="130"/>
      <c r="BB186" s="130"/>
      <c r="BC186" s="130"/>
      <c r="BD186" s="130"/>
      <c r="BE186" s="130"/>
      <c r="BF186" s="138">
        <f t="shared" si="16"/>
        <v>39000000</v>
      </c>
      <c r="BG186" s="138">
        <f t="shared" si="17"/>
        <v>15100000</v>
      </c>
      <c r="BH186" s="138">
        <f t="shared" si="18"/>
        <v>7400000</v>
      </c>
      <c r="BI186" s="149" t="s">
        <v>6</v>
      </c>
    </row>
    <row r="187" spans="1:61" s="151" customFormat="1" ht="105" customHeight="1">
      <c r="A187" s="139">
        <v>316</v>
      </c>
      <c r="B187" s="140" t="s">
        <v>754</v>
      </c>
      <c r="C187" s="139">
        <v>1</v>
      </c>
      <c r="D187" s="140" t="s">
        <v>148</v>
      </c>
      <c r="E187" s="139">
        <v>41</v>
      </c>
      <c r="F187" s="140" t="s">
        <v>771</v>
      </c>
      <c r="G187" s="139">
        <v>4103</v>
      </c>
      <c r="H187" s="140" t="s">
        <v>321</v>
      </c>
      <c r="I187" s="139">
        <v>4103</v>
      </c>
      <c r="J187" s="140" t="s">
        <v>322</v>
      </c>
      <c r="K187" s="134" t="s">
        <v>850</v>
      </c>
      <c r="L187" s="139" t="s">
        <v>61</v>
      </c>
      <c r="M187" s="140" t="s">
        <v>851</v>
      </c>
      <c r="N187" s="137">
        <v>4103060</v>
      </c>
      <c r="O187" s="140" t="s">
        <v>852</v>
      </c>
      <c r="P187" s="139" t="s">
        <v>61</v>
      </c>
      <c r="Q187" s="142" t="s">
        <v>853</v>
      </c>
      <c r="R187" s="137">
        <v>410306000</v>
      </c>
      <c r="S187" s="142" t="s">
        <v>854</v>
      </c>
      <c r="T187" s="145" t="s">
        <v>157</v>
      </c>
      <c r="U187" s="145">
        <v>5</v>
      </c>
      <c r="V187" s="145"/>
      <c r="W187" s="145">
        <f t="shared" si="19"/>
        <v>5</v>
      </c>
      <c r="X187" s="145">
        <v>0</v>
      </c>
      <c r="Y187" s="146">
        <v>2020003630036</v>
      </c>
      <c r="Z187" s="140" t="s">
        <v>855</v>
      </c>
      <c r="AA187" s="140" t="s">
        <v>856</v>
      </c>
      <c r="AB187" s="130"/>
      <c r="AC187" s="130"/>
      <c r="AD187" s="130"/>
      <c r="AE187" s="130"/>
      <c r="AF187" s="130"/>
      <c r="AG187" s="130"/>
      <c r="AH187" s="130"/>
      <c r="AI187" s="130"/>
      <c r="AJ187" s="130"/>
      <c r="AK187" s="130"/>
      <c r="AL187" s="130"/>
      <c r="AM187" s="130"/>
      <c r="AN187" s="130"/>
      <c r="AO187" s="130"/>
      <c r="AP187" s="130"/>
      <c r="AQ187" s="130"/>
      <c r="AR187" s="130"/>
      <c r="AS187" s="130"/>
      <c r="AT187" s="138">
        <v>55000000</v>
      </c>
      <c r="AU187" s="138"/>
      <c r="AV187" s="138"/>
      <c r="AW187" s="130"/>
      <c r="AX187" s="130"/>
      <c r="AY187" s="130"/>
      <c r="AZ187" s="130"/>
      <c r="BA187" s="130"/>
      <c r="BB187" s="130"/>
      <c r="BC187" s="130"/>
      <c r="BD187" s="130"/>
      <c r="BE187" s="130"/>
      <c r="BF187" s="138">
        <f t="shared" si="16"/>
        <v>55000000</v>
      </c>
      <c r="BG187" s="138">
        <f t="shared" si="17"/>
        <v>0</v>
      </c>
      <c r="BH187" s="138">
        <f t="shared" si="18"/>
        <v>0</v>
      </c>
      <c r="BI187" s="149" t="s">
        <v>6</v>
      </c>
    </row>
    <row r="188" spans="1:61" s="151" customFormat="1" ht="116.25" customHeight="1">
      <c r="A188" s="139">
        <v>316</v>
      </c>
      <c r="B188" s="140" t="s">
        <v>754</v>
      </c>
      <c r="C188" s="139">
        <v>1</v>
      </c>
      <c r="D188" s="140" t="s">
        <v>148</v>
      </c>
      <c r="E188" s="139">
        <v>41</v>
      </c>
      <c r="F188" s="140" t="s">
        <v>771</v>
      </c>
      <c r="G188" s="139">
        <v>4103</v>
      </c>
      <c r="H188" s="140" t="s">
        <v>321</v>
      </c>
      <c r="I188" s="139">
        <v>4103</v>
      </c>
      <c r="J188" s="140" t="s">
        <v>322</v>
      </c>
      <c r="K188" s="134" t="s">
        <v>857</v>
      </c>
      <c r="L188" s="139" t="s">
        <v>61</v>
      </c>
      <c r="M188" s="140" t="s">
        <v>858</v>
      </c>
      <c r="N188" s="137">
        <v>4103060</v>
      </c>
      <c r="O188" s="140" t="s">
        <v>852</v>
      </c>
      <c r="P188" s="139" t="s">
        <v>61</v>
      </c>
      <c r="Q188" s="142" t="s">
        <v>859</v>
      </c>
      <c r="R188" s="137">
        <v>410306000</v>
      </c>
      <c r="S188" s="142" t="s">
        <v>854</v>
      </c>
      <c r="T188" s="145" t="s">
        <v>69</v>
      </c>
      <c r="U188" s="145">
        <v>2</v>
      </c>
      <c r="V188" s="145"/>
      <c r="W188" s="145">
        <f t="shared" si="19"/>
        <v>2</v>
      </c>
      <c r="X188" s="145">
        <v>0</v>
      </c>
      <c r="Y188" s="146">
        <v>2020003630036</v>
      </c>
      <c r="Z188" s="140" t="s">
        <v>855</v>
      </c>
      <c r="AA188" s="140" t="s">
        <v>856</v>
      </c>
      <c r="AB188" s="130"/>
      <c r="AC188" s="130"/>
      <c r="AD188" s="130"/>
      <c r="AE188" s="130"/>
      <c r="AF188" s="130"/>
      <c r="AG188" s="130"/>
      <c r="AH188" s="130"/>
      <c r="AI188" s="130"/>
      <c r="AJ188" s="130"/>
      <c r="AK188" s="130"/>
      <c r="AL188" s="130"/>
      <c r="AM188" s="130"/>
      <c r="AN188" s="130"/>
      <c r="AO188" s="130"/>
      <c r="AP188" s="130"/>
      <c r="AQ188" s="130"/>
      <c r="AR188" s="130"/>
      <c r="AS188" s="130"/>
      <c r="AT188" s="138">
        <v>40000000</v>
      </c>
      <c r="AU188" s="138"/>
      <c r="AV188" s="138"/>
      <c r="AW188" s="130"/>
      <c r="AX188" s="130"/>
      <c r="AY188" s="130"/>
      <c r="AZ188" s="130"/>
      <c r="BA188" s="130"/>
      <c r="BB188" s="130"/>
      <c r="BC188" s="130"/>
      <c r="BD188" s="130"/>
      <c r="BE188" s="130"/>
      <c r="BF188" s="138">
        <f t="shared" si="16"/>
        <v>40000000</v>
      </c>
      <c r="BG188" s="138">
        <f t="shared" si="17"/>
        <v>0</v>
      </c>
      <c r="BH188" s="138">
        <f t="shared" si="18"/>
        <v>0</v>
      </c>
      <c r="BI188" s="149" t="s">
        <v>6</v>
      </c>
    </row>
    <row r="189" spans="1:61" s="151" customFormat="1" ht="135" customHeight="1">
      <c r="A189" s="139">
        <v>316</v>
      </c>
      <c r="B189" s="140" t="s">
        <v>754</v>
      </c>
      <c r="C189" s="139">
        <v>1</v>
      </c>
      <c r="D189" s="140" t="s">
        <v>148</v>
      </c>
      <c r="E189" s="139">
        <v>41</v>
      </c>
      <c r="F189" s="140" t="s">
        <v>771</v>
      </c>
      <c r="G189" s="139">
        <v>4103</v>
      </c>
      <c r="H189" s="140" t="s">
        <v>321</v>
      </c>
      <c r="I189" s="139">
        <v>4103</v>
      </c>
      <c r="J189" s="140" t="s">
        <v>322</v>
      </c>
      <c r="K189" s="140" t="s">
        <v>860</v>
      </c>
      <c r="L189" s="139" t="s">
        <v>61</v>
      </c>
      <c r="M189" s="140" t="s">
        <v>861</v>
      </c>
      <c r="N189" s="137">
        <v>4103052</v>
      </c>
      <c r="O189" s="140" t="s">
        <v>325</v>
      </c>
      <c r="P189" s="139" t="s">
        <v>61</v>
      </c>
      <c r="Q189" s="142" t="s">
        <v>862</v>
      </c>
      <c r="R189" s="137">
        <v>410305202</v>
      </c>
      <c r="S189" s="142" t="s">
        <v>837</v>
      </c>
      <c r="T189" s="145" t="s">
        <v>69</v>
      </c>
      <c r="U189" s="145">
        <v>1</v>
      </c>
      <c r="V189" s="145"/>
      <c r="W189" s="145">
        <f t="shared" si="19"/>
        <v>1</v>
      </c>
      <c r="X189" s="145">
        <v>0.25</v>
      </c>
      <c r="Y189" s="146">
        <v>2020003630037</v>
      </c>
      <c r="Z189" s="140" t="s">
        <v>863</v>
      </c>
      <c r="AA189" s="140" t="s">
        <v>864</v>
      </c>
      <c r="AB189" s="130"/>
      <c r="AC189" s="130"/>
      <c r="AD189" s="130"/>
      <c r="AE189" s="130"/>
      <c r="AF189" s="130"/>
      <c r="AG189" s="130"/>
      <c r="AH189" s="130"/>
      <c r="AI189" s="130"/>
      <c r="AJ189" s="130"/>
      <c r="AK189" s="130"/>
      <c r="AL189" s="130"/>
      <c r="AM189" s="130"/>
      <c r="AN189" s="130"/>
      <c r="AO189" s="130"/>
      <c r="AP189" s="130"/>
      <c r="AQ189" s="130"/>
      <c r="AR189" s="130"/>
      <c r="AS189" s="130"/>
      <c r="AT189" s="138">
        <v>40000000</v>
      </c>
      <c r="AU189" s="138">
        <v>9600000</v>
      </c>
      <c r="AV189" s="138">
        <v>3200000</v>
      </c>
      <c r="AW189" s="130"/>
      <c r="AX189" s="130"/>
      <c r="AY189" s="130"/>
      <c r="AZ189" s="130"/>
      <c r="BA189" s="130"/>
      <c r="BB189" s="130"/>
      <c r="BC189" s="130"/>
      <c r="BD189" s="130"/>
      <c r="BE189" s="130"/>
      <c r="BF189" s="138">
        <f t="shared" si="16"/>
        <v>40000000</v>
      </c>
      <c r="BG189" s="138">
        <f t="shared" si="17"/>
        <v>9600000</v>
      </c>
      <c r="BH189" s="138">
        <f t="shared" si="18"/>
        <v>3200000</v>
      </c>
      <c r="BI189" s="149" t="s">
        <v>6</v>
      </c>
    </row>
    <row r="190" spans="1:61" s="151" customFormat="1" ht="87" customHeight="1">
      <c r="A190" s="139">
        <v>316</v>
      </c>
      <c r="B190" s="140" t="s">
        <v>754</v>
      </c>
      <c r="C190" s="139">
        <v>1</v>
      </c>
      <c r="D190" s="140" t="s">
        <v>148</v>
      </c>
      <c r="E190" s="139">
        <v>41</v>
      </c>
      <c r="F190" s="140" t="s">
        <v>771</v>
      </c>
      <c r="G190" s="139">
        <v>4104</v>
      </c>
      <c r="H190" s="140" t="s">
        <v>865</v>
      </c>
      <c r="I190" s="139">
        <v>4104</v>
      </c>
      <c r="J190" s="140" t="s">
        <v>182</v>
      </c>
      <c r="K190" s="142" t="s">
        <v>866</v>
      </c>
      <c r="L190" s="139">
        <v>4104035</v>
      </c>
      <c r="M190" s="140" t="s">
        <v>867</v>
      </c>
      <c r="N190" s="137">
        <v>4104020</v>
      </c>
      <c r="O190" s="140" t="s">
        <v>868</v>
      </c>
      <c r="P190" s="139">
        <v>410403500</v>
      </c>
      <c r="Q190" s="142" t="s">
        <v>869</v>
      </c>
      <c r="R190" s="137">
        <v>410402000</v>
      </c>
      <c r="S190" s="142" t="s">
        <v>870</v>
      </c>
      <c r="T190" s="145" t="s">
        <v>157</v>
      </c>
      <c r="U190" s="145">
        <v>315</v>
      </c>
      <c r="V190" s="145"/>
      <c r="W190" s="145">
        <f t="shared" si="19"/>
        <v>315</v>
      </c>
      <c r="X190" s="145">
        <v>0</v>
      </c>
      <c r="Y190" s="146">
        <v>2020003630035</v>
      </c>
      <c r="Z190" s="140" t="s">
        <v>871</v>
      </c>
      <c r="AA190" s="140" t="s">
        <v>872</v>
      </c>
      <c r="AB190" s="130"/>
      <c r="AC190" s="130"/>
      <c r="AD190" s="130"/>
      <c r="AE190" s="130"/>
      <c r="AF190" s="130"/>
      <c r="AG190" s="130"/>
      <c r="AH190" s="130"/>
      <c r="AI190" s="130"/>
      <c r="AJ190" s="130"/>
      <c r="AK190" s="130"/>
      <c r="AL190" s="130"/>
      <c r="AM190" s="130"/>
      <c r="AN190" s="130"/>
      <c r="AO190" s="130"/>
      <c r="AP190" s="130"/>
      <c r="AQ190" s="130"/>
      <c r="AR190" s="130"/>
      <c r="AS190" s="130"/>
      <c r="AT190" s="138">
        <v>80000000</v>
      </c>
      <c r="AU190" s="138"/>
      <c r="AV190" s="138"/>
      <c r="AW190" s="130"/>
      <c r="AX190" s="130"/>
      <c r="AY190" s="130"/>
      <c r="AZ190" s="130"/>
      <c r="BA190" s="130"/>
      <c r="BB190" s="130"/>
      <c r="BC190" s="130"/>
      <c r="BD190" s="130"/>
      <c r="BE190" s="130"/>
      <c r="BF190" s="138">
        <f t="shared" si="16"/>
        <v>80000000</v>
      </c>
      <c r="BG190" s="138">
        <f t="shared" si="17"/>
        <v>0</v>
      </c>
      <c r="BH190" s="138">
        <f t="shared" si="18"/>
        <v>0</v>
      </c>
      <c r="BI190" s="149" t="s">
        <v>6</v>
      </c>
    </row>
    <row r="191" spans="1:61" s="151" customFormat="1" ht="87" customHeight="1">
      <c r="A191" s="139">
        <v>316</v>
      </c>
      <c r="B191" s="140" t="s">
        <v>754</v>
      </c>
      <c r="C191" s="139">
        <v>1</v>
      </c>
      <c r="D191" s="140" t="s">
        <v>148</v>
      </c>
      <c r="E191" s="139">
        <v>41</v>
      </c>
      <c r="F191" s="140" t="s">
        <v>771</v>
      </c>
      <c r="G191" s="139">
        <v>4104</v>
      </c>
      <c r="H191" s="140" t="s">
        <v>865</v>
      </c>
      <c r="I191" s="139">
        <v>4104</v>
      </c>
      <c r="J191" s="140" t="s">
        <v>182</v>
      </c>
      <c r="K191" s="142" t="s">
        <v>873</v>
      </c>
      <c r="L191" s="139">
        <v>4104035</v>
      </c>
      <c r="M191" s="140" t="s">
        <v>867</v>
      </c>
      <c r="N191" s="137">
        <v>4104020</v>
      </c>
      <c r="O191" s="140" t="s">
        <v>868</v>
      </c>
      <c r="P191" s="139" t="s">
        <v>61</v>
      </c>
      <c r="Q191" s="318" t="s">
        <v>874</v>
      </c>
      <c r="R191" s="137">
        <v>410402000</v>
      </c>
      <c r="S191" s="142" t="s">
        <v>870</v>
      </c>
      <c r="T191" s="289" t="s">
        <v>69</v>
      </c>
      <c r="U191" s="145">
        <v>12</v>
      </c>
      <c r="V191" s="145"/>
      <c r="W191" s="145">
        <f t="shared" si="19"/>
        <v>12</v>
      </c>
      <c r="X191" s="145">
        <v>3</v>
      </c>
      <c r="Y191" s="146">
        <v>2020003630035</v>
      </c>
      <c r="Z191" s="140" t="s">
        <v>871</v>
      </c>
      <c r="AA191" s="140" t="s">
        <v>872</v>
      </c>
      <c r="AB191" s="130"/>
      <c r="AC191" s="130"/>
      <c r="AD191" s="130"/>
      <c r="AE191" s="130"/>
      <c r="AF191" s="130"/>
      <c r="AG191" s="130"/>
      <c r="AH191" s="130"/>
      <c r="AI191" s="130"/>
      <c r="AJ191" s="130"/>
      <c r="AK191" s="130"/>
      <c r="AL191" s="130"/>
      <c r="AM191" s="130"/>
      <c r="AN191" s="130"/>
      <c r="AO191" s="130"/>
      <c r="AP191" s="130"/>
      <c r="AQ191" s="130"/>
      <c r="AR191" s="130"/>
      <c r="AS191" s="130"/>
      <c r="AT191" s="138">
        <f>81000000+48300000</f>
        <v>129300000</v>
      </c>
      <c r="AU191" s="138">
        <v>63000000</v>
      </c>
      <c r="AV191" s="138">
        <v>25600000</v>
      </c>
      <c r="AW191" s="130"/>
      <c r="AX191" s="130"/>
      <c r="AY191" s="130"/>
      <c r="AZ191" s="130"/>
      <c r="BA191" s="130"/>
      <c r="BB191" s="130"/>
      <c r="BC191" s="130"/>
      <c r="BD191" s="130"/>
      <c r="BE191" s="130"/>
      <c r="BF191" s="138">
        <f t="shared" si="16"/>
        <v>129300000</v>
      </c>
      <c r="BG191" s="138">
        <f t="shared" si="17"/>
        <v>63000000</v>
      </c>
      <c r="BH191" s="138">
        <f t="shared" si="18"/>
        <v>25600000</v>
      </c>
      <c r="BI191" s="149" t="s">
        <v>6</v>
      </c>
    </row>
    <row r="192" spans="1:61" s="151" customFormat="1" ht="87" customHeight="1">
      <c r="A192" s="139">
        <v>316</v>
      </c>
      <c r="B192" s="140" t="s">
        <v>754</v>
      </c>
      <c r="C192" s="139">
        <v>1</v>
      </c>
      <c r="D192" s="140" t="s">
        <v>148</v>
      </c>
      <c r="E192" s="139">
        <v>41</v>
      </c>
      <c r="F192" s="140" t="s">
        <v>771</v>
      </c>
      <c r="G192" s="139">
        <v>4104</v>
      </c>
      <c r="H192" s="140" t="s">
        <v>865</v>
      </c>
      <c r="I192" s="139">
        <v>4104</v>
      </c>
      <c r="J192" s="140" t="s">
        <v>182</v>
      </c>
      <c r="K192" s="140" t="s">
        <v>875</v>
      </c>
      <c r="L192" s="132">
        <v>4104026</v>
      </c>
      <c r="M192" s="140" t="s">
        <v>876</v>
      </c>
      <c r="N192" s="137">
        <v>4104027</v>
      </c>
      <c r="O192" s="140" t="s">
        <v>877</v>
      </c>
      <c r="P192" s="139" t="s">
        <v>61</v>
      </c>
      <c r="Q192" s="142" t="s">
        <v>878</v>
      </c>
      <c r="R192" s="137">
        <v>410402700</v>
      </c>
      <c r="S192" s="142" t="s">
        <v>879</v>
      </c>
      <c r="T192" s="145" t="s">
        <v>69</v>
      </c>
      <c r="U192" s="145">
        <v>12</v>
      </c>
      <c r="V192" s="145"/>
      <c r="W192" s="145">
        <f t="shared" si="19"/>
        <v>12</v>
      </c>
      <c r="X192" s="145">
        <v>4</v>
      </c>
      <c r="Y192" s="146">
        <v>2020003630012</v>
      </c>
      <c r="Z192" s="140" t="s">
        <v>880</v>
      </c>
      <c r="AA192" s="140" t="s">
        <v>881</v>
      </c>
      <c r="AB192" s="130"/>
      <c r="AC192" s="130"/>
      <c r="AD192" s="130"/>
      <c r="AE192" s="130"/>
      <c r="AF192" s="130"/>
      <c r="AG192" s="130"/>
      <c r="AH192" s="130"/>
      <c r="AI192" s="130"/>
      <c r="AJ192" s="130"/>
      <c r="AK192" s="130"/>
      <c r="AL192" s="130"/>
      <c r="AM192" s="130"/>
      <c r="AN192" s="130"/>
      <c r="AO192" s="130"/>
      <c r="AP192" s="130"/>
      <c r="AQ192" s="130"/>
      <c r="AR192" s="130"/>
      <c r="AS192" s="130"/>
      <c r="AT192" s="138">
        <f>40000000+12000000+70000000</f>
        <v>122000000</v>
      </c>
      <c r="AU192" s="138">
        <v>18600000</v>
      </c>
      <c r="AV192" s="138">
        <v>7400000</v>
      </c>
      <c r="AW192" s="130"/>
      <c r="AX192" s="130"/>
      <c r="AY192" s="130"/>
      <c r="AZ192" s="130"/>
      <c r="BA192" s="130"/>
      <c r="BB192" s="130"/>
      <c r="BC192" s="130"/>
      <c r="BD192" s="130"/>
      <c r="BE192" s="130"/>
      <c r="BF192" s="138">
        <f t="shared" si="16"/>
        <v>122000000</v>
      </c>
      <c r="BG192" s="138">
        <f t="shared" si="17"/>
        <v>18600000</v>
      </c>
      <c r="BH192" s="138">
        <f t="shared" si="18"/>
        <v>7400000</v>
      </c>
      <c r="BI192" s="149" t="s">
        <v>6</v>
      </c>
    </row>
    <row r="193" spans="1:61" s="151" customFormat="1" ht="87" customHeight="1">
      <c r="A193" s="139">
        <v>316</v>
      </c>
      <c r="B193" s="140" t="s">
        <v>754</v>
      </c>
      <c r="C193" s="139">
        <v>1</v>
      </c>
      <c r="D193" s="140" t="s">
        <v>148</v>
      </c>
      <c r="E193" s="139">
        <v>41</v>
      </c>
      <c r="F193" s="140" t="s">
        <v>771</v>
      </c>
      <c r="G193" s="139">
        <v>4104</v>
      </c>
      <c r="H193" s="140" t="s">
        <v>865</v>
      </c>
      <c r="I193" s="139">
        <v>4104</v>
      </c>
      <c r="J193" s="140" t="s">
        <v>182</v>
      </c>
      <c r="K193" s="140" t="s">
        <v>882</v>
      </c>
      <c r="L193" s="137">
        <v>4104015</v>
      </c>
      <c r="M193" s="274" t="s">
        <v>883</v>
      </c>
      <c r="N193" s="137">
        <v>4104015</v>
      </c>
      <c r="O193" s="274" t="s">
        <v>884</v>
      </c>
      <c r="P193" s="132">
        <v>410401500</v>
      </c>
      <c r="Q193" s="142" t="s">
        <v>885</v>
      </c>
      <c r="R193" s="132">
        <v>410401500</v>
      </c>
      <c r="S193" s="142" t="s">
        <v>886</v>
      </c>
      <c r="T193" s="145" t="s">
        <v>69</v>
      </c>
      <c r="U193" s="145">
        <v>7500</v>
      </c>
      <c r="V193" s="145"/>
      <c r="W193" s="145">
        <f t="shared" si="19"/>
        <v>7500</v>
      </c>
      <c r="X193" s="145">
        <v>8087</v>
      </c>
      <c r="Y193" s="146">
        <v>2020003630109</v>
      </c>
      <c r="Z193" s="140" t="s">
        <v>887</v>
      </c>
      <c r="AA193" s="260" t="s">
        <v>888</v>
      </c>
      <c r="AB193" s="130"/>
      <c r="AC193" s="130"/>
      <c r="AD193" s="130"/>
      <c r="AE193" s="130"/>
      <c r="AF193" s="130"/>
      <c r="AG193" s="130"/>
      <c r="AH193" s="130"/>
      <c r="AI193" s="130"/>
      <c r="AJ193" s="130"/>
      <c r="AK193" s="130"/>
      <c r="AL193" s="130"/>
      <c r="AM193" s="130"/>
      <c r="AN193" s="130"/>
      <c r="AO193" s="130"/>
      <c r="AP193" s="130"/>
      <c r="AQ193" s="130"/>
      <c r="AR193" s="130"/>
      <c r="AS193" s="130"/>
      <c r="AT193" s="138">
        <f>108700000+32400000</f>
        <v>141100000</v>
      </c>
      <c r="AU193" s="138">
        <v>73800000</v>
      </c>
      <c r="AV193" s="138">
        <v>29600000</v>
      </c>
      <c r="AW193" s="130"/>
      <c r="AX193" s="130"/>
      <c r="AY193" s="130"/>
      <c r="AZ193" s="130"/>
      <c r="BA193" s="130"/>
      <c r="BB193" s="130"/>
      <c r="BC193" s="130"/>
      <c r="BD193" s="130"/>
      <c r="BE193" s="130"/>
      <c r="BF193" s="138">
        <f t="shared" si="16"/>
        <v>141100000</v>
      </c>
      <c r="BG193" s="138">
        <f t="shared" si="17"/>
        <v>73800000</v>
      </c>
      <c r="BH193" s="138">
        <f t="shared" si="18"/>
        <v>29600000</v>
      </c>
      <c r="BI193" s="149" t="s">
        <v>6</v>
      </c>
    </row>
    <row r="194" spans="1:61" s="151" customFormat="1" ht="87" customHeight="1">
      <c r="A194" s="139">
        <v>316</v>
      </c>
      <c r="B194" s="140" t="s">
        <v>754</v>
      </c>
      <c r="C194" s="139">
        <v>1</v>
      </c>
      <c r="D194" s="140" t="s">
        <v>148</v>
      </c>
      <c r="E194" s="139">
        <v>41</v>
      </c>
      <c r="F194" s="140" t="s">
        <v>771</v>
      </c>
      <c r="G194" s="139">
        <v>4104</v>
      </c>
      <c r="H194" s="140" t="s">
        <v>865</v>
      </c>
      <c r="I194" s="139">
        <v>4104</v>
      </c>
      <c r="J194" s="140" t="s">
        <v>182</v>
      </c>
      <c r="K194" s="140" t="s">
        <v>889</v>
      </c>
      <c r="L194" s="139" t="s">
        <v>61</v>
      </c>
      <c r="M194" s="274" t="s">
        <v>890</v>
      </c>
      <c r="N194" s="139">
        <v>4104008</v>
      </c>
      <c r="O194" s="274" t="s">
        <v>891</v>
      </c>
      <c r="P194" s="139" t="s">
        <v>61</v>
      </c>
      <c r="Q194" s="318" t="s">
        <v>892</v>
      </c>
      <c r="R194" s="139">
        <v>410400800</v>
      </c>
      <c r="S194" s="318" t="s">
        <v>893</v>
      </c>
      <c r="T194" s="143" t="s">
        <v>69</v>
      </c>
      <c r="U194" s="145">
        <v>12</v>
      </c>
      <c r="V194" s="145"/>
      <c r="W194" s="145">
        <f t="shared" si="19"/>
        <v>12</v>
      </c>
      <c r="X194" s="145">
        <v>12</v>
      </c>
      <c r="Y194" s="146">
        <v>2020003630109</v>
      </c>
      <c r="Z194" s="140" t="s">
        <v>887</v>
      </c>
      <c r="AA194" s="260" t="s">
        <v>888</v>
      </c>
      <c r="AB194" s="130">
        <f>4406063424+1400016+934325106.43</f>
        <v>5341788546.4300003</v>
      </c>
      <c r="AC194" s="130">
        <v>934325106.43000007</v>
      </c>
      <c r="AD194" s="130">
        <v>934325106.43000007</v>
      </c>
      <c r="AE194" s="130"/>
      <c r="AF194" s="130"/>
      <c r="AG194" s="130"/>
      <c r="AH194" s="130"/>
      <c r="AI194" s="130"/>
      <c r="AJ194" s="130"/>
      <c r="AK194" s="130"/>
      <c r="AL194" s="130"/>
      <c r="AM194" s="130"/>
      <c r="AN194" s="130"/>
      <c r="AO194" s="130"/>
      <c r="AP194" s="130"/>
      <c r="AQ194" s="130"/>
      <c r="AR194" s="130"/>
      <c r="AS194" s="130"/>
      <c r="AT194" s="138"/>
      <c r="AU194" s="138"/>
      <c r="AV194" s="138"/>
      <c r="AW194" s="130"/>
      <c r="AX194" s="130"/>
      <c r="AY194" s="130"/>
      <c r="AZ194" s="130"/>
      <c r="BA194" s="130"/>
      <c r="BB194" s="130"/>
      <c r="BC194" s="130"/>
      <c r="BD194" s="130"/>
      <c r="BE194" s="130"/>
      <c r="BF194" s="138">
        <f t="shared" si="16"/>
        <v>5341788546.4300003</v>
      </c>
      <c r="BG194" s="138">
        <f t="shared" si="17"/>
        <v>934325106.43000007</v>
      </c>
      <c r="BH194" s="138">
        <f t="shared" si="18"/>
        <v>934325106.43000007</v>
      </c>
      <c r="BI194" s="149" t="s">
        <v>6</v>
      </c>
    </row>
    <row r="195" spans="1:61" s="151" customFormat="1" ht="87" customHeight="1">
      <c r="A195" s="139">
        <v>316</v>
      </c>
      <c r="B195" s="140" t="s">
        <v>754</v>
      </c>
      <c r="C195" s="139">
        <v>2</v>
      </c>
      <c r="D195" s="140" t="s">
        <v>199</v>
      </c>
      <c r="E195" s="139">
        <v>17</v>
      </c>
      <c r="F195" s="140" t="s">
        <v>200</v>
      </c>
      <c r="G195" s="139">
        <v>1702</v>
      </c>
      <c r="H195" s="140" t="s">
        <v>463</v>
      </c>
      <c r="I195" s="139">
        <v>1702</v>
      </c>
      <c r="J195" s="140" t="s">
        <v>464</v>
      </c>
      <c r="K195" s="140" t="s">
        <v>894</v>
      </c>
      <c r="L195" s="137">
        <v>1702011</v>
      </c>
      <c r="M195" s="140" t="s">
        <v>895</v>
      </c>
      <c r="N195" s="137">
        <v>1702011</v>
      </c>
      <c r="O195" s="140" t="s">
        <v>895</v>
      </c>
      <c r="P195" s="132" t="s">
        <v>896</v>
      </c>
      <c r="Q195" s="142" t="s">
        <v>897</v>
      </c>
      <c r="R195" s="132" t="s">
        <v>896</v>
      </c>
      <c r="S195" s="142" t="s">
        <v>897</v>
      </c>
      <c r="T195" s="289" t="s">
        <v>157</v>
      </c>
      <c r="U195" s="145">
        <v>10</v>
      </c>
      <c r="V195" s="145"/>
      <c r="W195" s="145">
        <f t="shared" si="19"/>
        <v>10</v>
      </c>
      <c r="X195" s="145">
        <v>3</v>
      </c>
      <c r="Y195" s="146">
        <v>2020003630113</v>
      </c>
      <c r="Z195" s="140" t="s">
        <v>898</v>
      </c>
      <c r="AA195" s="140" t="s">
        <v>899</v>
      </c>
      <c r="AB195" s="130"/>
      <c r="AC195" s="130"/>
      <c r="AD195" s="130"/>
      <c r="AE195" s="130"/>
      <c r="AF195" s="130"/>
      <c r="AG195" s="130"/>
      <c r="AH195" s="130"/>
      <c r="AI195" s="130"/>
      <c r="AJ195" s="130"/>
      <c r="AK195" s="130"/>
      <c r="AL195" s="130"/>
      <c r="AM195" s="130"/>
      <c r="AN195" s="130"/>
      <c r="AO195" s="130"/>
      <c r="AP195" s="130"/>
      <c r="AQ195" s="130"/>
      <c r="AR195" s="130"/>
      <c r="AS195" s="130"/>
      <c r="AT195" s="138">
        <f>18000000+5400000</f>
        <v>23400000</v>
      </c>
      <c r="AU195" s="138">
        <v>10400000</v>
      </c>
      <c r="AV195" s="138">
        <v>7200000</v>
      </c>
      <c r="AW195" s="130"/>
      <c r="AX195" s="130"/>
      <c r="AY195" s="130"/>
      <c r="AZ195" s="130"/>
      <c r="BA195" s="130"/>
      <c r="BB195" s="130"/>
      <c r="BC195" s="130"/>
      <c r="BD195" s="130"/>
      <c r="BE195" s="130"/>
      <c r="BF195" s="138">
        <f t="shared" si="16"/>
        <v>23400000</v>
      </c>
      <c r="BG195" s="138">
        <f t="shared" si="17"/>
        <v>10400000</v>
      </c>
      <c r="BH195" s="138">
        <f t="shared" si="18"/>
        <v>7200000</v>
      </c>
      <c r="BI195" s="149" t="s">
        <v>6</v>
      </c>
    </row>
    <row r="196" spans="1:61" s="151" customFormat="1" ht="87" customHeight="1">
      <c r="A196" s="139">
        <v>316</v>
      </c>
      <c r="B196" s="140" t="s">
        <v>754</v>
      </c>
      <c r="C196" s="139">
        <v>2</v>
      </c>
      <c r="D196" s="140" t="s">
        <v>199</v>
      </c>
      <c r="E196" s="139">
        <v>36</v>
      </c>
      <c r="F196" s="140" t="s">
        <v>445</v>
      </c>
      <c r="G196" s="139">
        <v>3604</v>
      </c>
      <c r="H196" s="140" t="s">
        <v>900</v>
      </c>
      <c r="I196" s="139">
        <v>3604</v>
      </c>
      <c r="J196" s="140" t="s">
        <v>901</v>
      </c>
      <c r="K196" s="140" t="s">
        <v>902</v>
      </c>
      <c r="L196" s="139">
        <v>3604006</v>
      </c>
      <c r="M196" s="140" t="s">
        <v>903</v>
      </c>
      <c r="N196" s="139">
        <v>3604006</v>
      </c>
      <c r="O196" s="140" t="s">
        <v>903</v>
      </c>
      <c r="P196" s="132">
        <v>360400600</v>
      </c>
      <c r="Q196" s="142" t="s">
        <v>350</v>
      </c>
      <c r="R196" s="132">
        <v>360400600</v>
      </c>
      <c r="S196" s="142" t="s">
        <v>350</v>
      </c>
      <c r="T196" s="309" t="s">
        <v>157</v>
      </c>
      <c r="U196" s="309">
        <v>300</v>
      </c>
      <c r="V196" s="309"/>
      <c r="W196" s="145">
        <f t="shared" si="19"/>
        <v>300</v>
      </c>
      <c r="X196" s="145">
        <v>88</v>
      </c>
      <c r="Y196" s="146">
        <v>2020003630114</v>
      </c>
      <c r="Z196" s="274" t="s">
        <v>904</v>
      </c>
      <c r="AA196" s="274" t="s">
        <v>905</v>
      </c>
      <c r="AB196" s="130"/>
      <c r="AC196" s="130"/>
      <c r="AD196" s="130"/>
      <c r="AE196" s="130"/>
      <c r="AF196" s="130"/>
      <c r="AG196" s="130"/>
      <c r="AH196" s="130"/>
      <c r="AI196" s="130"/>
      <c r="AJ196" s="130"/>
      <c r="AK196" s="130"/>
      <c r="AL196" s="130"/>
      <c r="AM196" s="130"/>
      <c r="AN196" s="130"/>
      <c r="AO196" s="130"/>
      <c r="AP196" s="130"/>
      <c r="AQ196" s="130"/>
      <c r="AR196" s="130"/>
      <c r="AS196" s="130"/>
      <c r="AT196" s="138">
        <v>15000000</v>
      </c>
      <c r="AU196" s="138">
        <v>7800000</v>
      </c>
      <c r="AV196" s="138">
        <v>3200000</v>
      </c>
      <c r="AW196" s="130"/>
      <c r="AX196" s="130"/>
      <c r="AY196" s="130"/>
      <c r="AZ196" s="130"/>
      <c r="BA196" s="130"/>
      <c r="BB196" s="130"/>
      <c r="BC196" s="130"/>
      <c r="BD196" s="130"/>
      <c r="BE196" s="130"/>
      <c r="BF196" s="138">
        <f t="shared" si="16"/>
        <v>15000000</v>
      </c>
      <c r="BG196" s="138">
        <f t="shared" si="17"/>
        <v>7800000</v>
      </c>
      <c r="BH196" s="138">
        <f t="shared" si="18"/>
        <v>3200000</v>
      </c>
      <c r="BI196" s="149" t="s">
        <v>6</v>
      </c>
    </row>
    <row r="197" spans="1:61" s="151" customFormat="1" ht="87" customHeight="1">
      <c r="A197" s="139">
        <v>316</v>
      </c>
      <c r="B197" s="140" t="s">
        <v>754</v>
      </c>
      <c r="C197" s="139">
        <v>4</v>
      </c>
      <c r="D197" s="140" t="s">
        <v>59</v>
      </c>
      <c r="E197" s="139">
        <v>45</v>
      </c>
      <c r="F197" s="140" t="s">
        <v>906</v>
      </c>
      <c r="G197" s="139">
        <v>4502</v>
      </c>
      <c r="H197" s="140" t="s">
        <v>78</v>
      </c>
      <c r="I197" s="139">
        <v>4502</v>
      </c>
      <c r="J197" s="140" t="s">
        <v>79</v>
      </c>
      <c r="K197" s="140" t="s">
        <v>907</v>
      </c>
      <c r="L197" s="137">
        <v>4502001</v>
      </c>
      <c r="M197" s="140" t="s">
        <v>90</v>
      </c>
      <c r="N197" s="137">
        <v>4502001</v>
      </c>
      <c r="O197" s="140" t="s">
        <v>90</v>
      </c>
      <c r="P197" s="139" t="s">
        <v>61</v>
      </c>
      <c r="Q197" s="142" t="s">
        <v>908</v>
      </c>
      <c r="R197" s="137">
        <v>450200108</v>
      </c>
      <c r="S197" s="142" t="s">
        <v>909</v>
      </c>
      <c r="T197" s="145" t="s">
        <v>157</v>
      </c>
      <c r="U197" s="145">
        <v>1</v>
      </c>
      <c r="V197" s="145"/>
      <c r="W197" s="145">
        <f t="shared" si="19"/>
        <v>1</v>
      </c>
      <c r="X197" s="145">
        <v>0</v>
      </c>
      <c r="Y197" s="146">
        <v>2020003630115</v>
      </c>
      <c r="Z197" s="140" t="s">
        <v>910</v>
      </c>
      <c r="AA197" s="140" t="s">
        <v>911</v>
      </c>
      <c r="AB197" s="130"/>
      <c r="AC197" s="130"/>
      <c r="AD197" s="130"/>
      <c r="AE197" s="130"/>
      <c r="AF197" s="130"/>
      <c r="AG197" s="130"/>
      <c r="AH197" s="130"/>
      <c r="AI197" s="130"/>
      <c r="AJ197" s="130"/>
      <c r="AK197" s="130"/>
      <c r="AL197" s="130"/>
      <c r="AM197" s="130"/>
      <c r="AN197" s="130"/>
      <c r="AO197" s="130"/>
      <c r="AP197" s="130"/>
      <c r="AQ197" s="130"/>
      <c r="AR197" s="130"/>
      <c r="AS197" s="130"/>
      <c r="AT197" s="138">
        <v>15000000</v>
      </c>
      <c r="AU197" s="138"/>
      <c r="AV197" s="138"/>
      <c r="AW197" s="130"/>
      <c r="AX197" s="130"/>
      <c r="AY197" s="130"/>
      <c r="AZ197" s="130"/>
      <c r="BA197" s="130"/>
      <c r="BB197" s="130"/>
      <c r="BC197" s="130"/>
      <c r="BD197" s="130"/>
      <c r="BE197" s="130"/>
      <c r="BF197" s="138">
        <f t="shared" si="16"/>
        <v>15000000</v>
      </c>
      <c r="BG197" s="138">
        <f t="shared" si="17"/>
        <v>0</v>
      </c>
      <c r="BH197" s="138">
        <f t="shared" si="18"/>
        <v>0</v>
      </c>
      <c r="BI197" s="149" t="s">
        <v>6</v>
      </c>
    </row>
    <row r="198" spans="1:61" s="151" customFormat="1" ht="129" customHeight="1">
      <c r="A198" s="139">
        <v>316</v>
      </c>
      <c r="B198" s="140" t="s">
        <v>754</v>
      </c>
      <c r="C198" s="139">
        <v>4</v>
      </c>
      <c r="D198" s="140" t="s">
        <v>59</v>
      </c>
      <c r="E198" s="139">
        <v>45</v>
      </c>
      <c r="F198" s="140" t="s">
        <v>906</v>
      </c>
      <c r="G198" s="139">
        <v>4502</v>
      </c>
      <c r="H198" s="140" t="s">
        <v>78</v>
      </c>
      <c r="I198" s="139">
        <v>4502</v>
      </c>
      <c r="J198" s="140" t="s">
        <v>79</v>
      </c>
      <c r="K198" s="142" t="s">
        <v>912</v>
      </c>
      <c r="L198" s="139" t="s">
        <v>61</v>
      </c>
      <c r="M198" s="140" t="s">
        <v>913</v>
      </c>
      <c r="N198" s="275">
        <v>4502038</v>
      </c>
      <c r="O198" s="140" t="s">
        <v>914</v>
      </c>
      <c r="P198" s="139" t="s">
        <v>61</v>
      </c>
      <c r="Q198" s="142" t="s">
        <v>915</v>
      </c>
      <c r="R198" s="145">
        <v>450203800</v>
      </c>
      <c r="S198" s="142" t="s">
        <v>916</v>
      </c>
      <c r="T198" s="145" t="s">
        <v>69</v>
      </c>
      <c r="U198" s="145">
        <v>1</v>
      </c>
      <c r="V198" s="145"/>
      <c r="W198" s="145">
        <f t="shared" si="19"/>
        <v>1</v>
      </c>
      <c r="X198" s="145">
        <v>0.25</v>
      </c>
      <c r="Y198" s="278">
        <v>2021003630008</v>
      </c>
      <c r="Z198" s="140" t="s">
        <v>917</v>
      </c>
      <c r="AA198" s="140" t="s">
        <v>918</v>
      </c>
      <c r="AB198" s="130"/>
      <c r="AC198" s="130"/>
      <c r="AD198" s="130"/>
      <c r="AE198" s="130"/>
      <c r="AF198" s="130"/>
      <c r="AG198" s="130"/>
      <c r="AH198" s="130"/>
      <c r="AI198" s="130"/>
      <c r="AJ198" s="130"/>
      <c r="AK198" s="130"/>
      <c r="AL198" s="130"/>
      <c r="AM198" s="130"/>
      <c r="AN198" s="130"/>
      <c r="AO198" s="130"/>
      <c r="AP198" s="130"/>
      <c r="AQ198" s="130"/>
      <c r="AR198" s="130"/>
      <c r="AS198" s="130"/>
      <c r="AT198" s="138">
        <f>80000000+24000000</f>
        <v>104000000</v>
      </c>
      <c r="AU198" s="138">
        <v>53106757</v>
      </c>
      <c r="AV198" s="138">
        <v>5656757</v>
      </c>
      <c r="AW198" s="130"/>
      <c r="AX198" s="130"/>
      <c r="AY198" s="130"/>
      <c r="AZ198" s="130"/>
      <c r="BA198" s="130"/>
      <c r="BB198" s="130"/>
      <c r="BC198" s="130"/>
      <c r="BD198" s="130"/>
      <c r="BE198" s="130"/>
      <c r="BF198" s="138">
        <f t="shared" si="16"/>
        <v>104000000</v>
      </c>
      <c r="BG198" s="138">
        <f t="shared" si="17"/>
        <v>53106757</v>
      </c>
      <c r="BH198" s="138">
        <f t="shared" si="18"/>
        <v>5656757</v>
      </c>
      <c r="BI198" s="149" t="s">
        <v>6</v>
      </c>
    </row>
    <row r="199" spans="1:61" s="151" customFormat="1" ht="123.75" customHeight="1">
      <c r="A199" s="139">
        <v>316</v>
      </c>
      <c r="B199" s="140" t="s">
        <v>754</v>
      </c>
      <c r="C199" s="139">
        <v>4</v>
      </c>
      <c r="D199" s="140" t="s">
        <v>59</v>
      </c>
      <c r="E199" s="139">
        <v>45</v>
      </c>
      <c r="F199" s="140" t="s">
        <v>906</v>
      </c>
      <c r="G199" s="139">
        <v>4502</v>
      </c>
      <c r="H199" s="140" t="s">
        <v>78</v>
      </c>
      <c r="I199" s="139">
        <v>4502</v>
      </c>
      <c r="J199" s="140" t="s">
        <v>79</v>
      </c>
      <c r="K199" s="140" t="s">
        <v>912</v>
      </c>
      <c r="L199" s="139" t="s">
        <v>61</v>
      </c>
      <c r="M199" s="140" t="s">
        <v>919</v>
      </c>
      <c r="N199" s="275">
        <v>4502038</v>
      </c>
      <c r="O199" s="140" t="s">
        <v>914</v>
      </c>
      <c r="P199" s="139" t="s">
        <v>61</v>
      </c>
      <c r="Q199" s="142" t="s">
        <v>920</v>
      </c>
      <c r="R199" s="145">
        <v>450203800</v>
      </c>
      <c r="S199" s="142" t="s">
        <v>916</v>
      </c>
      <c r="T199" s="145" t="s">
        <v>69</v>
      </c>
      <c r="U199" s="145">
        <v>1</v>
      </c>
      <c r="V199" s="145"/>
      <c r="W199" s="145">
        <f t="shared" si="19"/>
        <v>1</v>
      </c>
      <c r="X199" s="145">
        <v>0.25</v>
      </c>
      <c r="Y199" s="278">
        <v>2021003630007</v>
      </c>
      <c r="Z199" s="140" t="s">
        <v>921</v>
      </c>
      <c r="AA199" s="140" t="s">
        <v>922</v>
      </c>
      <c r="AB199" s="130"/>
      <c r="AC199" s="130"/>
      <c r="AD199" s="130"/>
      <c r="AE199" s="130"/>
      <c r="AF199" s="130"/>
      <c r="AG199" s="130"/>
      <c r="AH199" s="130"/>
      <c r="AI199" s="130"/>
      <c r="AJ199" s="130"/>
      <c r="AK199" s="130"/>
      <c r="AL199" s="130"/>
      <c r="AM199" s="130"/>
      <c r="AN199" s="130"/>
      <c r="AO199" s="130"/>
      <c r="AP199" s="130"/>
      <c r="AQ199" s="130"/>
      <c r="AR199" s="130"/>
      <c r="AS199" s="130"/>
      <c r="AT199" s="138">
        <f>78000000+23400000</f>
        <v>101400000</v>
      </c>
      <c r="AU199" s="138">
        <v>39500000</v>
      </c>
      <c r="AV199" s="138">
        <v>16100000</v>
      </c>
      <c r="AW199" s="130"/>
      <c r="AX199" s="130"/>
      <c r="AY199" s="130"/>
      <c r="AZ199" s="130"/>
      <c r="BA199" s="130"/>
      <c r="BB199" s="130"/>
      <c r="BC199" s="130"/>
      <c r="BD199" s="130"/>
      <c r="BE199" s="130"/>
      <c r="BF199" s="138">
        <f t="shared" si="16"/>
        <v>101400000</v>
      </c>
      <c r="BG199" s="138">
        <f t="shared" si="17"/>
        <v>39500000</v>
      </c>
      <c r="BH199" s="138">
        <f t="shared" si="18"/>
        <v>16100000</v>
      </c>
      <c r="BI199" s="149" t="s">
        <v>6</v>
      </c>
    </row>
    <row r="200" spans="1:61" s="151" customFormat="1" ht="93.75" customHeight="1">
      <c r="A200" s="139">
        <v>316</v>
      </c>
      <c r="B200" s="140" t="s">
        <v>754</v>
      </c>
      <c r="C200" s="139">
        <v>4</v>
      </c>
      <c r="D200" s="140" t="s">
        <v>59</v>
      </c>
      <c r="E200" s="139">
        <v>45</v>
      </c>
      <c r="F200" s="140" t="s">
        <v>906</v>
      </c>
      <c r="G200" s="139">
        <v>4502</v>
      </c>
      <c r="H200" s="140" t="s">
        <v>78</v>
      </c>
      <c r="I200" s="139">
        <v>4502</v>
      </c>
      <c r="J200" s="140" t="s">
        <v>79</v>
      </c>
      <c r="K200" s="142" t="s">
        <v>923</v>
      </c>
      <c r="L200" s="137">
        <v>4502024</v>
      </c>
      <c r="M200" s="140" t="s">
        <v>360</v>
      </c>
      <c r="N200" s="137">
        <v>4502024</v>
      </c>
      <c r="O200" s="140" t="s">
        <v>360</v>
      </c>
      <c r="P200" s="139" t="s">
        <v>61</v>
      </c>
      <c r="Q200" s="142" t="s">
        <v>924</v>
      </c>
      <c r="R200" s="137">
        <v>450202401</v>
      </c>
      <c r="S200" s="141" t="s">
        <v>925</v>
      </c>
      <c r="T200" s="145" t="s">
        <v>69</v>
      </c>
      <c r="U200" s="145">
        <v>1</v>
      </c>
      <c r="V200" s="145"/>
      <c r="W200" s="145">
        <f t="shared" si="19"/>
        <v>1</v>
      </c>
      <c r="X200" s="145">
        <v>0.25</v>
      </c>
      <c r="Y200" s="278">
        <v>2020003630111</v>
      </c>
      <c r="Z200" s="140" t="s">
        <v>926</v>
      </c>
      <c r="AA200" s="140" t="s">
        <v>927</v>
      </c>
      <c r="AB200" s="130"/>
      <c r="AC200" s="130"/>
      <c r="AD200" s="130"/>
      <c r="AE200" s="130"/>
      <c r="AF200" s="130"/>
      <c r="AG200" s="130"/>
      <c r="AH200" s="130"/>
      <c r="AI200" s="130"/>
      <c r="AJ200" s="130"/>
      <c r="AK200" s="130"/>
      <c r="AL200" s="130"/>
      <c r="AM200" s="130"/>
      <c r="AN200" s="130"/>
      <c r="AO200" s="130"/>
      <c r="AP200" s="130"/>
      <c r="AQ200" s="130"/>
      <c r="AR200" s="130"/>
      <c r="AS200" s="130"/>
      <c r="AT200" s="138">
        <f>30172972+9000000</f>
        <v>39172972</v>
      </c>
      <c r="AU200" s="138">
        <v>23766215</v>
      </c>
      <c r="AV200" s="138">
        <v>15693243</v>
      </c>
      <c r="AW200" s="130"/>
      <c r="AX200" s="130"/>
      <c r="AY200" s="130"/>
      <c r="AZ200" s="130"/>
      <c r="BA200" s="130"/>
      <c r="BB200" s="130"/>
      <c r="BC200" s="130"/>
      <c r="BD200" s="130"/>
      <c r="BE200" s="130"/>
      <c r="BF200" s="138">
        <f t="shared" ref="BF200:BF263" si="20">AB200+AE200+AH200+AK200+AN200+AQ200+AT200+AW200+BC200+AZ200</f>
        <v>39172972</v>
      </c>
      <c r="BG200" s="138">
        <f t="shared" ref="BG200:BG263" si="21">AC200+AF200+AI200+AL200+AO200+AR200+AU200+AX200+BD200+BA200</f>
        <v>23766215</v>
      </c>
      <c r="BH200" s="138">
        <f t="shared" ref="BH200:BH263" si="22">AD200+AG200+AJ200+AM200+AP200+AS200+AV200+AY200+BE200+BB200</f>
        <v>15693243</v>
      </c>
      <c r="BI200" s="149" t="s">
        <v>6</v>
      </c>
    </row>
    <row r="201" spans="1:61" s="151" customFormat="1" ht="51">
      <c r="A201" s="139">
        <v>316</v>
      </c>
      <c r="B201" s="140" t="s">
        <v>754</v>
      </c>
      <c r="C201" s="139">
        <v>4</v>
      </c>
      <c r="D201" s="140" t="s">
        <v>59</v>
      </c>
      <c r="E201" s="139">
        <v>45</v>
      </c>
      <c r="F201" s="140" t="s">
        <v>906</v>
      </c>
      <c r="G201" s="139">
        <v>4502</v>
      </c>
      <c r="H201" s="140" t="s">
        <v>78</v>
      </c>
      <c r="I201" s="139">
        <v>4502</v>
      </c>
      <c r="J201" s="140" t="s">
        <v>79</v>
      </c>
      <c r="K201" s="319" t="s">
        <v>928</v>
      </c>
      <c r="L201" s="137">
        <v>4502024</v>
      </c>
      <c r="M201" s="140" t="s">
        <v>360</v>
      </c>
      <c r="N201" s="137">
        <v>4502024</v>
      </c>
      <c r="O201" s="140" t="s">
        <v>360</v>
      </c>
      <c r="P201" s="139" t="s">
        <v>61</v>
      </c>
      <c r="Q201" s="142" t="s">
        <v>929</v>
      </c>
      <c r="R201" s="137">
        <v>450202401</v>
      </c>
      <c r="S201" s="142" t="s">
        <v>925</v>
      </c>
      <c r="T201" s="145" t="s">
        <v>69</v>
      </c>
      <c r="U201" s="145">
        <v>1</v>
      </c>
      <c r="V201" s="145"/>
      <c r="W201" s="145">
        <f t="shared" si="19"/>
        <v>1</v>
      </c>
      <c r="X201" s="145">
        <v>0.25</v>
      </c>
      <c r="Y201" s="146">
        <v>2020003630112</v>
      </c>
      <c r="Z201" s="140" t="s">
        <v>930</v>
      </c>
      <c r="AA201" s="140" t="s">
        <v>931</v>
      </c>
      <c r="AB201" s="130"/>
      <c r="AC201" s="130"/>
      <c r="AD201" s="130"/>
      <c r="AE201" s="130"/>
      <c r="AF201" s="130"/>
      <c r="AG201" s="130"/>
      <c r="AH201" s="130"/>
      <c r="AI201" s="130"/>
      <c r="AJ201" s="130"/>
      <c r="AK201" s="130"/>
      <c r="AL201" s="130"/>
      <c r="AM201" s="130"/>
      <c r="AN201" s="130"/>
      <c r="AO201" s="130"/>
      <c r="AP201" s="130"/>
      <c r="AQ201" s="130"/>
      <c r="AR201" s="130"/>
      <c r="AS201" s="130"/>
      <c r="AT201" s="138">
        <f>50000000+15000000+50000000</f>
        <v>115000000</v>
      </c>
      <c r="AU201" s="138">
        <v>16760000</v>
      </c>
      <c r="AV201" s="138">
        <v>16760000</v>
      </c>
      <c r="AW201" s="130"/>
      <c r="AX201" s="130"/>
      <c r="AY201" s="130"/>
      <c r="AZ201" s="130"/>
      <c r="BA201" s="130"/>
      <c r="BB201" s="130"/>
      <c r="BC201" s="130"/>
      <c r="BD201" s="130"/>
      <c r="BE201" s="130"/>
      <c r="BF201" s="138">
        <f t="shared" si="20"/>
        <v>115000000</v>
      </c>
      <c r="BG201" s="138">
        <f t="shared" si="21"/>
        <v>16760000</v>
      </c>
      <c r="BH201" s="138">
        <f t="shared" si="22"/>
        <v>16760000</v>
      </c>
      <c r="BI201" s="149" t="s">
        <v>6</v>
      </c>
    </row>
    <row r="202" spans="1:61" s="151" customFormat="1" ht="57.75" customHeight="1">
      <c r="A202" s="139">
        <v>318</v>
      </c>
      <c r="B202" s="140" t="s">
        <v>932</v>
      </c>
      <c r="C202" s="139">
        <v>1</v>
      </c>
      <c r="D202" s="140" t="s">
        <v>148</v>
      </c>
      <c r="E202" s="139">
        <v>19</v>
      </c>
      <c r="F202" s="140" t="s">
        <v>755</v>
      </c>
      <c r="G202" s="139">
        <v>1903</v>
      </c>
      <c r="H202" s="141" t="s">
        <v>933</v>
      </c>
      <c r="I202" s="139">
        <v>1903</v>
      </c>
      <c r="J202" s="140" t="s">
        <v>934</v>
      </c>
      <c r="K202" s="140" t="s">
        <v>977</v>
      </c>
      <c r="L202" s="139">
        <v>1903011</v>
      </c>
      <c r="M202" s="140" t="s">
        <v>962</v>
      </c>
      <c r="N202" s="139">
        <v>1903011</v>
      </c>
      <c r="O202" s="140" t="s">
        <v>962</v>
      </c>
      <c r="P202" s="145">
        <v>190301101</v>
      </c>
      <c r="Q202" s="140" t="s">
        <v>978</v>
      </c>
      <c r="R202" s="145">
        <v>190301101</v>
      </c>
      <c r="S202" s="142" t="s">
        <v>978</v>
      </c>
      <c r="T202" s="145" t="s">
        <v>69</v>
      </c>
      <c r="U202" s="145">
        <v>12</v>
      </c>
      <c r="V202" s="145"/>
      <c r="W202" s="145">
        <v>12</v>
      </c>
      <c r="X202" s="145">
        <v>12</v>
      </c>
      <c r="Y202" s="146">
        <v>2020003630118</v>
      </c>
      <c r="Z202" s="140" t="s">
        <v>972</v>
      </c>
      <c r="AA202" s="140" t="s">
        <v>973</v>
      </c>
      <c r="AB202" s="130"/>
      <c r="AC202" s="130"/>
      <c r="AD202" s="130"/>
      <c r="AE202" s="130"/>
      <c r="AF202" s="130"/>
      <c r="AG202" s="130"/>
      <c r="AH202" s="148">
        <v>157350078</v>
      </c>
      <c r="AI202" s="148"/>
      <c r="AJ202" s="148"/>
      <c r="AK202" s="130"/>
      <c r="AL202" s="130"/>
      <c r="AM202" s="130"/>
      <c r="AN202" s="130"/>
      <c r="AO202" s="130"/>
      <c r="AP202" s="130"/>
      <c r="AQ202" s="130"/>
      <c r="AR202" s="130"/>
      <c r="AS202" s="130"/>
      <c r="AT202" s="135"/>
      <c r="AU202" s="135"/>
      <c r="AV202" s="135"/>
      <c r="AW202" s="130"/>
      <c r="AX202" s="130"/>
      <c r="AY202" s="130"/>
      <c r="AZ202" s="130"/>
      <c r="BA202" s="130"/>
      <c r="BB202" s="130"/>
      <c r="BC202" s="130"/>
      <c r="BD202" s="130"/>
      <c r="BE202" s="130"/>
      <c r="BF202" s="138">
        <f t="shared" ref="BF202:BF233" si="23">AB202+AE202+AH202+AK202+AN202+AQ202+AT202+AW202+BC202+AZ202</f>
        <v>157350078</v>
      </c>
      <c r="BG202" s="138">
        <f t="shared" si="21"/>
        <v>0</v>
      </c>
      <c r="BH202" s="138">
        <f t="shared" si="22"/>
        <v>0</v>
      </c>
      <c r="BI202" s="149" t="s">
        <v>14</v>
      </c>
    </row>
    <row r="203" spans="1:61" s="151" customFormat="1" ht="54" customHeight="1">
      <c r="A203" s="139">
        <v>318</v>
      </c>
      <c r="B203" s="140" t="s">
        <v>932</v>
      </c>
      <c r="C203" s="139">
        <v>1</v>
      </c>
      <c r="D203" s="140" t="s">
        <v>148</v>
      </c>
      <c r="E203" s="139">
        <v>19</v>
      </c>
      <c r="F203" s="140" t="s">
        <v>755</v>
      </c>
      <c r="G203" s="139">
        <v>1903</v>
      </c>
      <c r="H203" s="140" t="s">
        <v>933</v>
      </c>
      <c r="I203" s="139">
        <v>1903</v>
      </c>
      <c r="J203" s="140" t="s">
        <v>934</v>
      </c>
      <c r="K203" s="142" t="s">
        <v>977</v>
      </c>
      <c r="L203" s="139">
        <v>1903011</v>
      </c>
      <c r="M203" s="140" t="s">
        <v>962</v>
      </c>
      <c r="N203" s="139">
        <v>1903011</v>
      </c>
      <c r="O203" s="140" t="s">
        <v>962</v>
      </c>
      <c r="P203" s="145">
        <v>190301101</v>
      </c>
      <c r="Q203" s="140" t="s">
        <v>978</v>
      </c>
      <c r="R203" s="145">
        <v>190301101</v>
      </c>
      <c r="S203" s="142" t="s">
        <v>978</v>
      </c>
      <c r="T203" s="145" t="s">
        <v>69</v>
      </c>
      <c r="U203" s="145">
        <v>12</v>
      </c>
      <c r="V203" s="145"/>
      <c r="W203" s="145">
        <v>12</v>
      </c>
      <c r="X203" s="145">
        <v>3</v>
      </c>
      <c r="Y203" s="146">
        <v>2020003630120</v>
      </c>
      <c r="Z203" s="140" t="s">
        <v>985</v>
      </c>
      <c r="AA203" s="140" t="s">
        <v>986</v>
      </c>
      <c r="AB203" s="130"/>
      <c r="AC203" s="130"/>
      <c r="AD203" s="130"/>
      <c r="AE203" s="130"/>
      <c r="AF203" s="130"/>
      <c r="AG203" s="130"/>
      <c r="AH203" s="130"/>
      <c r="AI203" s="130"/>
      <c r="AJ203" s="130"/>
      <c r="AK203" s="148"/>
      <c r="AL203" s="148"/>
      <c r="AM203" s="148"/>
      <c r="AN203" s="130"/>
      <c r="AO203" s="130"/>
      <c r="AP203" s="130"/>
      <c r="AQ203" s="130"/>
      <c r="AR203" s="130"/>
      <c r="AS203" s="130"/>
      <c r="AT203" s="135">
        <v>15000000</v>
      </c>
      <c r="AU203" s="135">
        <v>15000000</v>
      </c>
      <c r="AV203" s="135">
        <v>9100000</v>
      </c>
      <c r="AW203" s="130"/>
      <c r="AX203" s="130"/>
      <c r="AY203" s="130"/>
      <c r="AZ203" s="130"/>
      <c r="BA203" s="130"/>
      <c r="BB203" s="130"/>
      <c r="BC203" s="130"/>
      <c r="BD203" s="130"/>
      <c r="BE203" s="130"/>
      <c r="BF203" s="138">
        <f t="shared" si="23"/>
        <v>15000000</v>
      </c>
      <c r="BG203" s="138">
        <f t="shared" si="21"/>
        <v>15000000</v>
      </c>
      <c r="BH203" s="138">
        <f t="shared" si="22"/>
        <v>9100000</v>
      </c>
      <c r="BI203" s="149" t="s">
        <v>14</v>
      </c>
    </row>
    <row r="204" spans="1:61" s="151" customFormat="1" ht="77.25" customHeight="1">
      <c r="A204" s="139">
        <v>318</v>
      </c>
      <c r="B204" s="140" t="s">
        <v>932</v>
      </c>
      <c r="C204" s="139">
        <v>1</v>
      </c>
      <c r="D204" s="140" t="s">
        <v>148</v>
      </c>
      <c r="E204" s="139">
        <v>19</v>
      </c>
      <c r="F204" s="140" t="s">
        <v>755</v>
      </c>
      <c r="G204" s="139">
        <v>1903</v>
      </c>
      <c r="H204" s="140" t="s">
        <v>933</v>
      </c>
      <c r="I204" s="139">
        <v>1903</v>
      </c>
      <c r="J204" s="140" t="s">
        <v>934</v>
      </c>
      <c r="K204" s="140" t="s">
        <v>935</v>
      </c>
      <c r="L204" s="139">
        <v>1903009</v>
      </c>
      <c r="M204" s="140" t="s">
        <v>936</v>
      </c>
      <c r="N204" s="139">
        <v>1903009</v>
      </c>
      <c r="O204" s="140" t="s">
        <v>937</v>
      </c>
      <c r="P204" s="145">
        <v>190300900</v>
      </c>
      <c r="Q204" s="142" t="s">
        <v>938</v>
      </c>
      <c r="R204" s="145">
        <v>190300900</v>
      </c>
      <c r="S204" s="142" t="s">
        <v>939</v>
      </c>
      <c r="T204" s="145" t="s">
        <v>157</v>
      </c>
      <c r="U204" s="145">
        <v>960</v>
      </c>
      <c r="V204" s="145"/>
      <c r="W204" s="145">
        <v>960</v>
      </c>
      <c r="X204" s="145">
        <v>242</v>
      </c>
      <c r="Y204" s="146">
        <v>2020003630116</v>
      </c>
      <c r="Z204" s="140" t="s">
        <v>940</v>
      </c>
      <c r="AA204" s="140" t="s">
        <v>941</v>
      </c>
      <c r="AB204" s="130"/>
      <c r="AC204" s="130"/>
      <c r="AD204" s="130"/>
      <c r="AE204" s="130"/>
      <c r="AF204" s="130"/>
      <c r="AG204" s="130"/>
      <c r="AH204" s="130">
        <v>35000000</v>
      </c>
      <c r="AI204" s="130">
        <v>18133333</v>
      </c>
      <c r="AJ204" s="130">
        <v>6400000</v>
      </c>
      <c r="AK204" s="130"/>
      <c r="AL204" s="130"/>
      <c r="AM204" s="130"/>
      <c r="AN204" s="130"/>
      <c r="AO204" s="130"/>
      <c r="AP204" s="130"/>
      <c r="AQ204" s="130"/>
      <c r="AR204" s="130"/>
      <c r="AS204" s="130"/>
      <c r="AT204" s="135"/>
      <c r="AU204" s="135"/>
      <c r="AV204" s="135"/>
      <c r="AW204" s="130"/>
      <c r="AX204" s="130"/>
      <c r="AY204" s="130"/>
      <c r="AZ204" s="130"/>
      <c r="BA204" s="130"/>
      <c r="BB204" s="130"/>
      <c r="BC204" s="130"/>
      <c r="BD204" s="130"/>
      <c r="BE204" s="130"/>
      <c r="BF204" s="138">
        <f t="shared" si="23"/>
        <v>35000000</v>
      </c>
      <c r="BG204" s="138">
        <f t="shared" si="21"/>
        <v>18133333</v>
      </c>
      <c r="BH204" s="138">
        <f t="shared" si="22"/>
        <v>6400000</v>
      </c>
      <c r="BI204" s="149" t="s">
        <v>14</v>
      </c>
    </row>
    <row r="205" spans="1:61" s="151" customFormat="1" ht="77.25" customHeight="1">
      <c r="A205" s="139">
        <v>318</v>
      </c>
      <c r="B205" s="140" t="s">
        <v>932</v>
      </c>
      <c r="C205" s="139">
        <v>1</v>
      </c>
      <c r="D205" s="140" t="s">
        <v>148</v>
      </c>
      <c r="E205" s="139">
        <v>19</v>
      </c>
      <c r="F205" s="140" t="s">
        <v>755</v>
      </c>
      <c r="G205" s="139">
        <v>1903</v>
      </c>
      <c r="H205" s="140" t="s">
        <v>933</v>
      </c>
      <c r="I205" s="139">
        <v>1903</v>
      </c>
      <c r="J205" s="140" t="s">
        <v>934</v>
      </c>
      <c r="K205" s="140" t="s">
        <v>942</v>
      </c>
      <c r="L205" s="139">
        <v>1903031</v>
      </c>
      <c r="M205" s="140" t="s">
        <v>943</v>
      </c>
      <c r="N205" s="139">
        <v>1903031</v>
      </c>
      <c r="O205" s="140" t="s">
        <v>943</v>
      </c>
      <c r="P205" s="145">
        <v>190303100</v>
      </c>
      <c r="Q205" s="142" t="s">
        <v>944</v>
      </c>
      <c r="R205" s="145">
        <v>190303100</v>
      </c>
      <c r="S205" s="142" t="s">
        <v>944</v>
      </c>
      <c r="T205" s="145" t="s">
        <v>69</v>
      </c>
      <c r="U205" s="145">
        <v>12</v>
      </c>
      <c r="V205" s="145"/>
      <c r="W205" s="145">
        <v>12</v>
      </c>
      <c r="X205" s="145">
        <v>12</v>
      </c>
      <c r="Y205" s="146">
        <v>2020003630116</v>
      </c>
      <c r="Z205" s="140" t="s">
        <v>940</v>
      </c>
      <c r="AA205" s="140" t="s">
        <v>941</v>
      </c>
      <c r="AB205" s="130"/>
      <c r="AC205" s="130"/>
      <c r="AD205" s="130"/>
      <c r="AE205" s="130"/>
      <c r="AF205" s="130"/>
      <c r="AG205" s="130"/>
      <c r="AH205" s="148">
        <v>37500000</v>
      </c>
      <c r="AI205" s="148">
        <v>16533333</v>
      </c>
      <c r="AJ205" s="148">
        <v>6400000</v>
      </c>
      <c r="AK205" s="130"/>
      <c r="AL205" s="130"/>
      <c r="AM205" s="130"/>
      <c r="AN205" s="130"/>
      <c r="AO205" s="130"/>
      <c r="AP205" s="130"/>
      <c r="AQ205" s="130"/>
      <c r="AR205" s="130"/>
      <c r="AS205" s="130"/>
      <c r="AT205" s="135"/>
      <c r="AU205" s="135"/>
      <c r="AV205" s="135"/>
      <c r="AW205" s="130"/>
      <c r="AX205" s="130"/>
      <c r="AY205" s="130"/>
      <c r="AZ205" s="130"/>
      <c r="BA205" s="130"/>
      <c r="BB205" s="130"/>
      <c r="BC205" s="130"/>
      <c r="BD205" s="130"/>
      <c r="BE205" s="130"/>
      <c r="BF205" s="138">
        <f t="shared" si="23"/>
        <v>37500000</v>
      </c>
      <c r="BG205" s="138">
        <f t="shared" si="21"/>
        <v>16533333</v>
      </c>
      <c r="BH205" s="138">
        <f t="shared" si="22"/>
        <v>6400000</v>
      </c>
      <c r="BI205" s="149" t="s">
        <v>14</v>
      </c>
    </row>
    <row r="206" spans="1:61" s="151" customFormat="1" ht="79.5" customHeight="1">
      <c r="A206" s="139">
        <v>318</v>
      </c>
      <c r="B206" s="140" t="s">
        <v>932</v>
      </c>
      <c r="C206" s="139">
        <v>1</v>
      </c>
      <c r="D206" s="140" t="s">
        <v>148</v>
      </c>
      <c r="E206" s="139">
        <v>19</v>
      </c>
      <c r="F206" s="140" t="s">
        <v>755</v>
      </c>
      <c r="G206" s="139">
        <v>1903</v>
      </c>
      <c r="H206" s="140" t="s">
        <v>933</v>
      </c>
      <c r="I206" s="139">
        <v>1903</v>
      </c>
      <c r="J206" s="140" t="s">
        <v>934</v>
      </c>
      <c r="K206" s="140" t="s">
        <v>945</v>
      </c>
      <c r="L206" s="139">
        <v>1903023</v>
      </c>
      <c r="M206" s="140" t="s">
        <v>946</v>
      </c>
      <c r="N206" s="139">
        <v>1903023</v>
      </c>
      <c r="O206" s="140" t="s">
        <v>946</v>
      </c>
      <c r="P206" s="145">
        <v>190302300</v>
      </c>
      <c r="Q206" s="142" t="s">
        <v>947</v>
      </c>
      <c r="R206" s="145">
        <v>190302300</v>
      </c>
      <c r="S206" s="142" t="s">
        <v>947</v>
      </c>
      <c r="T206" s="145" t="s">
        <v>69</v>
      </c>
      <c r="U206" s="145">
        <v>12</v>
      </c>
      <c r="V206" s="145"/>
      <c r="W206" s="145">
        <v>12</v>
      </c>
      <c r="X206" s="145">
        <v>5</v>
      </c>
      <c r="Y206" s="146">
        <v>2020003630116</v>
      </c>
      <c r="Z206" s="140" t="s">
        <v>940</v>
      </c>
      <c r="AA206" s="140" t="s">
        <v>941</v>
      </c>
      <c r="AB206" s="130"/>
      <c r="AC206" s="130"/>
      <c r="AD206" s="130"/>
      <c r="AE206" s="130"/>
      <c r="AF206" s="130"/>
      <c r="AG206" s="130"/>
      <c r="AH206" s="130">
        <v>20000000</v>
      </c>
      <c r="AI206" s="130">
        <v>14826666</v>
      </c>
      <c r="AJ206" s="130">
        <v>3200000</v>
      </c>
      <c r="AK206" s="130"/>
      <c r="AL206" s="130"/>
      <c r="AM206" s="130"/>
      <c r="AN206" s="130"/>
      <c r="AO206" s="130"/>
      <c r="AP206" s="130"/>
      <c r="AQ206" s="130"/>
      <c r="AR206" s="130"/>
      <c r="AS206" s="130"/>
      <c r="AT206" s="148"/>
      <c r="AU206" s="148"/>
      <c r="AV206" s="148"/>
      <c r="AW206" s="130"/>
      <c r="AX206" s="130"/>
      <c r="AY206" s="130"/>
      <c r="AZ206" s="130"/>
      <c r="BA206" s="130"/>
      <c r="BB206" s="130"/>
      <c r="BC206" s="130"/>
      <c r="BD206" s="130"/>
      <c r="BE206" s="130"/>
      <c r="BF206" s="138">
        <f t="shared" si="23"/>
        <v>20000000</v>
      </c>
      <c r="BG206" s="138">
        <f t="shared" si="21"/>
        <v>14826666</v>
      </c>
      <c r="BH206" s="138">
        <f t="shared" si="22"/>
        <v>3200000</v>
      </c>
      <c r="BI206" s="149" t="s">
        <v>14</v>
      </c>
    </row>
    <row r="207" spans="1:61" s="151" customFormat="1" ht="76.5">
      <c r="A207" s="139">
        <v>318</v>
      </c>
      <c r="B207" s="140" t="s">
        <v>932</v>
      </c>
      <c r="C207" s="139">
        <v>1</v>
      </c>
      <c r="D207" s="140" t="s">
        <v>148</v>
      </c>
      <c r="E207" s="139">
        <v>19</v>
      </c>
      <c r="F207" s="140" t="s">
        <v>755</v>
      </c>
      <c r="G207" s="139">
        <v>1903</v>
      </c>
      <c r="H207" s="140" t="s">
        <v>933</v>
      </c>
      <c r="I207" s="139">
        <v>1903</v>
      </c>
      <c r="J207" s="140" t="s">
        <v>934</v>
      </c>
      <c r="K207" s="140" t="s">
        <v>948</v>
      </c>
      <c r="L207" s="139" t="s">
        <v>61</v>
      </c>
      <c r="M207" s="140" t="s">
        <v>949</v>
      </c>
      <c r="N207" s="139">
        <v>1903023</v>
      </c>
      <c r="O207" s="140" t="s">
        <v>950</v>
      </c>
      <c r="P207" s="139" t="s">
        <v>61</v>
      </c>
      <c r="Q207" s="142" t="s">
        <v>951</v>
      </c>
      <c r="R207" s="145">
        <v>190302300</v>
      </c>
      <c r="S207" s="142" t="s">
        <v>952</v>
      </c>
      <c r="T207" s="145" t="s">
        <v>69</v>
      </c>
      <c r="U207" s="145">
        <v>12</v>
      </c>
      <c r="V207" s="145"/>
      <c r="W207" s="145">
        <v>12</v>
      </c>
      <c r="X207" s="145">
        <v>5</v>
      </c>
      <c r="Y207" s="146">
        <v>2020003630116</v>
      </c>
      <c r="Z207" s="140" t="s">
        <v>940</v>
      </c>
      <c r="AA207" s="140" t="s">
        <v>941</v>
      </c>
      <c r="AB207" s="130"/>
      <c r="AC207" s="130"/>
      <c r="AD207" s="130"/>
      <c r="AE207" s="130"/>
      <c r="AF207" s="130"/>
      <c r="AG207" s="130"/>
      <c r="AH207" s="130">
        <v>22500000</v>
      </c>
      <c r="AI207" s="130">
        <v>17706666</v>
      </c>
      <c r="AJ207" s="130">
        <v>6400000</v>
      </c>
      <c r="AK207" s="148"/>
      <c r="AL207" s="148"/>
      <c r="AM207" s="148"/>
      <c r="AN207" s="130"/>
      <c r="AO207" s="130"/>
      <c r="AP207" s="130"/>
      <c r="AQ207" s="130"/>
      <c r="AR207" s="130"/>
      <c r="AS207" s="130"/>
      <c r="AT207" s="148"/>
      <c r="AU207" s="148"/>
      <c r="AV207" s="148"/>
      <c r="AW207" s="130"/>
      <c r="AX207" s="130"/>
      <c r="AY207" s="130"/>
      <c r="AZ207" s="130"/>
      <c r="BA207" s="130"/>
      <c r="BB207" s="130"/>
      <c r="BC207" s="130"/>
      <c r="BD207" s="130"/>
      <c r="BE207" s="130"/>
      <c r="BF207" s="138">
        <f t="shared" si="23"/>
        <v>22500000</v>
      </c>
      <c r="BG207" s="138">
        <f t="shared" si="21"/>
        <v>17706666</v>
      </c>
      <c r="BH207" s="138">
        <f t="shared" si="22"/>
        <v>6400000</v>
      </c>
      <c r="BI207" s="149" t="s">
        <v>14</v>
      </c>
    </row>
    <row r="208" spans="1:61" s="151" customFormat="1" ht="82.5" customHeight="1">
      <c r="A208" s="139">
        <v>318</v>
      </c>
      <c r="B208" s="140" t="s">
        <v>932</v>
      </c>
      <c r="C208" s="139">
        <v>1</v>
      </c>
      <c r="D208" s="140" t="s">
        <v>148</v>
      </c>
      <c r="E208" s="139">
        <v>19</v>
      </c>
      <c r="F208" s="140" t="s">
        <v>755</v>
      </c>
      <c r="G208" s="139">
        <v>1903</v>
      </c>
      <c r="H208" s="140" t="s">
        <v>933</v>
      </c>
      <c r="I208" s="139">
        <v>1903</v>
      </c>
      <c r="J208" s="140" t="s">
        <v>934</v>
      </c>
      <c r="K208" s="140" t="s">
        <v>935</v>
      </c>
      <c r="L208" s="139" t="s">
        <v>61</v>
      </c>
      <c r="M208" s="140" t="s">
        <v>953</v>
      </c>
      <c r="N208" s="139">
        <v>1903038</v>
      </c>
      <c r="O208" s="140" t="s">
        <v>954</v>
      </c>
      <c r="P208" s="139" t="s">
        <v>61</v>
      </c>
      <c r="Q208" s="142" t="s">
        <v>955</v>
      </c>
      <c r="R208" s="139">
        <v>190303801</v>
      </c>
      <c r="S208" s="142" t="s">
        <v>956</v>
      </c>
      <c r="T208" s="145" t="s">
        <v>69</v>
      </c>
      <c r="U208" s="139">
        <v>1</v>
      </c>
      <c r="V208" s="139"/>
      <c r="W208" s="145">
        <v>1</v>
      </c>
      <c r="X208" s="145">
        <v>0.3</v>
      </c>
      <c r="Y208" s="146">
        <v>2020003630116</v>
      </c>
      <c r="Z208" s="140" t="s">
        <v>940</v>
      </c>
      <c r="AA208" s="140" t="s">
        <v>941</v>
      </c>
      <c r="AB208" s="130"/>
      <c r="AC208" s="130"/>
      <c r="AD208" s="130"/>
      <c r="AE208" s="130"/>
      <c r="AF208" s="130"/>
      <c r="AG208" s="130"/>
      <c r="AH208" s="130">
        <v>0</v>
      </c>
      <c r="AI208" s="130"/>
      <c r="AJ208" s="130"/>
      <c r="AK208" s="130"/>
      <c r="AL208" s="130"/>
      <c r="AM208" s="130"/>
      <c r="AN208" s="130"/>
      <c r="AO208" s="130"/>
      <c r="AP208" s="130"/>
      <c r="AQ208" s="130"/>
      <c r="AR208" s="130"/>
      <c r="AS208" s="130"/>
      <c r="AT208" s="148"/>
      <c r="AU208" s="148"/>
      <c r="AV208" s="148"/>
      <c r="AW208" s="130"/>
      <c r="AX208" s="130"/>
      <c r="AY208" s="130"/>
      <c r="AZ208" s="130"/>
      <c r="BA208" s="130"/>
      <c r="BB208" s="130"/>
      <c r="BC208" s="138">
        <f>400000000+696605698.65</f>
        <v>1096605698.6500001</v>
      </c>
      <c r="BD208" s="138">
        <v>166612020</v>
      </c>
      <c r="BE208" s="138">
        <v>35437629</v>
      </c>
      <c r="BF208" s="138">
        <f t="shared" si="23"/>
        <v>1096605698.6500001</v>
      </c>
      <c r="BG208" s="138">
        <f t="shared" si="21"/>
        <v>166612020</v>
      </c>
      <c r="BH208" s="138">
        <f t="shared" si="22"/>
        <v>35437629</v>
      </c>
      <c r="BI208" s="149" t="s">
        <v>14</v>
      </c>
    </row>
    <row r="209" spans="1:77" s="151" customFormat="1" ht="101.25" customHeight="1">
      <c r="A209" s="139">
        <v>318</v>
      </c>
      <c r="B209" s="140" t="s">
        <v>932</v>
      </c>
      <c r="C209" s="139">
        <v>1</v>
      </c>
      <c r="D209" s="140" t="s">
        <v>148</v>
      </c>
      <c r="E209" s="139">
        <v>19</v>
      </c>
      <c r="F209" s="140" t="s">
        <v>755</v>
      </c>
      <c r="G209" s="139">
        <v>1903</v>
      </c>
      <c r="H209" s="140" t="s">
        <v>933</v>
      </c>
      <c r="I209" s="139">
        <v>1903</v>
      </c>
      <c r="J209" s="140" t="s">
        <v>934</v>
      </c>
      <c r="K209" s="140" t="s">
        <v>957</v>
      </c>
      <c r="L209" s="139">
        <v>1903038</v>
      </c>
      <c r="M209" s="140" t="s">
        <v>954</v>
      </c>
      <c r="N209" s="139">
        <v>1903038</v>
      </c>
      <c r="O209" s="140" t="s">
        <v>954</v>
      </c>
      <c r="P209" s="145">
        <v>190303801</v>
      </c>
      <c r="Q209" s="141" t="s">
        <v>958</v>
      </c>
      <c r="R209" s="145">
        <v>190303801</v>
      </c>
      <c r="S209" s="142" t="s">
        <v>958</v>
      </c>
      <c r="T209" s="145" t="s">
        <v>69</v>
      </c>
      <c r="U209" s="145">
        <v>11</v>
      </c>
      <c r="V209" s="145"/>
      <c r="W209" s="145">
        <v>11</v>
      </c>
      <c r="X209" s="145">
        <v>11</v>
      </c>
      <c r="Y209" s="146">
        <v>2020003630116</v>
      </c>
      <c r="Z209" s="140" t="s">
        <v>940</v>
      </c>
      <c r="AA209" s="140" t="s">
        <v>941</v>
      </c>
      <c r="AB209" s="130"/>
      <c r="AC209" s="130"/>
      <c r="AD209" s="130"/>
      <c r="AE209" s="130"/>
      <c r="AF209" s="130"/>
      <c r="AG209" s="130"/>
      <c r="AH209" s="138">
        <f>17500000+300000000</f>
        <v>317500000</v>
      </c>
      <c r="AI209" s="138">
        <v>69300000</v>
      </c>
      <c r="AJ209" s="138">
        <v>23500000</v>
      </c>
      <c r="AK209" s="130"/>
      <c r="AL209" s="130"/>
      <c r="AM209" s="130"/>
      <c r="AN209" s="130"/>
      <c r="AO209" s="130"/>
      <c r="AP209" s="130"/>
      <c r="AQ209" s="130"/>
      <c r="AR209" s="130"/>
      <c r="AS209" s="130"/>
      <c r="AT209" s="148"/>
      <c r="AU209" s="148"/>
      <c r="AV209" s="148"/>
      <c r="AW209" s="130"/>
      <c r="AX209" s="130"/>
      <c r="AY209" s="130"/>
      <c r="AZ209" s="130"/>
      <c r="BA209" s="130"/>
      <c r="BB209" s="130"/>
      <c r="BC209" s="130"/>
      <c r="BD209" s="130"/>
      <c r="BE209" s="130"/>
      <c r="BF209" s="138">
        <f t="shared" si="23"/>
        <v>317500000</v>
      </c>
      <c r="BG209" s="138">
        <f t="shared" si="21"/>
        <v>69300000</v>
      </c>
      <c r="BH209" s="138">
        <f t="shared" si="22"/>
        <v>23500000</v>
      </c>
      <c r="BI209" s="149" t="s">
        <v>14</v>
      </c>
    </row>
    <row r="210" spans="1:77" s="151" customFormat="1" ht="93.75" customHeight="1">
      <c r="A210" s="139">
        <v>318</v>
      </c>
      <c r="B210" s="140" t="s">
        <v>932</v>
      </c>
      <c r="C210" s="139">
        <v>1</v>
      </c>
      <c r="D210" s="140" t="s">
        <v>148</v>
      </c>
      <c r="E210" s="139">
        <v>19</v>
      </c>
      <c r="F210" s="140" t="s">
        <v>755</v>
      </c>
      <c r="G210" s="139">
        <v>1903</v>
      </c>
      <c r="H210" s="141" t="s">
        <v>933</v>
      </c>
      <c r="I210" s="139">
        <v>1903</v>
      </c>
      <c r="J210" s="141" t="s">
        <v>934</v>
      </c>
      <c r="K210" s="140" t="s">
        <v>942</v>
      </c>
      <c r="L210" s="139">
        <v>1903027</v>
      </c>
      <c r="M210" s="140" t="s">
        <v>959</v>
      </c>
      <c r="N210" s="139">
        <v>1903027</v>
      </c>
      <c r="O210" s="140" t="s">
        <v>959</v>
      </c>
      <c r="P210" s="145">
        <v>190302700</v>
      </c>
      <c r="Q210" s="142" t="s">
        <v>960</v>
      </c>
      <c r="R210" s="145">
        <v>190302700</v>
      </c>
      <c r="S210" s="142" t="s">
        <v>960</v>
      </c>
      <c r="T210" s="145" t="s">
        <v>69</v>
      </c>
      <c r="U210" s="145">
        <v>5</v>
      </c>
      <c r="V210" s="145"/>
      <c r="W210" s="145">
        <v>5</v>
      </c>
      <c r="X210" s="145">
        <v>2</v>
      </c>
      <c r="Y210" s="146">
        <v>2020003630116</v>
      </c>
      <c r="Z210" s="140" t="s">
        <v>940</v>
      </c>
      <c r="AA210" s="140" t="s">
        <v>941</v>
      </c>
      <c r="AB210" s="130"/>
      <c r="AC210" s="130"/>
      <c r="AD210" s="130"/>
      <c r="AE210" s="130"/>
      <c r="AF210" s="130"/>
      <c r="AG210" s="130"/>
      <c r="AH210" s="138">
        <v>12500000</v>
      </c>
      <c r="AI210" s="138">
        <v>8533333</v>
      </c>
      <c r="AJ210" s="138">
        <v>3200000</v>
      </c>
      <c r="AK210" s="130"/>
      <c r="AL210" s="130"/>
      <c r="AM210" s="130"/>
      <c r="AN210" s="130"/>
      <c r="AO210" s="130"/>
      <c r="AP210" s="130"/>
      <c r="AQ210" s="130"/>
      <c r="AR210" s="130"/>
      <c r="AS210" s="130"/>
      <c r="AT210" s="148"/>
      <c r="AU210" s="148"/>
      <c r="AV210" s="148"/>
      <c r="AW210" s="130"/>
      <c r="AX210" s="130"/>
      <c r="AY210" s="130"/>
      <c r="AZ210" s="130"/>
      <c r="BA210" s="130"/>
      <c r="BB210" s="130"/>
      <c r="BC210" s="130"/>
      <c r="BD210" s="130"/>
      <c r="BE210" s="130"/>
      <c r="BF210" s="138">
        <f t="shared" si="23"/>
        <v>12500000</v>
      </c>
      <c r="BG210" s="138">
        <f t="shared" si="21"/>
        <v>8533333</v>
      </c>
      <c r="BH210" s="138">
        <f t="shared" si="22"/>
        <v>3200000</v>
      </c>
      <c r="BI210" s="149" t="s">
        <v>14</v>
      </c>
    </row>
    <row r="211" spans="1:77" s="151" customFormat="1" ht="95.25" customHeight="1">
      <c r="A211" s="139">
        <v>318</v>
      </c>
      <c r="B211" s="140" t="s">
        <v>932</v>
      </c>
      <c r="C211" s="139">
        <v>1</v>
      </c>
      <c r="D211" s="140" t="s">
        <v>148</v>
      </c>
      <c r="E211" s="139">
        <v>19</v>
      </c>
      <c r="F211" s="140" t="s">
        <v>755</v>
      </c>
      <c r="G211" s="139">
        <v>1903</v>
      </c>
      <c r="H211" s="140" t="s">
        <v>933</v>
      </c>
      <c r="I211" s="139">
        <v>1903</v>
      </c>
      <c r="J211" s="140" t="s">
        <v>934</v>
      </c>
      <c r="K211" s="142" t="s">
        <v>961</v>
      </c>
      <c r="L211" s="139">
        <v>1903011</v>
      </c>
      <c r="M211" s="140" t="s">
        <v>962</v>
      </c>
      <c r="N211" s="139">
        <v>1903011</v>
      </c>
      <c r="O211" s="140" t="s">
        <v>962</v>
      </c>
      <c r="P211" s="145">
        <v>190301100</v>
      </c>
      <c r="Q211" s="142" t="s">
        <v>963</v>
      </c>
      <c r="R211" s="145">
        <v>190301100</v>
      </c>
      <c r="S211" s="142" t="s">
        <v>964</v>
      </c>
      <c r="T211" s="145" t="s">
        <v>69</v>
      </c>
      <c r="U211" s="145">
        <v>140</v>
      </c>
      <c r="V211" s="145"/>
      <c r="W211" s="145">
        <v>140</v>
      </c>
      <c r="X211" s="145">
        <v>111</v>
      </c>
      <c r="Y211" s="146">
        <v>2020003630116</v>
      </c>
      <c r="Z211" s="140" t="s">
        <v>940</v>
      </c>
      <c r="AA211" s="140" t="s">
        <v>941</v>
      </c>
      <c r="AB211" s="130"/>
      <c r="AC211" s="130"/>
      <c r="AD211" s="130"/>
      <c r="AE211" s="130"/>
      <c r="AF211" s="130"/>
      <c r="AG211" s="130"/>
      <c r="AH211" s="130">
        <v>22500000</v>
      </c>
      <c r="AI211" s="130">
        <v>15793333</v>
      </c>
      <c r="AJ211" s="130">
        <v>5300000</v>
      </c>
      <c r="AK211" s="130"/>
      <c r="AL211" s="130"/>
      <c r="AM211" s="130"/>
      <c r="AN211" s="130"/>
      <c r="AO211" s="130"/>
      <c r="AP211" s="130"/>
      <c r="AQ211" s="130"/>
      <c r="AR211" s="130"/>
      <c r="AS211" s="130"/>
      <c r="AT211" s="148"/>
      <c r="AU211" s="148"/>
      <c r="AV211" s="148"/>
      <c r="AW211" s="130"/>
      <c r="AX211" s="130"/>
      <c r="AY211" s="130"/>
      <c r="AZ211" s="130"/>
      <c r="BA211" s="130"/>
      <c r="BB211" s="130"/>
      <c r="BC211" s="130"/>
      <c r="BD211" s="130"/>
      <c r="BE211" s="130"/>
      <c r="BF211" s="138">
        <f t="shared" si="23"/>
        <v>22500000</v>
      </c>
      <c r="BG211" s="138">
        <f t="shared" si="21"/>
        <v>15793333</v>
      </c>
      <c r="BH211" s="138">
        <f t="shared" si="22"/>
        <v>5300000</v>
      </c>
      <c r="BI211" s="149" t="s">
        <v>14</v>
      </c>
    </row>
    <row r="212" spans="1:77" s="151" customFormat="1" ht="76.5" customHeight="1">
      <c r="A212" s="139">
        <v>318</v>
      </c>
      <c r="B212" s="140" t="s">
        <v>932</v>
      </c>
      <c r="C212" s="139">
        <v>1</v>
      </c>
      <c r="D212" s="140" t="s">
        <v>148</v>
      </c>
      <c r="E212" s="139">
        <v>19</v>
      </c>
      <c r="F212" s="140" t="s">
        <v>755</v>
      </c>
      <c r="G212" s="139">
        <v>1903</v>
      </c>
      <c r="H212" s="140" t="s">
        <v>933</v>
      </c>
      <c r="I212" s="139">
        <v>1903</v>
      </c>
      <c r="J212" s="140" t="s">
        <v>934</v>
      </c>
      <c r="K212" s="140" t="s">
        <v>965</v>
      </c>
      <c r="L212" s="139">
        <v>1903001</v>
      </c>
      <c r="M212" s="140" t="s">
        <v>101</v>
      </c>
      <c r="N212" s="139">
        <v>1903001</v>
      </c>
      <c r="O212" s="140" t="s">
        <v>101</v>
      </c>
      <c r="P212" s="145">
        <v>190300100</v>
      </c>
      <c r="Q212" s="142" t="s">
        <v>966</v>
      </c>
      <c r="R212" s="145">
        <v>190300100</v>
      </c>
      <c r="S212" s="142" t="s">
        <v>966</v>
      </c>
      <c r="T212" s="145" t="s">
        <v>69</v>
      </c>
      <c r="U212" s="145">
        <v>2</v>
      </c>
      <c r="V212" s="145"/>
      <c r="W212" s="145">
        <v>2</v>
      </c>
      <c r="X212" s="145">
        <v>1</v>
      </c>
      <c r="Y212" s="146">
        <v>2020003630117</v>
      </c>
      <c r="Z212" s="140" t="s">
        <v>967</v>
      </c>
      <c r="AA212" s="140" t="s">
        <v>968</v>
      </c>
      <c r="AB212" s="130"/>
      <c r="AC212" s="130"/>
      <c r="AD212" s="130"/>
      <c r="AE212" s="130"/>
      <c r="AF212" s="130"/>
      <c r="AG212" s="130"/>
      <c r="AH212" s="130">
        <v>62500000</v>
      </c>
      <c r="AI212" s="130">
        <v>39493333</v>
      </c>
      <c r="AJ212" s="130">
        <v>13200000</v>
      </c>
      <c r="AK212" s="130"/>
      <c r="AL212" s="130"/>
      <c r="AM212" s="130"/>
      <c r="AN212" s="130"/>
      <c r="AO212" s="130"/>
      <c r="AP212" s="130"/>
      <c r="AQ212" s="130"/>
      <c r="AR212" s="130"/>
      <c r="AS212" s="130"/>
      <c r="AT212" s="135"/>
      <c r="AU212" s="135"/>
      <c r="AV212" s="135"/>
      <c r="AW212" s="130"/>
      <c r="AX212" s="130"/>
      <c r="AY212" s="130"/>
      <c r="AZ212" s="130"/>
      <c r="BA212" s="130"/>
      <c r="BB212" s="130"/>
      <c r="BC212" s="130"/>
      <c r="BD212" s="130"/>
      <c r="BE212" s="130"/>
      <c r="BF212" s="138">
        <f t="shared" si="23"/>
        <v>62500000</v>
      </c>
      <c r="BG212" s="138">
        <f t="shared" si="21"/>
        <v>39493333</v>
      </c>
      <c r="BH212" s="138">
        <f t="shared" si="22"/>
        <v>13200000</v>
      </c>
      <c r="BI212" s="149" t="s">
        <v>14</v>
      </c>
    </row>
    <row r="213" spans="1:77" s="151" customFormat="1" ht="108.75" customHeight="1">
      <c r="A213" s="139">
        <v>318</v>
      </c>
      <c r="B213" s="140" t="s">
        <v>932</v>
      </c>
      <c r="C213" s="139">
        <v>1</v>
      </c>
      <c r="D213" s="140" t="s">
        <v>148</v>
      </c>
      <c r="E213" s="139">
        <v>19</v>
      </c>
      <c r="F213" s="140" t="s">
        <v>755</v>
      </c>
      <c r="G213" s="139">
        <v>1903</v>
      </c>
      <c r="H213" s="140" t="s">
        <v>933</v>
      </c>
      <c r="I213" s="139">
        <v>1903</v>
      </c>
      <c r="J213" s="140" t="s">
        <v>934</v>
      </c>
      <c r="K213" s="140" t="s">
        <v>969</v>
      </c>
      <c r="L213" s="139">
        <v>1903012</v>
      </c>
      <c r="M213" s="140" t="s">
        <v>970</v>
      </c>
      <c r="N213" s="139">
        <v>1903012</v>
      </c>
      <c r="O213" s="140" t="s">
        <v>970</v>
      </c>
      <c r="P213" s="145">
        <v>190301200</v>
      </c>
      <c r="Q213" s="141" t="s">
        <v>971</v>
      </c>
      <c r="R213" s="145">
        <v>190301200</v>
      </c>
      <c r="S213" s="142" t="s">
        <v>971</v>
      </c>
      <c r="T213" s="145" t="s">
        <v>69</v>
      </c>
      <c r="U213" s="145">
        <v>4000</v>
      </c>
      <c r="V213" s="145"/>
      <c r="W213" s="145">
        <v>4000</v>
      </c>
      <c r="X213" s="145">
        <v>1444</v>
      </c>
      <c r="Y213" s="146">
        <v>2020003630118</v>
      </c>
      <c r="Z213" s="140" t="s">
        <v>972</v>
      </c>
      <c r="AA213" s="140" t="s">
        <v>973</v>
      </c>
      <c r="AB213" s="130"/>
      <c r="AC213" s="130"/>
      <c r="AD213" s="130"/>
      <c r="AE213" s="130"/>
      <c r="AF213" s="130"/>
      <c r="AG213" s="130"/>
      <c r="AH213" s="148">
        <v>1134356161</v>
      </c>
      <c r="AI213" s="148">
        <v>385920706</v>
      </c>
      <c r="AJ213" s="148">
        <v>46350000</v>
      </c>
      <c r="AK213" s="148"/>
      <c r="AL213" s="148"/>
      <c r="AM213" s="148"/>
      <c r="AN213" s="130"/>
      <c r="AO213" s="130"/>
      <c r="AP213" s="130"/>
      <c r="AQ213" s="130"/>
      <c r="AR213" s="130"/>
      <c r="AS213" s="130"/>
      <c r="AT213" s="135"/>
      <c r="AU213" s="135"/>
      <c r="AV213" s="135"/>
      <c r="AW213" s="130"/>
      <c r="AX213" s="130"/>
      <c r="AY213" s="130"/>
      <c r="AZ213" s="130"/>
      <c r="BA213" s="130"/>
      <c r="BB213" s="130"/>
      <c r="BC213" s="136"/>
      <c r="BD213" s="136"/>
      <c r="BE213" s="136"/>
      <c r="BF213" s="138">
        <f t="shared" si="23"/>
        <v>1134356161</v>
      </c>
      <c r="BG213" s="138">
        <f t="shared" si="21"/>
        <v>385920706</v>
      </c>
      <c r="BH213" s="138">
        <f t="shared" si="22"/>
        <v>46350000</v>
      </c>
      <c r="BI213" s="149" t="s">
        <v>14</v>
      </c>
    </row>
    <row r="214" spans="1:77" s="151" customFormat="1" ht="38.25">
      <c r="A214" s="139">
        <v>318</v>
      </c>
      <c r="B214" s="140" t="s">
        <v>932</v>
      </c>
      <c r="C214" s="139">
        <v>1</v>
      </c>
      <c r="D214" s="140" t="s">
        <v>148</v>
      </c>
      <c r="E214" s="139">
        <v>19</v>
      </c>
      <c r="F214" s="140" t="s">
        <v>755</v>
      </c>
      <c r="G214" s="139">
        <v>1903</v>
      </c>
      <c r="H214" s="140" t="s">
        <v>933</v>
      </c>
      <c r="I214" s="139">
        <v>1903</v>
      </c>
      <c r="J214" s="140" t="s">
        <v>934</v>
      </c>
      <c r="K214" s="140" t="s">
        <v>974</v>
      </c>
      <c r="L214" s="139">
        <v>1903016</v>
      </c>
      <c r="M214" s="140" t="s">
        <v>975</v>
      </c>
      <c r="N214" s="139">
        <v>1903016</v>
      </c>
      <c r="O214" s="140" t="s">
        <v>975</v>
      </c>
      <c r="P214" s="145">
        <v>190301600</v>
      </c>
      <c r="Q214" s="142" t="s">
        <v>976</v>
      </c>
      <c r="R214" s="145">
        <v>190301600</v>
      </c>
      <c r="S214" s="142" t="s">
        <v>976</v>
      </c>
      <c r="T214" s="145" t="s">
        <v>69</v>
      </c>
      <c r="U214" s="145">
        <v>240</v>
      </c>
      <c r="V214" s="145"/>
      <c r="W214" s="145">
        <v>240</v>
      </c>
      <c r="X214" s="145">
        <v>54</v>
      </c>
      <c r="Y214" s="146">
        <v>2020003630118</v>
      </c>
      <c r="Z214" s="140" t="s">
        <v>972</v>
      </c>
      <c r="AA214" s="140" t="s">
        <v>973</v>
      </c>
      <c r="AB214" s="130"/>
      <c r="AC214" s="130"/>
      <c r="AD214" s="130"/>
      <c r="AE214" s="130"/>
      <c r="AF214" s="130"/>
      <c r="AG214" s="130"/>
      <c r="AH214" s="148">
        <v>135772557</v>
      </c>
      <c r="AI214" s="148">
        <v>41441266</v>
      </c>
      <c r="AJ214" s="148">
        <v>14186000</v>
      </c>
      <c r="AK214" s="130"/>
      <c r="AL214" s="130"/>
      <c r="AM214" s="130"/>
      <c r="AN214" s="130"/>
      <c r="AO214" s="130"/>
      <c r="AP214" s="130"/>
      <c r="AQ214" s="130"/>
      <c r="AR214" s="130"/>
      <c r="AS214" s="130"/>
      <c r="AT214" s="135"/>
      <c r="AU214" s="135"/>
      <c r="AV214" s="135"/>
      <c r="AW214" s="130"/>
      <c r="AX214" s="130"/>
      <c r="AY214" s="130"/>
      <c r="AZ214" s="130"/>
      <c r="BA214" s="130"/>
      <c r="BB214" s="130"/>
      <c r="BC214" s="130"/>
      <c r="BD214" s="130"/>
      <c r="BE214" s="130"/>
      <c r="BF214" s="138">
        <f t="shared" si="23"/>
        <v>135772557</v>
      </c>
      <c r="BG214" s="138">
        <f t="shared" si="21"/>
        <v>41441266</v>
      </c>
      <c r="BH214" s="138">
        <f t="shared" si="22"/>
        <v>14186000</v>
      </c>
      <c r="BI214" s="149" t="s">
        <v>14</v>
      </c>
    </row>
    <row r="215" spans="1:77" s="151" customFormat="1" ht="41.25" customHeight="1">
      <c r="A215" s="139">
        <v>318</v>
      </c>
      <c r="B215" s="140" t="s">
        <v>932</v>
      </c>
      <c r="C215" s="139">
        <v>1</v>
      </c>
      <c r="D215" s="140" t="s">
        <v>148</v>
      </c>
      <c r="E215" s="139">
        <v>19</v>
      </c>
      <c r="F215" s="140" t="s">
        <v>755</v>
      </c>
      <c r="G215" s="139">
        <v>1903</v>
      </c>
      <c r="H215" s="140" t="s">
        <v>933</v>
      </c>
      <c r="I215" s="139">
        <v>1903</v>
      </c>
      <c r="J215" s="140" t="s">
        <v>934</v>
      </c>
      <c r="K215" s="140" t="s">
        <v>977</v>
      </c>
      <c r="L215" s="139">
        <v>1903034</v>
      </c>
      <c r="M215" s="140" t="s">
        <v>119</v>
      </c>
      <c r="N215" s="139">
        <v>1903034</v>
      </c>
      <c r="O215" s="140" t="s">
        <v>119</v>
      </c>
      <c r="P215" s="145">
        <v>190303400</v>
      </c>
      <c r="Q215" s="142" t="s">
        <v>979</v>
      </c>
      <c r="R215" s="145">
        <v>190303400</v>
      </c>
      <c r="S215" s="142" t="s">
        <v>979</v>
      </c>
      <c r="T215" s="145" t="s">
        <v>69</v>
      </c>
      <c r="U215" s="145">
        <v>12</v>
      </c>
      <c r="V215" s="145"/>
      <c r="W215" s="145">
        <v>12</v>
      </c>
      <c r="X215" s="145">
        <v>3</v>
      </c>
      <c r="Y215" s="146">
        <v>2020003630119</v>
      </c>
      <c r="Z215" s="140" t="s">
        <v>980</v>
      </c>
      <c r="AA215" s="140" t="s">
        <v>981</v>
      </c>
      <c r="AB215" s="130"/>
      <c r="AC215" s="130"/>
      <c r="AD215" s="130"/>
      <c r="AE215" s="130"/>
      <c r="AF215" s="130"/>
      <c r="AG215" s="130"/>
      <c r="AH215" s="130"/>
      <c r="AI215" s="130"/>
      <c r="AJ215" s="130"/>
      <c r="AK215" s="148"/>
      <c r="AL215" s="148"/>
      <c r="AM215" s="148"/>
      <c r="AN215" s="130"/>
      <c r="AO215" s="130"/>
      <c r="AP215" s="130"/>
      <c r="AQ215" s="130"/>
      <c r="AR215" s="130"/>
      <c r="AS215" s="130"/>
      <c r="AT215" s="135">
        <v>92585478</v>
      </c>
      <c r="AU215" s="135">
        <v>37600000</v>
      </c>
      <c r="AV215" s="135">
        <v>20800000</v>
      </c>
      <c r="AW215" s="130"/>
      <c r="AX215" s="130"/>
      <c r="AY215" s="130"/>
      <c r="AZ215" s="130"/>
      <c r="BA215" s="130"/>
      <c r="BB215" s="130"/>
      <c r="BC215" s="130"/>
      <c r="BD215" s="130"/>
      <c r="BE215" s="130"/>
      <c r="BF215" s="138">
        <f t="shared" si="23"/>
        <v>92585478</v>
      </c>
      <c r="BG215" s="138">
        <f t="shared" si="21"/>
        <v>37600000</v>
      </c>
      <c r="BH215" s="138">
        <f t="shared" si="22"/>
        <v>20800000</v>
      </c>
      <c r="BI215" s="149" t="s">
        <v>14</v>
      </c>
    </row>
    <row r="216" spans="1:77" s="151" customFormat="1" ht="54" customHeight="1">
      <c r="A216" s="139">
        <v>318</v>
      </c>
      <c r="B216" s="140" t="s">
        <v>932</v>
      </c>
      <c r="C216" s="139">
        <v>1</v>
      </c>
      <c r="D216" s="140" t="s">
        <v>148</v>
      </c>
      <c r="E216" s="139">
        <v>19</v>
      </c>
      <c r="F216" s="140" t="s">
        <v>755</v>
      </c>
      <c r="G216" s="139">
        <v>1903</v>
      </c>
      <c r="H216" s="140" t="s">
        <v>933</v>
      </c>
      <c r="I216" s="139">
        <v>1903</v>
      </c>
      <c r="J216" s="140" t="s">
        <v>934</v>
      </c>
      <c r="K216" s="140" t="s">
        <v>982</v>
      </c>
      <c r="L216" s="139">
        <v>1903045</v>
      </c>
      <c r="M216" s="140" t="s">
        <v>983</v>
      </c>
      <c r="N216" s="139">
        <v>1903045</v>
      </c>
      <c r="O216" s="140" t="s">
        <v>983</v>
      </c>
      <c r="P216" s="145">
        <v>190304500</v>
      </c>
      <c r="Q216" s="142" t="s">
        <v>984</v>
      </c>
      <c r="R216" s="145">
        <v>190304500</v>
      </c>
      <c r="S216" s="142" t="s">
        <v>984</v>
      </c>
      <c r="T216" s="145" t="s">
        <v>157</v>
      </c>
      <c r="U216" s="145">
        <v>1058</v>
      </c>
      <c r="V216" s="145"/>
      <c r="W216" s="145">
        <v>1058</v>
      </c>
      <c r="X216" s="145">
        <v>438</v>
      </c>
      <c r="Y216" s="146">
        <v>2020003630120</v>
      </c>
      <c r="Z216" s="140" t="s">
        <v>985</v>
      </c>
      <c r="AA216" s="140" t="s">
        <v>986</v>
      </c>
      <c r="AB216" s="130"/>
      <c r="AC216" s="130"/>
      <c r="AD216" s="130"/>
      <c r="AE216" s="130"/>
      <c r="AF216" s="130"/>
      <c r="AG216" s="130"/>
      <c r="AH216" s="130"/>
      <c r="AI216" s="130"/>
      <c r="AJ216" s="130"/>
      <c r="AK216" s="148"/>
      <c r="AL216" s="148"/>
      <c r="AM216" s="148"/>
      <c r="AN216" s="130"/>
      <c r="AO216" s="130"/>
      <c r="AP216" s="130"/>
      <c r="AQ216" s="130"/>
      <c r="AR216" s="130"/>
      <c r="AS216" s="130"/>
      <c r="AT216" s="135">
        <v>19000000</v>
      </c>
      <c r="AU216" s="135">
        <v>14600000</v>
      </c>
      <c r="AV216" s="135">
        <v>8500000</v>
      </c>
      <c r="AW216" s="130"/>
      <c r="AX216" s="130"/>
      <c r="AY216" s="130"/>
      <c r="AZ216" s="130"/>
      <c r="BA216" s="130"/>
      <c r="BB216" s="130"/>
      <c r="BC216" s="130"/>
      <c r="BD216" s="130"/>
      <c r="BE216" s="130"/>
      <c r="BF216" s="138">
        <f t="shared" si="23"/>
        <v>19000000</v>
      </c>
      <c r="BG216" s="138">
        <f t="shared" si="21"/>
        <v>14600000</v>
      </c>
      <c r="BH216" s="138">
        <f t="shared" si="22"/>
        <v>8500000</v>
      </c>
      <c r="BI216" s="149" t="s">
        <v>14</v>
      </c>
    </row>
    <row r="217" spans="1:77" s="151" customFormat="1" ht="60" customHeight="1">
      <c r="A217" s="139">
        <v>318</v>
      </c>
      <c r="B217" s="140" t="s">
        <v>932</v>
      </c>
      <c r="C217" s="139">
        <v>1</v>
      </c>
      <c r="D217" s="140" t="s">
        <v>148</v>
      </c>
      <c r="E217" s="139">
        <v>19</v>
      </c>
      <c r="F217" s="140" t="s">
        <v>755</v>
      </c>
      <c r="G217" s="139">
        <v>1903</v>
      </c>
      <c r="H217" s="140" t="s">
        <v>933</v>
      </c>
      <c r="I217" s="139">
        <v>1903</v>
      </c>
      <c r="J217" s="140" t="s">
        <v>934</v>
      </c>
      <c r="K217" s="140" t="s">
        <v>965</v>
      </c>
      <c r="L217" s="139">
        <v>1903001</v>
      </c>
      <c r="M217" s="140" t="s">
        <v>101</v>
      </c>
      <c r="N217" s="139">
        <v>1903001</v>
      </c>
      <c r="O217" s="140" t="s">
        <v>101</v>
      </c>
      <c r="P217" s="145">
        <v>190300100</v>
      </c>
      <c r="Q217" s="142" t="s">
        <v>966</v>
      </c>
      <c r="R217" s="145">
        <v>190300100</v>
      </c>
      <c r="S217" s="142" t="s">
        <v>966</v>
      </c>
      <c r="T217" s="145" t="s">
        <v>69</v>
      </c>
      <c r="U217" s="139">
        <v>2</v>
      </c>
      <c r="V217" s="139"/>
      <c r="W217" s="145">
        <v>2</v>
      </c>
      <c r="X217" s="145">
        <v>0</v>
      </c>
      <c r="Y217" s="146">
        <v>2020003630120</v>
      </c>
      <c r="Z217" s="140" t="s">
        <v>985</v>
      </c>
      <c r="AA217" s="140" t="s">
        <v>986</v>
      </c>
      <c r="AB217" s="130"/>
      <c r="AC217" s="130"/>
      <c r="AD217" s="130"/>
      <c r="AE217" s="130"/>
      <c r="AF217" s="130"/>
      <c r="AG217" s="130"/>
      <c r="AH217" s="130"/>
      <c r="AI217" s="130"/>
      <c r="AJ217" s="130"/>
      <c r="AK217" s="130"/>
      <c r="AL217" s="130"/>
      <c r="AM217" s="130"/>
      <c r="AN217" s="130"/>
      <c r="AO217" s="130"/>
      <c r="AP217" s="130"/>
      <c r="AQ217" s="130"/>
      <c r="AR217" s="130"/>
      <c r="AS217" s="130"/>
      <c r="AT217" s="135">
        <v>15000000</v>
      </c>
      <c r="AU217" s="135"/>
      <c r="AV217" s="135"/>
      <c r="AW217" s="130"/>
      <c r="AX217" s="130"/>
      <c r="AY217" s="130"/>
      <c r="AZ217" s="130"/>
      <c r="BA217" s="130"/>
      <c r="BB217" s="130"/>
      <c r="BC217" s="130"/>
      <c r="BD217" s="130"/>
      <c r="BE217" s="130"/>
      <c r="BF217" s="138">
        <f t="shared" si="23"/>
        <v>15000000</v>
      </c>
      <c r="BG217" s="138">
        <f t="shared" si="21"/>
        <v>0</v>
      </c>
      <c r="BH217" s="138">
        <f t="shared" si="22"/>
        <v>0</v>
      </c>
      <c r="BI217" s="149" t="s">
        <v>14</v>
      </c>
    </row>
    <row r="218" spans="1:77" s="151" customFormat="1" ht="38.25">
      <c r="A218" s="139">
        <v>318</v>
      </c>
      <c r="B218" s="140" t="s">
        <v>932</v>
      </c>
      <c r="C218" s="139">
        <v>1</v>
      </c>
      <c r="D218" s="140" t="s">
        <v>148</v>
      </c>
      <c r="E218" s="139">
        <v>19</v>
      </c>
      <c r="F218" s="140" t="s">
        <v>755</v>
      </c>
      <c r="G218" s="139">
        <v>1903</v>
      </c>
      <c r="H218" s="140" t="s">
        <v>933</v>
      </c>
      <c r="I218" s="139">
        <v>1903</v>
      </c>
      <c r="J218" s="140" t="s">
        <v>934</v>
      </c>
      <c r="K218" s="142" t="s">
        <v>987</v>
      </c>
      <c r="L218" s="145">
        <v>1903010</v>
      </c>
      <c r="M218" s="142" t="s">
        <v>988</v>
      </c>
      <c r="N218" s="145">
        <v>1903010</v>
      </c>
      <c r="O218" s="142" t="s">
        <v>988</v>
      </c>
      <c r="P218" s="145">
        <v>190301000</v>
      </c>
      <c r="Q218" s="142" t="s">
        <v>989</v>
      </c>
      <c r="R218" s="145">
        <v>190301000</v>
      </c>
      <c r="S218" s="142" t="s">
        <v>989</v>
      </c>
      <c r="T218" s="145" t="s">
        <v>69</v>
      </c>
      <c r="U218" s="145">
        <v>12</v>
      </c>
      <c r="V218" s="145"/>
      <c r="W218" s="145">
        <v>12</v>
      </c>
      <c r="X218" s="145">
        <v>0</v>
      </c>
      <c r="Y218" s="146">
        <v>2020003630120</v>
      </c>
      <c r="Z218" s="140" t="s">
        <v>985</v>
      </c>
      <c r="AA218" s="140" t="s">
        <v>986</v>
      </c>
      <c r="AB218" s="130"/>
      <c r="AC218" s="130"/>
      <c r="AD218" s="130"/>
      <c r="AE218" s="130"/>
      <c r="AF218" s="130"/>
      <c r="AG218" s="130"/>
      <c r="AH218" s="130"/>
      <c r="AI218" s="130"/>
      <c r="AJ218" s="130"/>
      <c r="AK218" s="148"/>
      <c r="AL218" s="148"/>
      <c r="AM218" s="148"/>
      <c r="AN218" s="130"/>
      <c r="AO218" s="130"/>
      <c r="AP218" s="130"/>
      <c r="AQ218" s="130"/>
      <c r="AR218" s="130"/>
      <c r="AS218" s="130"/>
      <c r="AT218" s="135">
        <v>15000000</v>
      </c>
      <c r="AU218" s="135"/>
      <c r="AV218" s="135"/>
      <c r="AW218" s="130"/>
      <c r="AX218" s="130"/>
      <c r="AY218" s="130"/>
      <c r="AZ218" s="130"/>
      <c r="BA218" s="130"/>
      <c r="BB218" s="130"/>
      <c r="BC218" s="130"/>
      <c r="BD218" s="130"/>
      <c r="BE218" s="130"/>
      <c r="BF218" s="138">
        <f t="shared" si="23"/>
        <v>15000000</v>
      </c>
      <c r="BG218" s="138">
        <f t="shared" si="21"/>
        <v>0</v>
      </c>
      <c r="BH218" s="138">
        <f t="shared" si="22"/>
        <v>0</v>
      </c>
      <c r="BI218" s="149" t="s">
        <v>14</v>
      </c>
    </row>
    <row r="219" spans="1:77" s="151" customFormat="1" ht="57" customHeight="1">
      <c r="A219" s="139">
        <v>318</v>
      </c>
      <c r="B219" s="140" t="s">
        <v>932</v>
      </c>
      <c r="C219" s="139">
        <v>1</v>
      </c>
      <c r="D219" s="140" t="s">
        <v>148</v>
      </c>
      <c r="E219" s="139">
        <v>19</v>
      </c>
      <c r="F219" s="140" t="s">
        <v>755</v>
      </c>
      <c r="G219" s="139">
        <v>1903</v>
      </c>
      <c r="H219" s="140" t="s">
        <v>933</v>
      </c>
      <c r="I219" s="139">
        <v>1903</v>
      </c>
      <c r="J219" s="140" t="s">
        <v>934</v>
      </c>
      <c r="K219" s="140" t="s">
        <v>990</v>
      </c>
      <c r="L219" s="139">
        <v>1903047</v>
      </c>
      <c r="M219" s="140" t="s">
        <v>991</v>
      </c>
      <c r="N219" s="139">
        <v>1903047</v>
      </c>
      <c r="O219" s="140" t="s">
        <v>991</v>
      </c>
      <c r="P219" s="145">
        <v>190304701</v>
      </c>
      <c r="Q219" s="142" t="s">
        <v>992</v>
      </c>
      <c r="R219" s="145">
        <v>190304701</v>
      </c>
      <c r="S219" s="142" t="s">
        <v>992</v>
      </c>
      <c r="T219" s="145" t="s">
        <v>69</v>
      </c>
      <c r="U219" s="145">
        <v>1</v>
      </c>
      <c r="V219" s="145"/>
      <c r="W219" s="145">
        <v>1</v>
      </c>
      <c r="X219" s="145">
        <v>0</v>
      </c>
      <c r="Y219" s="146">
        <v>2020003630121</v>
      </c>
      <c r="Z219" s="140" t="s">
        <v>993</v>
      </c>
      <c r="AA219" s="140" t="s">
        <v>994</v>
      </c>
      <c r="AB219" s="130"/>
      <c r="AC219" s="130"/>
      <c r="AD219" s="130"/>
      <c r="AE219" s="130"/>
      <c r="AF219" s="130"/>
      <c r="AG219" s="130"/>
      <c r="AH219" s="130"/>
      <c r="AI219" s="130"/>
      <c r="AJ219" s="130"/>
      <c r="AK219" s="138">
        <v>20000000</v>
      </c>
      <c r="AL219" s="138">
        <v>18773333</v>
      </c>
      <c r="AM219" s="138">
        <v>6400000</v>
      </c>
      <c r="AN219" s="130"/>
      <c r="AO219" s="130"/>
      <c r="AP219" s="130"/>
      <c r="AQ219" s="130"/>
      <c r="AR219" s="130"/>
      <c r="AS219" s="130"/>
      <c r="AT219" s="135"/>
      <c r="AU219" s="135"/>
      <c r="AV219" s="135"/>
      <c r="AW219" s="130"/>
      <c r="AX219" s="130"/>
      <c r="AY219" s="130"/>
      <c r="AZ219" s="130"/>
      <c r="BA219" s="130"/>
      <c r="BB219" s="130"/>
      <c r="BC219" s="130"/>
      <c r="BD219" s="130"/>
      <c r="BE219" s="130"/>
      <c r="BF219" s="138">
        <f t="shared" si="23"/>
        <v>20000000</v>
      </c>
      <c r="BG219" s="138">
        <f t="shared" si="21"/>
        <v>18773333</v>
      </c>
      <c r="BH219" s="138">
        <f t="shared" si="22"/>
        <v>6400000</v>
      </c>
      <c r="BI219" s="149" t="s">
        <v>14</v>
      </c>
    </row>
    <row r="220" spans="1:77" s="151" customFormat="1" ht="63" customHeight="1">
      <c r="A220" s="139">
        <v>318</v>
      </c>
      <c r="B220" s="140" t="s">
        <v>932</v>
      </c>
      <c r="C220" s="139">
        <v>1</v>
      </c>
      <c r="D220" s="140" t="s">
        <v>148</v>
      </c>
      <c r="E220" s="139">
        <v>19</v>
      </c>
      <c r="F220" s="140" t="s">
        <v>755</v>
      </c>
      <c r="G220" s="139">
        <v>1903</v>
      </c>
      <c r="H220" s="140" t="s">
        <v>933</v>
      </c>
      <c r="I220" s="139">
        <v>1903</v>
      </c>
      <c r="J220" s="140" t="s">
        <v>934</v>
      </c>
      <c r="K220" s="140" t="s">
        <v>995</v>
      </c>
      <c r="L220" s="139">
        <v>1903019</v>
      </c>
      <c r="M220" s="140" t="s">
        <v>996</v>
      </c>
      <c r="N220" s="139">
        <v>1903019</v>
      </c>
      <c r="O220" s="140" t="s">
        <v>996</v>
      </c>
      <c r="P220" s="145">
        <v>190301900</v>
      </c>
      <c r="Q220" s="142" t="s">
        <v>997</v>
      </c>
      <c r="R220" s="145">
        <v>190301900</v>
      </c>
      <c r="S220" s="142" t="s">
        <v>997</v>
      </c>
      <c r="T220" s="145" t="s">
        <v>69</v>
      </c>
      <c r="U220" s="145">
        <v>75</v>
      </c>
      <c r="V220" s="145"/>
      <c r="W220" s="145">
        <v>75</v>
      </c>
      <c r="X220" s="145">
        <v>26</v>
      </c>
      <c r="Y220" s="146">
        <v>2020003630121</v>
      </c>
      <c r="Z220" s="140" t="s">
        <v>993</v>
      </c>
      <c r="AA220" s="140" t="s">
        <v>994</v>
      </c>
      <c r="AB220" s="130"/>
      <c r="AC220" s="130"/>
      <c r="AD220" s="130"/>
      <c r="AE220" s="130"/>
      <c r="AF220" s="130"/>
      <c r="AG220" s="130"/>
      <c r="AH220" s="130"/>
      <c r="AI220" s="130"/>
      <c r="AJ220" s="130"/>
      <c r="AK220" s="138">
        <v>50000000</v>
      </c>
      <c r="AL220" s="138"/>
      <c r="AM220" s="138"/>
      <c r="AN220" s="135"/>
      <c r="AO220" s="135"/>
      <c r="AP220" s="135"/>
      <c r="AQ220" s="130"/>
      <c r="AR220" s="130"/>
      <c r="AS220" s="130"/>
      <c r="AT220" s="135"/>
      <c r="AU220" s="135"/>
      <c r="AV220" s="135"/>
      <c r="AW220" s="130"/>
      <c r="AX220" s="130"/>
      <c r="AY220" s="130"/>
      <c r="AZ220" s="130"/>
      <c r="BA220" s="130"/>
      <c r="BB220" s="130"/>
      <c r="BC220" s="130"/>
      <c r="BD220" s="130"/>
      <c r="BE220" s="130"/>
      <c r="BF220" s="138">
        <f t="shared" si="23"/>
        <v>50000000</v>
      </c>
      <c r="BG220" s="138">
        <f t="shared" si="21"/>
        <v>0</v>
      </c>
      <c r="BH220" s="138">
        <f t="shared" si="22"/>
        <v>0</v>
      </c>
      <c r="BI220" s="149" t="s">
        <v>14</v>
      </c>
    </row>
    <row r="221" spans="1:77" s="320" customFormat="1" ht="55.5" customHeight="1">
      <c r="A221" s="139">
        <v>318</v>
      </c>
      <c r="B221" s="140" t="s">
        <v>932</v>
      </c>
      <c r="C221" s="139">
        <v>1</v>
      </c>
      <c r="D221" s="140" t="s">
        <v>148</v>
      </c>
      <c r="E221" s="139">
        <v>19</v>
      </c>
      <c r="F221" s="140" t="s">
        <v>755</v>
      </c>
      <c r="G221" s="139">
        <v>1903</v>
      </c>
      <c r="H221" s="140" t="s">
        <v>933</v>
      </c>
      <c r="I221" s="139">
        <v>1903</v>
      </c>
      <c r="J221" s="140" t="s">
        <v>934</v>
      </c>
      <c r="K221" s="140" t="s">
        <v>998</v>
      </c>
      <c r="L221" s="139">
        <v>1903028</v>
      </c>
      <c r="M221" s="140" t="s">
        <v>999</v>
      </c>
      <c r="N221" s="139">
        <v>1903028</v>
      </c>
      <c r="O221" s="140" t="s">
        <v>999</v>
      </c>
      <c r="P221" s="145">
        <v>190302800</v>
      </c>
      <c r="Q221" s="142" t="s">
        <v>1000</v>
      </c>
      <c r="R221" s="145">
        <v>190302800</v>
      </c>
      <c r="S221" s="142" t="s">
        <v>1000</v>
      </c>
      <c r="T221" s="145" t="s">
        <v>69</v>
      </c>
      <c r="U221" s="145">
        <v>250</v>
      </c>
      <c r="V221" s="145"/>
      <c r="W221" s="145">
        <v>250</v>
      </c>
      <c r="X221" s="145">
        <v>97</v>
      </c>
      <c r="Y221" s="146">
        <v>2020003630121</v>
      </c>
      <c r="Z221" s="140" t="s">
        <v>993</v>
      </c>
      <c r="AA221" s="140" t="s">
        <v>994</v>
      </c>
      <c r="AB221" s="130"/>
      <c r="AC221" s="130"/>
      <c r="AD221" s="130"/>
      <c r="AE221" s="130"/>
      <c r="AF221" s="130"/>
      <c r="AG221" s="130"/>
      <c r="AH221" s="130"/>
      <c r="AI221" s="130"/>
      <c r="AJ221" s="130"/>
      <c r="AK221" s="138">
        <v>40000000</v>
      </c>
      <c r="AL221" s="138">
        <v>32000000</v>
      </c>
      <c r="AM221" s="138">
        <v>19200000</v>
      </c>
      <c r="AN221" s="130"/>
      <c r="AO221" s="130"/>
      <c r="AP221" s="130"/>
      <c r="AQ221" s="130"/>
      <c r="AR221" s="130"/>
      <c r="AS221" s="130"/>
      <c r="AT221" s="135"/>
      <c r="AU221" s="135"/>
      <c r="AV221" s="135"/>
      <c r="AW221" s="130"/>
      <c r="AX221" s="130"/>
      <c r="AY221" s="130"/>
      <c r="AZ221" s="130"/>
      <c r="BA221" s="130"/>
      <c r="BB221" s="130"/>
      <c r="BC221" s="130"/>
      <c r="BD221" s="130"/>
      <c r="BE221" s="130"/>
      <c r="BF221" s="138">
        <f t="shared" si="23"/>
        <v>40000000</v>
      </c>
      <c r="BG221" s="138">
        <f t="shared" si="21"/>
        <v>32000000</v>
      </c>
      <c r="BH221" s="138">
        <f t="shared" si="22"/>
        <v>19200000</v>
      </c>
      <c r="BI221" s="149" t="s">
        <v>14</v>
      </c>
      <c r="BJ221" s="151"/>
      <c r="BK221" s="151"/>
      <c r="BL221" s="151"/>
      <c r="BM221" s="151"/>
      <c r="BN221" s="151"/>
      <c r="BO221" s="151"/>
      <c r="BP221" s="151"/>
      <c r="BQ221" s="151"/>
      <c r="BR221" s="151"/>
      <c r="BS221" s="151"/>
      <c r="BT221" s="151"/>
      <c r="BU221" s="151"/>
      <c r="BV221" s="151"/>
      <c r="BW221" s="151"/>
      <c r="BX221" s="151"/>
      <c r="BY221" s="151"/>
    </row>
    <row r="222" spans="1:77" s="320" customFormat="1" ht="53.25" customHeight="1">
      <c r="A222" s="139">
        <v>318</v>
      </c>
      <c r="B222" s="140" t="s">
        <v>932</v>
      </c>
      <c r="C222" s="139">
        <v>1</v>
      </c>
      <c r="D222" s="140" t="s">
        <v>148</v>
      </c>
      <c r="E222" s="139">
        <v>19</v>
      </c>
      <c r="F222" s="140" t="s">
        <v>755</v>
      </c>
      <c r="G222" s="139">
        <v>1903</v>
      </c>
      <c r="H222" s="140" t="s">
        <v>933</v>
      </c>
      <c r="I222" s="139">
        <v>1903</v>
      </c>
      <c r="J222" s="140" t="s">
        <v>934</v>
      </c>
      <c r="K222" s="140" t="s">
        <v>1001</v>
      </c>
      <c r="L222" s="139">
        <v>1903025</v>
      </c>
      <c r="M222" s="140" t="s">
        <v>1002</v>
      </c>
      <c r="N222" s="139">
        <v>1903025</v>
      </c>
      <c r="O222" s="140" t="s">
        <v>1002</v>
      </c>
      <c r="P222" s="145">
        <v>190302500</v>
      </c>
      <c r="Q222" s="142" t="s">
        <v>1003</v>
      </c>
      <c r="R222" s="145">
        <v>190302500</v>
      </c>
      <c r="S222" s="142" t="s">
        <v>1003</v>
      </c>
      <c r="T222" s="289" t="s">
        <v>69</v>
      </c>
      <c r="U222" s="145">
        <v>12</v>
      </c>
      <c r="V222" s="145"/>
      <c r="W222" s="145">
        <v>12</v>
      </c>
      <c r="X222" s="145">
        <v>4</v>
      </c>
      <c r="Y222" s="146">
        <v>2020003630121</v>
      </c>
      <c r="Z222" s="140" t="s">
        <v>993</v>
      </c>
      <c r="AA222" s="140" t="s">
        <v>994</v>
      </c>
      <c r="AB222" s="130"/>
      <c r="AC222" s="130"/>
      <c r="AD222" s="130"/>
      <c r="AE222" s="130"/>
      <c r="AF222" s="130"/>
      <c r="AG222" s="130"/>
      <c r="AH222" s="130"/>
      <c r="AI222" s="130"/>
      <c r="AJ222" s="130"/>
      <c r="AK222" s="138">
        <v>49135000</v>
      </c>
      <c r="AL222" s="138">
        <v>25800000</v>
      </c>
      <c r="AM222" s="138">
        <v>14800000</v>
      </c>
      <c r="AN222" s="130"/>
      <c r="AO222" s="130"/>
      <c r="AP222" s="130"/>
      <c r="AQ222" s="130"/>
      <c r="AR222" s="130"/>
      <c r="AS222" s="130"/>
      <c r="AT222" s="135"/>
      <c r="AU222" s="135"/>
      <c r="AV222" s="135"/>
      <c r="AW222" s="130"/>
      <c r="AX222" s="130"/>
      <c r="AY222" s="130"/>
      <c r="AZ222" s="130"/>
      <c r="BA222" s="130"/>
      <c r="BB222" s="130"/>
      <c r="BC222" s="130"/>
      <c r="BD222" s="130"/>
      <c r="BE222" s="130"/>
      <c r="BF222" s="138">
        <f t="shared" si="23"/>
        <v>49135000</v>
      </c>
      <c r="BG222" s="138">
        <f t="shared" si="21"/>
        <v>25800000</v>
      </c>
      <c r="BH222" s="138">
        <f t="shared" si="22"/>
        <v>14800000</v>
      </c>
      <c r="BI222" s="149" t="s">
        <v>14</v>
      </c>
      <c r="BJ222" s="151"/>
      <c r="BK222" s="151"/>
      <c r="BL222" s="151"/>
      <c r="BM222" s="151"/>
      <c r="BN222" s="151"/>
      <c r="BO222" s="151"/>
      <c r="BP222" s="151"/>
      <c r="BQ222" s="151"/>
      <c r="BR222" s="151"/>
      <c r="BS222" s="151"/>
      <c r="BT222" s="151"/>
      <c r="BU222" s="151"/>
      <c r="BV222" s="151"/>
      <c r="BW222" s="151"/>
      <c r="BX222" s="151"/>
      <c r="BY222" s="151"/>
    </row>
    <row r="223" spans="1:77" s="151" customFormat="1" ht="51">
      <c r="A223" s="139">
        <v>318</v>
      </c>
      <c r="B223" s="140" t="s">
        <v>932</v>
      </c>
      <c r="C223" s="139">
        <v>1</v>
      </c>
      <c r="D223" s="140" t="s">
        <v>148</v>
      </c>
      <c r="E223" s="139">
        <v>19</v>
      </c>
      <c r="F223" s="140" t="s">
        <v>755</v>
      </c>
      <c r="G223" s="139">
        <v>1905</v>
      </c>
      <c r="H223" s="140" t="s">
        <v>756</v>
      </c>
      <c r="I223" s="139">
        <v>1905</v>
      </c>
      <c r="J223" s="140" t="s">
        <v>1004</v>
      </c>
      <c r="K223" s="140" t="s">
        <v>945</v>
      </c>
      <c r="L223" s="139">
        <v>1905028</v>
      </c>
      <c r="M223" s="140" t="s">
        <v>1005</v>
      </c>
      <c r="N223" s="139">
        <v>1905028</v>
      </c>
      <c r="O223" s="140" t="s">
        <v>1005</v>
      </c>
      <c r="P223" s="145">
        <v>190502800</v>
      </c>
      <c r="Q223" s="142" t="s">
        <v>1006</v>
      </c>
      <c r="R223" s="145">
        <v>190502800</v>
      </c>
      <c r="S223" s="142" t="s">
        <v>1006</v>
      </c>
      <c r="T223" s="143" t="s">
        <v>69</v>
      </c>
      <c r="U223" s="145">
        <v>12</v>
      </c>
      <c r="V223" s="145"/>
      <c r="W223" s="145">
        <v>12</v>
      </c>
      <c r="X223" s="145">
        <v>11</v>
      </c>
      <c r="Y223" s="146">
        <v>2020003630122</v>
      </c>
      <c r="Z223" s="140" t="s">
        <v>1007</v>
      </c>
      <c r="AA223" s="140" t="s">
        <v>1008</v>
      </c>
      <c r="AB223" s="130"/>
      <c r="AC223" s="130"/>
      <c r="AD223" s="130"/>
      <c r="AE223" s="130"/>
      <c r="AF223" s="130"/>
      <c r="AG223" s="130"/>
      <c r="AH223" s="130">
        <v>25000000</v>
      </c>
      <c r="AI223" s="130">
        <v>20519999</v>
      </c>
      <c r="AJ223" s="130">
        <v>2450000</v>
      </c>
      <c r="AK223" s="130"/>
      <c r="AL223" s="130"/>
      <c r="AM223" s="130"/>
      <c r="AN223" s="130"/>
      <c r="AO223" s="130"/>
      <c r="AP223" s="130"/>
      <c r="AQ223" s="130"/>
      <c r="AR223" s="130"/>
      <c r="AS223" s="130"/>
      <c r="AT223" s="135"/>
      <c r="AU223" s="135"/>
      <c r="AV223" s="135"/>
      <c r="AW223" s="130"/>
      <c r="AX223" s="130"/>
      <c r="AY223" s="130"/>
      <c r="AZ223" s="130"/>
      <c r="BA223" s="130"/>
      <c r="BB223" s="130"/>
      <c r="BC223" s="130"/>
      <c r="BD223" s="130"/>
      <c r="BE223" s="130"/>
      <c r="BF223" s="138">
        <f t="shared" si="23"/>
        <v>25000000</v>
      </c>
      <c r="BG223" s="138">
        <f t="shared" si="21"/>
        <v>20519999</v>
      </c>
      <c r="BH223" s="138">
        <f t="shared" si="22"/>
        <v>2450000</v>
      </c>
      <c r="BI223" s="149" t="s">
        <v>14</v>
      </c>
    </row>
    <row r="224" spans="1:77" s="151" customFormat="1" ht="76.5" customHeight="1">
      <c r="A224" s="139">
        <v>318</v>
      </c>
      <c r="B224" s="140" t="s">
        <v>932</v>
      </c>
      <c r="C224" s="139">
        <v>1</v>
      </c>
      <c r="D224" s="140" t="s">
        <v>148</v>
      </c>
      <c r="E224" s="139">
        <v>19</v>
      </c>
      <c r="F224" s="140" t="s">
        <v>755</v>
      </c>
      <c r="G224" s="139">
        <v>1905</v>
      </c>
      <c r="H224" s="140" t="s">
        <v>756</v>
      </c>
      <c r="I224" s="139">
        <v>1905</v>
      </c>
      <c r="J224" s="140" t="s">
        <v>1004</v>
      </c>
      <c r="K224" s="140" t="s">
        <v>945</v>
      </c>
      <c r="L224" s="139">
        <v>1905031</v>
      </c>
      <c r="M224" s="140" t="s">
        <v>1009</v>
      </c>
      <c r="N224" s="139">
        <v>1905031</v>
      </c>
      <c r="O224" s="140" t="s">
        <v>1009</v>
      </c>
      <c r="P224" s="139">
        <v>190503100</v>
      </c>
      <c r="Q224" s="142" t="s">
        <v>1010</v>
      </c>
      <c r="R224" s="139">
        <v>190503100</v>
      </c>
      <c r="S224" s="142" t="s">
        <v>1010</v>
      </c>
      <c r="T224" s="145" t="s">
        <v>69</v>
      </c>
      <c r="U224" s="145">
        <v>12</v>
      </c>
      <c r="V224" s="145"/>
      <c r="W224" s="145">
        <v>12</v>
      </c>
      <c r="X224" s="145">
        <v>12</v>
      </c>
      <c r="Y224" s="146">
        <v>2020003630122</v>
      </c>
      <c r="Z224" s="140" t="s">
        <v>1007</v>
      </c>
      <c r="AA224" s="140" t="s">
        <v>1008</v>
      </c>
      <c r="AB224" s="130"/>
      <c r="AC224" s="130"/>
      <c r="AD224" s="130"/>
      <c r="AE224" s="130">
        <v>100000000</v>
      </c>
      <c r="AF224" s="130">
        <v>32878332</v>
      </c>
      <c r="AG224" s="130">
        <v>10600000</v>
      </c>
      <c r="AH224" s="130">
        <v>25891929</v>
      </c>
      <c r="AI224" s="130">
        <v>19410000</v>
      </c>
      <c r="AJ224" s="130">
        <v>6400000</v>
      </c>
      <c r="AK224" s="130"/>
      <c r="AL224" s="130"/>
      <c r="AM224" s="130"/>
      <c r="AN224" s="130"/>
      <c r="AO224" s="130"/>
      <c r="AP224" s="130"/>
      <c r="AQ224" s="130"/>
      <c r="AR224" s="130"/>
      <c r="AS224" s="130"/>
      <c r="AT224" s="135"/>
      <c r="AU224" s="135"/>
      <c r="AV224" s="135"/>
      <c r="AW224" s="130"/>
      <c r="AX224" s="130"/>
      <c r="AY224" s="130"/>
      <c r="AZ224" s="130"/>
      <c r="BA224" s="130"/>
      <c r="BB224" s="130"/>
      <c r="BC224" s="130"/>
      <c r="BD224" s="130"/>
      <c r="BE224" s="130"/>
      <c r="BF224" s="138">
        <f t="shared" si="23"/>
        <v>125891929</v>
      </c>
      <c r="BG224" s="138">
        <f t="shared" si="21"/>
        <v>52288332</v>
      </c>
      <c r="BH224" s="138">
        <f t="shared" si="22"/>
        <v>17000000</v>
      </c>
      <c r="BI224" s="149" t="s">
        <v>14</v>
      </c>
    </row>
    <row r="225" spans="1:61" s="151" customFormat="1" ht="71.25" customHeight="1">
      <c r="A225" s="139">
        <v>318</v>
      </c>
      <c r="B225" s="140" t="s">
        <v>932</v>
      </c>
      <c r="C225" s="139">
        <v>1</v>
      </c>
      <c r="D225" s="140" t="s">
        <v>148</v>
      </c>
      <c r="E225" s="139">
        <v>19</v>
      </c>
      <c r="F225" s="140" t="s">
        <v>755</v>
      </c>
      <c r="G225" s="139">
        <v>1905</v>
      </c>
      <c r="H225" s="140" t="s">
        <v>756</v>
      </c>
      <c r="I225" s="139">
        <v>1905</v>
      </c>
      <c r="J225" s="140" t="s">
        <v>1004</v>
      </c>
      <c r="K225" s="140" t="s">
        <v>1011</v>
      </c>
      <c r="L225" s="139">
        <v>1905019</v>
      </c>
      <c r="M225" s="140" t="s">
        <v>1012</v>
      </c>
      <c r="N225" s="139">
        <v>1905019</v>
      </c>
      <c r="O225" s="140" t="s">
        <v>1012</v>
      </c>
      <c r="P225" s="139">
        <v>190501900</v>
      </c>
      <c r="Q225" s="141" t="s">
        <v>350</v>
      </c>
      <c r="R225" s="139">
        <v>190501900</v>
      </c>
      <c r="S225" s="142" t="s">
        <v>350</v>
      </c>
      <c r="T225" s="145" t="s">
        <v>69</v>
      </c>
      <c r="U225" s="145">
        <v>60</v>
      </c>
      <c r="V225" s="145"/>
      <c r="W225" s="145">
        <v>60</v>
      </c>
      <c r="X225" s="145">
        <v>0</v>
      </c>
      <c r="Y225" s="146">
        <v>2020003630123</v>
      </c>
      <c r="Z225" s="140" t="s">
        <v>1013</v>
      </c>
      <c r="AA225" s="140" t="s">
        <v>1014</v>
      </c>
      <c r="AB225" s="130"/>
      <c r="AC225" s="130"/>
      <c r="AD225" s="130"/>
      <c r="AE225" s="130"/>
      <c r="AF225" s="130"/>
      <c r="AG225" s="130"/>
      <c r="AH225" s="131">
        <v>17500000</v>
      </c>
      <c r="AI225" s="131"/>
      <c r="AJ225" s="131"/>
      <c r="AK225" s="130"/>
      <c r="AL225" s="130"/>
      <c r="AM225" s="130"/>
      <c r="AN225" s="130"/>
      <c r="AO225" s="130"/>
      <c r="AP225" s="130"/>
      <c r="AQ225" s="130"/>
      <c r="AR225" s="130"/>
      <c r="AS225" s="130"/>
      <c r="AT225" s="135"/>
      <c r="AU225" s="135"/>
      <c r="AV225" s="135"/>
      <c r="AW225" s="130"/>
      <c r="AX225" s="130"/>
      <c r="AY225" s="130"/>
      <c r="AZ225" s="130"/>
      <c r="BA225" s="130"/>
      <c r="BB225" s="130"/>
      <c r="BC225" s="130"/>
      <c r="BD225" s="130"/>
      <c r="BE225" s="130"/>
      <c r="BF225" s="138">
        <f t="shared" si="23"/>
        <v>17500000</v>
      </c>
      <c r="BG225" s="138">
        <f t="shared" si="21"/>
        <v>0</v>
      </c>
      <c r="BH225" s="138">
        <f t="shared" si="22"/>
        <v>0</v>
      </c>
      <c r="BI225" s="149" t="s">
        <v>14</v>
      </c>
    </row>
    <row r="226" spans="1:61" s="151" customFormat="1" ht="76.5">
      <c r="A226" s="139">
        <v>318</v>
      </c>
      <c r="B226" s="140" t="s">
        <v>932</v>
      </c>
      <c r="C226" s="139">
        <v>1</v>
      </c>
      <c r="D226" s="140" t="s">
        <v>148</v>
      </c>
      <c r="E226" s="139">
        <v>19</v>
      </c>
      <c r="F226" s="140" t="s">
        <v>755</v>
      </c>
      <c r="G226" s="139">
        <v>1905</v>
      </c>
      <c r="H226" s="140" t="s">
        <v>756</v>
      </c>
      <c r="I226" s="139">
        <v>1905</v>
      </c>
      <c r="J226" s="140" t="s">
        <v>1004</v>
      </c>
      <c r="K226" s="140" t="s">
        <v>1015</v>
      </c>
      <c r="L226" s="139" t="s">
        <v>61</v>
      </c>
      <c r="M226" s="140" t="s">
        <v>1016</v>
      </c>
      <c r="N226" s="139">
        <v>1905031</v>
      </c>
      <c r="O226" s="140" t="s">
        <v>1017</v>
      </c>
      <c r="P226" s="139" t="s">
        <v>1018</v>
      </c>
      <c r="Q226" s="142" t="s">
        <v>1019</v>
      </c>
      <c r="R226" s="139">
        <v>190503100</v>
      </c>
      <c r="S226" s="142" t="s">
        <v>1020</v>
      </c>
      <c r="T226" s="143" t="s">
        <v>69</v>
      </c>
      <c r="U226" s="145">
        <v>11</v>
      </c>
      <c r="V226" s="145"/>
      <c r="W226" s="145">
        <v>11</v>
      </c>
      <c r="X226" s="145">
        <v>0</v>
      </c>
      <c r="Y226" s="146">
        <v>2020003630123</v>
      </c>
      <c r="Z226" s="141" t="s">
        <v>1013</v>
      </c>
      <c r="AA226" s="140" t="s">
        <v>1014</v>
      </c>
      <c r="AB226" s="130"/>
      <c r="AC226" s="130"/>
      <c r="AD226" s="130"/>
      <c r="AE226" s="130"/>
      <c r="AF226" s="130"/>
      <c r="AG226" s="130"/>
      <c r="AH226" s="130">
        <v>27500000</v>
      </c>
      <c r="AI226" s="130">
        <v>9960000</v>
      </c>
      <c r="AJ226" s="130">
        <v>3600000</v>
      </c>
      <c r="AK226" s="130"/>
      <c r="AL226" s="130"/>
      <c r="AM226" s="130"/>
      <c r="AN226" s="130"/>
      <c r="AO226" s="130"/>
      <c r="AP226" s="130"/>
      <c r="AQ226" s="130"/>
      <c r="AR226" s="130"/>
      <c r="AS226" s="130"/>
      <c r="AT226" s="135"/>
      <c r="AU226" s="135"/>
      <c r="AV226" s="135"/>
      <c r="AW226" s="130"/>
      <c r="AX226" s="130"/>
      <c r="AY226" s="130"/>
      <c r="AZ226" s="130"/>
      <c r="BA226" s="130"/>
      <c r="BB226" s="130"/>
      <c r="BC226" s="130"/>
      <c r="BD226" s="130"/>
      <c r="BE226" s="130"/>
      <c r="BF226" s="138">
        <f t="shared" si="23"/>
        <v>27500000</v>
      </c>
      <c r="BG226" s="138">
        <f t="shared" si="21"/>
        <v>9960000</v>
      </c>
      <c r="BH226" s="138">
        <f t="shared" si="22"/>
        <v>3600000</v>
      </c>
      <c r="BI226" s="149" t="s">
        <v>14</v>
      </c>
    </row>
    <row r="227" spans="1:61" s="151" customFormat="1" ht="51">
      <c r="A227" s="139">
        <v>318</v>
      </c>
      <c r="B227" s="140" t="s">
        <v>932</v>
      </c>
      <c r="C227" s="139">
        <v>1</v>
      </c>
      <c r="D227" s="140" t="s">
        <v>148</v>
      </c>
      <c r="E227" s="139">
        <v>19</v>
      </c>
      <c r="F227" s="140" t="s">
        <v>755</v>
      </c>
      <c r="G227" s="139">
        <v>1905</v>
      </c>
      <c r="H227" s="140" t="s">
        <v>756</v>
      </c>
      <c r="I227" s="139">
        <v>1905</v>
      </c>
      <c r="J227" s="140" t="s">
        <v>1004</v>
      </c>
      <c r="K227" s="142" t="s">
        <v>1021</v>
      </c>
      <c r="L227" s="139" t="s">
        <v>61</v>
      </c>
      <c r="M227" s="140" t="s">
        <v>1022</v>
      </c>
      <c r="N227" s="139">
        <v>1905015</v>
      </c>
      <c r="O227" s="140" t="s">
        <v>253</v>
      </c>
      <c r="P227" s="139" t="s">
        <v>61</v>
      </c>
      <c r="Q227" s="142" t="s">
        <v>1023</v>
      </c>
      <c r="R227" s="139">
        <v>190501500</v>
      </c>
      <c r="S227" s="142" t="s">
        <v>255</v>
      </c>
      <c r="T227" s="145" t="s">
        <v>69</v>
      </c>
      <c r="U227" s="145">
        <v>1</v>
      </c>
      <c r="V227" s="145"/>
      <c r="W227" s="145">
        <v>1</v>
      </c>
      <c r="X227" s="145">
        <v>0</v>
      </c>
      <c r="Y227" s="146">
        <v>2020003630123</v>
      </c>
      <c r="Z227" s="140" t="s">
        <v>1013</v>
      </c>
      <c r="AA227" s="140" t="s">
        <v>1014</v>
      </c>
      <c r="AB227" s="130"/>
      <c r="AC227" s="130"/>
      <c r="AD227" s="130"/>
      <c r="AE227" s="130"/>
      <c r="AF227" s="130"/>
      <c r="AG227" s="130"/>
      <c r="AH227" s="131">
        <v>65000000</v>
      </c>
      <c r="AI227" s="131"/>
      <c r="AJ227" s="131"/>
      <c r="AK227" s="130"/>
      <c r="AL227" s="130"/>
      <c r="AM227" s="130"/>
      <c r="AN227" s="130"/>
      <c r="AO227" s="130"/>
      <c r="AP227" s="130"/>
      <c r="AQ227" s="130"/>
      <c r="AR227" s="130"/>
      <c r="AS227" s="130"/>
      <c r="AT227" s="135"/>
      <c r="AU227" s="135"/>
      <c r="AV227" s="135"/>
      <c r="AW227" s="130"/>
      <c r="AX227" s="130"/>
      <c r="AY227" s="130"/>
      <c r="AZ227" s="130"/>
      <c r="BA227" s="130"/>
      <c r="BB227" s="130"/>
      <c r="BC227" s="130"/>
      <c r="BD227" s="130"/>
      <c r="BE227" s="130"/>
      <c r="BF227" s="138">
        <f t="shared" si="23"/>
        <v>65000000</v>
      </c>
      <c r="BG227" s="138">
        <f t="shared" si="21"/>
        <v>0</v>
      </c>
      <c r="BH227" s="138">
        <f t="shared" si="22"/>
        <v>0</v>
      </c>
      <c r="BI227" s="149" t="s">
        <v>14</v>
      </c>
    </row>
    <row r="228" spans="1:61" s="151" customFormat="1" ht="63.75">
      <c r="A228" s="139">
        <v>318</v>
      </c>
      <c r="B228" s="140" t="s">
        <v>932</v>
      </c>
      <c r="C228" s="139">
        <v>1</v>
      </c>
      <c r="D228" s="140" t="s">
        <v>148</v>
      </c>
      <c r="E228" s="139">
        <v>19</v>
      </c>
      <c r="F228" s="140" t="s">
        <v>755</v>
      </c>
      <c r="G228" s="139">
        <v>1905</v>
      </c>
      <c r="H228" s="140" t="s">
        <v>756</v>
      </c>
      <c r="I228" s="139">
        <v>1905</v>
      </c>
      <c r="J228" s="140" t="s">
        <v>1004</v>
      </c>
      <c r="K228" s="140" t="s">
        <v>948</v>
      </c>
      <c r="L228" s="139" t="s">
        <v>61</v>
      </c>
      <c r="M228" s="140" t="s">
        <v>1024</v>
      </c>
      <c r="N228" s="139">
        <v>1905024</v>
      </c>
      <c r="O228" s="140" t="s">
        <v>1025</v>
      </c>
      <c r="P228" s="139" t="s">
        <v>61</v>
      </c>
      <c r="Q228" s="142" t="s">
        <v>1026</v>
      </c>
      <c r="R228" s="139">
        <v>190502400</v>
      </c>
      <c r="S228" s="142" t="s">
        <v>1027</v>
      </c>
      <c r="T228" s="145" t="s">
        <v>157</v>
      </c>
      <c r="U228" s="145">
        <v>3</v>
      </c>
      <c r="V228" s="145"/>
      <c r="W228" s="145">
        <v>3</v>
      </c>
      <c r="X228" s="145">
        <v>1</v>
      </c>
      <c r="Y228" s="146">
        <v>2020003630123</v>
      </c>
      <c r="Z228" s="141" t="s">
        <v>1013</v>
      </c>
      <c r="AA228" s="140" t="s">
        <v>1014</v>
      </c>
      <c r="AB228" s="130"/>
      <c r="AC228" s="130"/>
      <c r="AD228" s="130"/>
      <c r="AE228" s="130"/>
      <c r="AF228" s="130"/>
      <c r="AG228" s="130"/>
      <c r="AH228" s="131">
        <v>70000000</v>
      </c>
      <c r="AI228" s="131">
        <v>37453332</v>
      </c>
      <c r="AJ228" s="131">
        <v>7600000</v>
      </c>
      <c r="AK228" s="130"/>
      <c r="AL228" s="130"/>
      <c r="AM228" s="130"/>
      <c r="AN228" s="130"/>
      <c r="AO228" s="130"/>
      <c r="AP228" s="130"/>
      <c r="AQ228" s="130"/>
      <c r="AR228" s="130"/>
      <c r="AS228" s="130"/>
      <c r="AT228" s="135"/>
      <c r="AU228" s="135"/>
      <c r="AV228" s="135"/>
      <c r="AW228" s="130"/>
      <c r="AX228" s="130"/>
      <c r="AY228" s="130"/>
      <c r="AZ228" s="130"/>
      <c r="BA228" s="130"/>
      <c r="BB228" s="130"/>
      <c r="BC228" s="130"/>
      <c r="BD228" s="130"/>
      <c r="BE228" s="130"/>
      <c r="BF228" s="138">
        <f t="shared" si="23"/>
        <v>70000000</v>
      </c>
      <c r="BG228" s="138">
        <f t="shared" si="21"/>
        <v>37453332</v>
      </c>
      <c r="BH228" s="138">
        <f t="shared" si="22"/>
        <v>7600000</v>
      </c>
      <c r="BI228" s="149" t="s">
        <v>14</v>
      </c>
    </row>
    <row r="229" spans="1:61" s="151" customFormat="1" ht="38.25">
      <c r="A229" s="139">
        <v>318</v>
      </c>
      <c r="B229" s="140" t="s">
        <v>932</v>
      </c>
      <c r="C229" s="139">
        <v>1</v>
      </c>
      <c r="D229" s="140" t="s">
        <v>148</v>
      </c>
      <c r="E229" s="139">
        <v>19</v>
      </c>
      <c r="F229" s="140" t="s">
        <v>755</v>
      </c>
      <c r="G229" s="139">
        <v>1905</v>
      </c>
      <c r="H229" s="140" t="s">
        <v>756</v>
      </c>
      <c r="I229" s="139">
        <v>1905</v>
      </c>
      <c r="J229" s="140" t="s">
        <v>1004</v>
      </c>
      <c r="K229" s="140" t="s">
        <v>1021</v>
      </c>
      <c r="L229" s="139" t="s">
        <v>61</v>
      </c>
      <c r="M229" s="140" t="s">
        <v>1028</v>
      </c>
      <c r="N229" s="139">
        <v>1905015</v>
      </c>
      <c r="O229" s="140" t="s">
        <v>253</v>
      </c>
      <c r="P229" s="139" t="s">
        <v>61</v>
      </c>
      <c r="Q229" s="142" t="s">
        <v>1029</v>
      </c>
      <c r="R229" s="139">
        <v>190501500</v>
      </c>
      <c r="S229" s="142" t="s">
        <v>255</v>
      </c>
      <c r="T229" s="143" t="s">
        <v>157</v>
      </c>
      <c r="U229" s="145">
        <v>2</v>
      </c>
      <c r="V229" s="145">
        <v>1</v>
      </c>
      <c r="W229" s="145">
        <v>3</v>
      </c>
      <c r="X229" s="145">
        <v>1</v>
      </c>
      <c r="Y229" s="146">
        <v>2020003630123</v>
      </c>
      <c r="Z229" s="141" t="s">
        <v>1013</v>
      </c>
      <c r="AA229" s="140" t="s">
        <v>1014</v>
      </c>
      <c r="AB229" s="130"/>
      <c r="AC229" s="130"/>
      <c r="AD229" s="130"/>
      <c r="AE229" s="130"/>
      <c r="AF229" s="130"/>
      <c r="AG229" s="130"/>
      <c r="AH229" s="131">
        <v>35000000</v>
      </c>
      <c r="AI229" s="131"/>
      <c r="AJ229" s="131"/>
      <c r="AK229" s="130"/>
      <c r="AL229" s="130"/>
      <c r="AM229" s="130"/>
      <c r="AN229" s="130"/>
      <c r="AO229" s="130"/>
      <c r="AP229" s="130"/>
      <c r="AQ229" s="130"/>
      <c r="AR229" s="130"/>
      <c r="AS229" s="130"/>
      <c r="AT229" s="135"/>
      <c r="AU229" s="135"/>
      <c r="AV229" s="135"/>
      <c r="AW229" s="130"/>
      <c r="AX229" s="130"/>
      <c r="AY229" s="130"/>
      <c r="AZ229" s="130"/>
      <c r="BA229" s="130"/>
      <c r="BB229" s="130"/>
      <c r="BC229" s="130"/>
      <c r="BD229" s="130"/>
      <c r="BE229" s="130"/>
      <c r="BF229" s="138">
        <f t="shared" si="23"/>
        <v>35000000</v>
      </c>
      <c r="BG229" s="138">
        <f t="shared" si="21"/>
        <v>0</v>
      </c>
      <c r="BH229" s="138">
        <f t="shared" si="22"/>
        <v>0</v>
      </c>
      <c r="BI229" s="149" t="s">
        <v>14</v>
      </c>
    </row>
    <row r="230" spans="1:61" s="151" customFormat="1" ht="76.5">
      <c r="A230" s="139">
        <v>318</v>
      </c>
      <c r="B230" s="140" t="s">
        <v>932</v>
      </c>
      <c r="C230" s="139">
        <v>1</v>
      </c>
      <c r="D230" s="140" t="s">
        <v>148</v>
      </c>
      <c r="E230" s="139">
        <v>19</v>
      </c>
      <c r="F230" s="140" t="s">
        <v>755</v>
      </c>
      <c r="G230" s="139">
        <v>1905</v>
      </c>
      <c r="H230" s="140" t="s">
        <v>756</v>
      </c>
      <c r="I230" s="139">
        <v>1905</v>
      </c>
      <c r="J230" s="140" t="s">
        <v>1004</v>
      </c>
      <c r="K230" s="140" t="s">
        <v>948</v>
      </c>
      <c r="L230" s="139" t="s">
        <v>61</v>
      </c>
      <c r="M230" s="140" t="s">
        <v>1030</v>
      </c>
      <c r="N230" s="139">
        <v>1905024</v>
      </c>
      <c r="O230" s="140" t="s">
        <v>1025</v>
      </c>
      <c r="P230" s="139" t="s">
        <v>61</v>
      </c>
      <c r="Q230" s="142" t="s">
        <v>1031</v>
      </c>
      <c r="R230" s="145">
        <v>190502400</v>
      </c>
      <c r="S230" s="142" t="s">
        <v>1027</v>
      </c>
      <c r="T230" s="145" t="s">
        <v>69</v>
      </c>
      <c r="U230" s="145">
        <v>12</v>
      </c>
      <c r="V230" s="145"/>
      <c r="W230" s="145">
        <v>12</v>
      </c>
      <c r="X230" s="145">
        <v>0</v>
      </c>
      <c r="Y230" s="146">
        <v>2020003630123</v>
      </c>
      <c r="Z230" s="140" t="s">
        <v>1013</v>
      </c>
      <c r="AA230" s="140" t="s">
        <v>1014</v>
      </c>
      <c r="AB230" s="130"/>
      <c r="AC230" s="130"/>
      <c r="AD230" s="130"/>
      <c r="AE230" s="130"/>
      <c r="AF230" s="130"/>
      <c r="AG230" s="130"/>
      <c r="AH230" s="131">
        <v>35000000</v>
      </c>
      <c r="AI230" s="131">
        <v>7466667</v>
      </c>
      <c r="AJ230" s="131">
        <v>2800000</v>
      </c>
      <c r="AK230" s="130"/>
      <c r="AL230" s="130"/>
      <c r="AM230" s="130"/>
      <c r="AN230" s="130"/>
      <c r="AO230" s="130"/>
      <c r="AP230" s="130"/>
      <c r="AQ230" s="130"/>
      <c r="AR230" s="130"/>
      <c r="AS230" s="130"/>
      <c r="AT230" s="135"/>
      <c r="AU230" s="135"/>
      <c r="AV230" s="135"/>
      <c r="AW230" s="130"/>
      <c r="AX230" s="130"/>
      <c r="AY230" s="130"/>
      <c r="AZ230" s="130"/>
      <c r="BA230" s="130"/>
      <c r="BB230" s="130"/>
      <c r="BC230" s="130"/>
      <c r="BD230" s="130"/>
      <c r="BE230" s="130"/>
      <c r="BF230" s="138">
        <f t="shared" si="23"/>
        <v>35000000</v>
      </c>
      <c r="BG230" s="138">
        <f t="shared" si="21"/>
        <v>7466667</v>
      </c>
      <c r="BH230" s="138">
        <f t="shared" si="22"/>
        <v>2800000</v>
      </c>
      <c r="BI230" s="149" t="s">
        <v>14</v>
      </c>
    </row>
    <row r="231" spans="1:61" s="151" customFormat="1" ht="51">
      <c r="A231" s="139">
        <v>318</v>
      </c>
      <c r="B231" s="140" t="s">
        <v>932</v>
      </c>
      <c r="C231" s="139">
        <v>1</v>
      </c>
      <c r="D231" s="140" t="s">
        <v>148</v>
      </c>
      <c r="E231" s="139">
        <v>19</v>
      </c>
      <c r="F231" s="140" t="s">
        <v>755</v>
      </c>
      <c r="G231" s="139">
        <v>1905</v>
      </c>
      <c r="H231" s="140" t="s">
        <v>756</v>
      </c>
      <c r="I231" s="139">
        <v>1905</v>
      </c>
      <c r="J231" s="140" t="s">
        <v>1004</v>
      </c>
      <c r="K231" s="140" t="s">
        <v>982</v>
      </c>
      <c r="L231" s="139" t="s">
        <v>61</v>
      </c>
      <c r="M231" s="140" t="s">
        <v>1032</v>
      </c>
      <c r="N231" s="139">
        <v>1905024</v>
      </c>
      <c r="O231" s="140" t="s">
        <v>1025</v>
      </c>
      <c r="P231" s="139" t="s">
        <v>61</v>
      </c>
      <c r="Q231" s="142" t="s">
        <v>1033</v>
      </c>
      <c r="R231" s="145">
        <v>190502401</v>
      </c>
      <c r="S231" s="142" t="s">
        <v>1034</v>
      </c>
      <c r="T231" s="145" t="s">
        <v>157</v>
      </c>
      <c r="U231" s="145">
        <v>2</v>
      </c>
      <c r="V231" s="145"/>
      <c r="W231" s="145">
        <v>2</v>
      </c>
      <c r="X231" s="145">
        <v>1</v>
      </c>
      <c r="Y231" s="146">
        <v>2020003630123</v>
      </c>
      <c r="Z231" s="140" t="s">
        <v>1013</v>
      </c>
      <c r="AA231" s="140" t="s">
        <v>1014</v>
      </c>
      <c r="AB231" s="130"/>
      <c r="AC231" s="130"/>
      <c r="AD231" s="130"/>
      <c r="AE231" s="130"/>
      <c r="AF231" s="130"/>
      <c r="AG231" s="130"/>
      <c r="AH231" s="131">
        <v>35000000</v>
      </c>
      <c r="AI231" s="131">
        <v>7466667</v>
      </c>
      <c r="AJ231" s="131">
        <v>2800000</v>
      </c>
      <c r="AK231" s="130"/>
      <c r="AL231" s="130"/>
      <c r="AM231" s="130"/>
      <c r="AN231" s="130"/>
      <c r="AO231" s="130"/>
      <c r="AP231" s="130"/>
      <c r="AQ231" s="130"/>
      <c r="AR231" s="130"/>
      <c r="AS231" s="130"/>
      <c r="AT231" s="135"/>
      <c r="AU231" s="135"/>
      <c r="AV231" s="135"/>
      <c r="AW231" s="130"/>
      <c r="AX231" s="130"/>
      <c r="AY231" s="130"/>
      <c r="AZ231" s="130"/>
      <c r="BA231" s="130"/>
      <c r="BB231" s="130"/>
      <c r="BC231" s="130"/>
      <c r="BD231" s="130"/>
      <c r="BE231" s="130"/>
      <c r="BF231" s="138">
        <f t="shared" si="23"/>
        <v>35000000</v>
      </c>
      <c r="BG231" s="138">
        <f t="shared" si="21"/>
        <v>7466667</v>
      </c>
      <c r="BH231" s="138">
        <f t="shared" si="22"/>
        <v>2800000</v>
      </c>
      <c r="BI231" s="149" t="s">
        <v>14</v>
      </c>
    </row>
    <row r="232" spans="1:61" s="151" customFormat="1" ht="169.5" customHeight="1">
      <c r="A232" s="139">
        <v>318</v>
      </c>
      <c r="B232" s="140" t="s">
        <v>932</v>
      </c>
      <c r="C232" s="139">
        <v>1</v>
      </c>
      <c r="D232" s="140" t="s">
        <v>148</v>
      </c>
      <c r="E232" s="139">
        <v>19</v>
      </c>
      <c r="F232" s="140" t="s">
        <v>755</v>
      </c>
      <c r="G232" s="139">
        <v>1905</v>
      </c>
      <c r="H232" s="140" t="s">
        <v>756</v>
      </c>
      <c r="I232" s="139">
        <v>1905</v>
      </c>
      <c r="J232" s="140" t="s">
        <v>1004</v>
      </c>
      <c r="K232" s="140" t="s">
        <v>758</v>
      </c>
      <c r="L232" s="139">
        <v>1905021</v>
      </c>
      <c r="M232" s="140" t="s">
        <v>759</v>
      </c>
      <c r="N232" s="139">
        <v>1905021</v>
      </c>
      <c r="O232" s="140" t="s">
        <v>759</v>
      </c>
      <c r="P232" s="145">
        <v>190502100</v>
      </c>
      <c r="Q232" s="142" t="s">
        <v>760</v>
      </c>
      <c r="R232" s="145">
        <v>190502100</v>
      </c>
      <c r="S232" s="142" t="s">
        <v>760</v>
      </c>
      <c r="T232" s="143" t="s">
        <v>69</v>
      </c>
      <c r="U232" s="145">
        <v>12</v>
      </c>
      <c r="V232" s="145"/>
      <c r="W232" s="145">
        <v>12</v>
      </c>
      <c r="X232" s="145">
        <v>4</v>
      </c>
      <c r="Y232" s="146">
        <v>2020003630124</v>
      </c>
      <c r="Z232" s="140" t="s">
        <v>1035</v>
      </c>
      <c r="AA232" s="140" t="s">
        <v>1036</v>
      </c>
      <c r="AB232" s="130"/>
      <c r="AC232" s="130"/>
      <c r="AD232" s="130"/>
      <c r="AE232" s="130"/>
      <c r="AF232" s="130"/>
      <c r="AG232" s="130"/>
      <c r="AH232" s="131">
        <v>100000000</v>
      </c>
      <c r="AI232" s="131">
        <v>61814998</v>
      </c>
      <c r="AJ232" s="131">
        <v>12950000</v>
      </c>
      <c r="AK232" s="130"/>
      <c r="AL232" s="130"/>
      <c r="AM232" s="130"/>
      <c r="AN232" s="130"/>
      <c r="AO232" s="130"/>
      <c r="AP232" s="130"/>
      <c r="AQ232" s="130"/>
      <c r="AR232" s="130"/>
      <c r="AS232" s="130"/>
      <c r="AT232" s="135"/>
      <c r="AU232" s="135"/>
      <c r="AV232" s="135"/>
      <c r="AW232" s="130"/>
      <c r="AX232" s="130"/>
      <c r="AY232" s="130"/>
      <c r="AZ232" s="130"/>
      <c r="BA232" s="130"/>
      <c r="BB232" s="130"/>
      <c r="BC232" s="130"/>
      <c r="BD232" s="130"/>
      <c r="BE232" s="130"/>
      <c r="BF232" s="138">
        <f t="shared" si="23"/>
        <v>100000000</v>
      </c>
      <c r="BG232" s="138">
        <f t="shared" si="21"/>
        <v>61814998</v>
      </c>
      <c r="BH232" s="138">
        <f t="shared" si="22"/>
        <v>12950000</v>
      </c>
      <c r="BI232" s="149" t="s">
        <v>14</v>
      </c>
    </row>
    <row r="233" spans="1:61" s="151" customFormat="1" ht="76.5">
      <c r="A233" s="139">
        <v>318</v>
      </c>
      <c r="B233" s="140" t="s">
        <v>932</v>
      </c>
      <c r="C233" s="139">
        <v>1</v>
      </c>
      <c r="D233" s="140" t="s">
        <v>148</v>
      </c>
      <c r="E233" s="139">
        <v>19</v>
      </c>
      <c r="F233" s="140" t="s">
        <v>755</v>
      </c>
      <c r="G233" s="139">
        <v>1905</v>
      </c>
      <c r="H233" s="140" t="s">
        <v>756</v>
      </c>
      <c r="I233" s="139">
        <v>1905</v>
      </c>
      <c r="J233" s="140" t="s">
        <v>1004</v>
      </c>
      <c r="K233" s="140" t="s">
        <v>1015</v>
      </c>
      <c r="L233" s="139" t="s">
        <v>61</v>
      </c>
      <c r="M233" s="140" t="s">
        <v>1037</v>
      </c>
      <c r="N233" s="139">
        <v>1905021</v>
      </c>
      <c r="O233" s="140" t="s">
        <v>1038</v>
      </c>
      <c r="P233" s="139" t="s">
        <v>61</v>
      </c>
      <c r="Q233" s="142" t="s">
        <v>1019</v>
      </c>
      <c r="R233" s="139">
        <v>190502100</v>
      </c>
      <c r="S233" s="142" t="s">
        <v>1039</v>
      </c>
      <c r="T233" s="143" t="s">
        <v>69</v>
      </c>
      <c r="U233" s="145">
        <v>11</v>
      </c>
      <c r="V233" s="145"/>
      <c r="W233" s="145">
        <v>11</v>
      </c>
      <c r="X233" s="145">
        <v>11</v>
      </c>
      <c r="Y233" s="146">
        <v>2020003630124</v>
      </c>
      <c r="Z233" s="140" t="s">
        <v>1035</v>
      </c>
      <c r="AA233" s="140" t="s">
        <v>1036</v>
      </c>
      <c r="AB233" s="130"/>
      <c r="AC233" s="130"/>
      <c r="AD233" s="130"/>
      <c r="AE233" s="130"/>
      <c r="AF233" s="130"/>
      <c r="AG233" s="130"/>
      <c r="AH233" s="131">
        <v>100000000</v>
      </c>
      <c r="AI233" s="131">
        <v>25464999</v>
      </c>
      <c r="AJ233" s="131">
        <v>6250000</v>
      </c>
      <c r="AK233" s="130"/>
      <c r="AL233" s="130"/>
      <c r="AM233" s="130"/>
      <c r="AN233" s="130"/>
      <c r="AO233" s="130"/>
      <c r="AP233" s="130"/>
      <c r="AQ233" s="130"/>
      <c r="AR233" s="130"/>
      <c r="AS233" s="130"/>
      <c r="AT233" s="135"/>
      <c r="AU233" s="135"/>
      <c r="AV233" s="135"/>
      <c r="AW233" s="130"/>
      <c r="AX233" s="130"/>
      <c r="AY233" s="130"/>
      <c r="AZ233" s="130"/>
      <c r="BA233" s="130"/>
      <c r="BB233" s="130"/>
      <c r="BC233" s="130"/>
      <c r="BD233" s="130"/>
      <c r="BE233" s="130"/>
      <c r="BF233" s="138">
        <f t="shared" si="23"/>
        <v>100000000</v>
      </c>
      <c r="BG233" s="138">
        <f t="shared" si="21"/>
        <v>25464999</v>
      </c>
      <c r="BH233" s="138">
        <f t="shared" si="22"/>
        <v>6250000</v>
      </c>
      <c r="BI233" s="149" t="s">
        <v>14</v>
      </c>
    </row>
    <row r="234" spans="1:61" s="151" customFormat="1" ht="57" customHeight="1">
      <c r="A234" s="139">
        <v>318</v>
      </c>
      <c r="B234" s="140" t="s">
        <v>932</v>
      </c>
      <c r="C234" s="139">
        <v>1</v>
      </c>
      <c r="D234" s="140" t="s">
        <v>148</v>
      </c>
      <c r="E234" s="139">
        <v>19</v>
      </c>
      <c r="F234" s="140" t="s">
        <v>755</v>
      </c>
      <c r="G234" s="139">
        <v>1905</v>
      </c>
      <c r="H234" s="140" t="s">
        <v>756</v>
      </c>
      <c r="I234" s="139">
        <v>1905</v>
      </c>
      <c r="J234" s="140" t="s">
        <v>1004</v>
      </c>
      <c r="K234" s="140" t="s">
        <v>1001</v>
      </c>
      <c r="L234" s="139">
        <v>1905020</v>
      </c>
      <c r="M234" s="140" t="s">
        <v>1040</v>
      </c>
      <c r="N234" s="292">
        <v>1905020</v>
      </c>
      <c r="O234" s="140" t="s">
        <v>1040</v>
      </c>
      <c r="P234" s="145">
        <v>190502000</v>
      </c>
      <c r="Q234" s="142" t="s">
        <v>1041</v>
      </c>
      <c r="R234" s="145">
        <v>190502000</v>
      </c>
      <c r="S234" s="142" t="s">
        <v>1041</v>
      </c>
      <c r="T234" s="145" t="s">
        <v>69</v>
      </c>
      <c r="U234" s="145">
        <v>12</v>
      </c>
      <c r="V234" s="145"/>
      <c r="W234" s="145">
        <v>12</v>
      </c>
      <c r="X234" s="145">
        <v>0</v>
      </c>
      <c r="Y234" s="146">
        <v>2020003630125</v>
      </c>
      <c r="Z234" s="141" t="s">
        <v>1042</v>
      </c>
      <c r="AA234" s="140" t="s">
        <v>1043</v>
      </c>
      <c r="AB234" s="130"/>
      <c r="AC234" s="130"/>
      <c r="AD234" s="130"/>
      <c r="AE234" s="130"/>
      <c r="AF234" s="130"/>
      <c r="AG234" s="130"/>
      <c r="AH234" s="135">
        <v>50000000</v>
      </c>
      <c r="AI234" s="135">
        <v>21193334</v>
      </c>
      <c r="AJ234" s="135">
        <v>10200000</v>
      </c>
      <c r="AK234" s="130"/>
      <c r="AL234" s="130"/>
      <c r="AM234" s="130"/>
      <c r="AN234" s="130"/>
      <c r="AO234" s="130"/>
      <c r="AP234" s="130"/>
      <c r="AQ234" s="130"/>
      <c r="AR234" s="130"/>
      <c r="AS234" s="130"/>
      <c r="AT234" s="135"/>
      <c r="AU234" s="135"/>
      <c r="AV234" s="135"/>
      <c r="AW234" s="130"/>
      <c r="AX234" s="130"/>
      <c r="AY234" s="130"/>
      <c r="AZ234" s="130"/>
      <c r="BA234" s="130"/>
      <c r="BB234" s="130"/>
      <c r="BC234" s="130"/>
      <c r="BD234" s="130"/>
      <c r="BE234" s="130"/>
      <c r="BF234" s="138">
        <f t="shared" ref="BF234:BF260" si="24">AB234+AE234+AH234+AK234+AN234+AQ234+AT234+AW234+BC234+AZ234</f>
        <v>50000000</v>
      </c>
      <c r="BG234" s="138">
        <f t="shared" si="21"/>
        <v>21193334</v>
      </c>
      <c r="BH234" s="138">
        <f t="shared" si="22"/>
        <v>10200000</v>
      </c>
      <c r="BI234" s="149" t="s">
        <v>14</v>
      </c>
    </row>
    <row r="235" spans="1:61" s="151" customFormat="1" ht="123.75" customHeight="1">
      <c r="A235" s="139">
        <v>318</v>
      </c>
      <c r="B235" s="140" t="s">
        <v>932</v>
      </c>
      <c r="C235" s="139">
        <v>1</v>
      </c>
      <c r="D235" s="140" t="s">
        <v>148</v>
      </c>
      <c r="E235" s="139">
        <v>19</v>
      </c>
      <c r="F235" s="140" t="s">
        <v>755</v>
      </c>
      <c r="G235" s="139">
        <v>1905</v>
      </c>
      <c r="H235" s="140" t="s">
        <v>756</v>
      </c>
      <c r="I235" s="139">
        <v>1905</v>
      </c>
      <c r="J235" s="140" t="s">
        <v>1004</v>
      </c>
      <c r="K235" s="140" t="s">
        <v>763</v>
      </c>
      <c r="L235" s="139">
        <v>1905022</v>
      </c>
      <c r="M235" s="140" t="s">
        <v>764</v>
      </c>
      <c r="N235" s="292">
        <v>1905022</v>
      </c>
      <c r="O235" s="140" t="s">
        <v>764</v>
      </c>
      <c r="P235" s="145">
        <v>190502200</v>
      </c>
      <c r="Q235" s="142" t="s">
        <v>765</v>
      </c>
      <c r="R235" s="145">
        <v>190502200</v>
      </c>
      <c r="S235" s="142" t="s">
        <v>765</v>
      </c>
      <c r="T235" s="145" t="s">
        <v>69</v>
      </c>
      <c r="U235" s="145">
        <v>12</v>
      </c>
      <c r="V235" s="145"/>
      <c r="W235" s="145">
        <v>12</v>
      </c>
      <c r="X235" s="145">
        <v>11</v>
      </c>
      <c r="Y235" s="146">
        <v>2020003630125</v>
      </c>
      <c r="Z235" s="140" t="s">
        <v>1042</v>
      </c>
      <c r="AA235" s="140" t="s">
        <v>1043</v>
      </c>
      <c r="AB235" s="130"/>
      <c r="AC235" s="130"/>
      <c r="AD235" s="130"/>
      <c r="AE235" s="130"/>
      <c r="AF235" s="130"/>
      <c r="AG235" s="130"/>
      <c r="AH235" s="135">
        <v>57413133</v>
      </c>
      <c r="AI235" s="135">
        <v>23303000</v>
      </c>
      <c r="AJ235" s="135">
        <v>8300000</v>
      </c>
      <c r="AK235" s="130"/>
      <c r="AL235" s="130"/>
      <c r="AM235" s="130"/>
      <c r="AN235" s="130"/>
      <c r="AO235" s="130"/>
      <c r="AP235" s="130"/>
      <c r="AQ235" s="130"/>
      <c r="AR235" s="130"/>
      <c r="AS235" s="130"/>
      <c r="AT235" s="135"/>
      <c r="AU235" s="135"/>
      <c r="AV235" s="135"/>
      <c r="AW235" s="130"/>
      <c r="AX235" s="130"/>
      <c r="AY235" s="130"/>
      <c r="AZ235" s="130"/>
      <c r="BA235" s="130"/>
      <c r="BB235" s="130"/>
      <c r="BC235" s="130"/>
      <c r="BD235" s="130"/>
      <c r="BE235" s="130"/>
      <c r="BF235" s="138">
        <f t="shared" si="24"/>
        <v>57413133</v>
      </c>
      <c r="BG235" s="138">
        <f t="shared" si="21"/>
        <v>23303000</v>
      </c>
      <c r="BH235" s="138">
        <f t="shared" si="22"/>
        <v>8300000</v>
      </c>
      <c r="BI235" s="149" t="s">
        <v>14</v>
      </c>
    </row>
    <row r="236" spans="1:61" s="151" customFormat="1" ht="66.75" customHeight="1">
      <c r="A236" s="139">
        <v>318</v>
      </c>
      <c r="B236" s="140" t="s">
        <v>932</v>
      </c>
      <c r="C236" s="139">
        <v>1</v>
      </c>
      <c r="D236" s="140" t="s">
        <v>148</v>
      </c>
      <c r="E236" s="139">
        <v>19</v>
      </c>
      <c r="F236" s="140" t="s">
        <v>755</v>
      </c>
      <c r="G236" s="139">
        <v>1905</v>
      </c>
      <c r="H236" s="140" t="s">
        <v>756</v>
      </c>
      <c r="I236" s="139">
        <v>1905</v>
      </c>
      <c r="J236" s="140" t="s">
        <v>1004</v>
      </c>
      <c r="K236" s="140" t="s">
        <v>945</v>
      </c>
      <c r="L236" s="139">
        <v>1905031</v>
      </c>
      <c r="M236" s="140" t="s">
        <v>1009</v>
      </c>
      <c r="N236" s="139">
        <v>1905031</v>
      </c>
      <c r="O236" s="140" t="s">
        <v>1009</v>
      </c>
      <c r="P236" s="139">
        <v>190503100</v>
      </c>
      <c r="Q236" s="142" t="s">
        <v>1010</v>
      </c>
      <c r="R236" s="139">
        <v>190503100</v>
      </c>
      <c r="S236" s="142" t="s">
        <v>1010</v>
      </c>
      <c r="T236" s="145" t="s">
        <v>69</v>
      </c>
      <c r="U236" s="145">
        <v>12</v>
      </c>
      <c r="V236" s="145"/>
      <c r="W236" s="145">
        <v>12</v>
      </c>
      <c r="X236" s="145">
        <v>12</v>
      </c>
      <c r="Y236" s="146">
        <v>2020003630126</v>
      </c>
      <c r="Z236" s="141" t="s">
        <v>1044</v>
      </c>
      <c r="AA236" s="140" t="s">
        <v>1045</v>
      </c>
      <c r="AB236" s="130"/>
      <c r="AC236" s="130"/>
      <c r="AD236" s="130"/>
      <c r="AE236" s="130"/>
      <c r="AF236" s="130"/>
      <c r="AG236" s="130"/>
      <c r="AH236" s="135">
        <v>50000000</v>
      </c>
      <c r="AI236" s="135">
        <v>22086666</v>
      </c>
      <c r="AJ236" s="135">
        <v>4200000</v>
      </c>
      <c r="AK236" s="130"/>
      <c r="AL236" s="130"/>
      <c r="AM236" s="130"/>
      <c r="AN236" s="130"/>
      <c r="AO236" s="130"/>
      <c r="AP236" s="130"/>
      <c r="AQ236" s="130"/>
      <c r="AR236" s="130"/>
      <c r="AS236" s="130"/>
      <c r="AT236" s="135"/>
      <c r="AU236" s="135"/>
      <c r="AV236" s="135"/>
      <c r="AW236" s="130"/>
      <c r="AX236" s="130"/>
      <c r="AY236" s="130"/>
      <c r="AZ236" s="130"/>
      <c r="BA236" s="130"/>
      <c r="BB236" s="130"/>
      <c r="BC236" s="130"/>
      <c r="BD236" s="130"/>
      <c r="BE236" s="130"/>
      <c r="BF236" s="138">
        <f t="shared" si="24"/>
        <v>50000000</v>
      </c>
      <c r="BG236" s="138">
        <f t="shared" si="21"/>
        <v>22086666</v>
      </c>
      <c r="BH236" s="138">
        <f t="shared" si="22"/>
        <v>4200000</v>
      </c>
      <c r="BI236" s="149" t="s">
        <v>14</v>
      </c>
    </row>
    <row r="237" spans="1:61" s="151" customFormat="1" ht="69" customHeight="1">
      <c r="A237" s="139">
        <v>318</v>
      </c>
      <c r="B237" s="140" t="s">
        <v>932</v>
      </c>
      <c r="C237" s="139">
        <v>1</v>
      </c>
      <c r="D237" s="140" t="s">
        <v>148</v>
      </c>
      <c r="E237" s="139">
        <v>19</v>
      </c>
      <c r="F237" s="140" t="s">
        <v>755</v>
      </c>
      <c r="G237" s="139">
        <v>1905</v>
      </c>
      <c r="H237" s="140" t="s">
        <v>756</v>
      </c>
      <c r="I237" s="139">
        <v>1905</v>
      </c>
      <c r="J237" s="140" t="s">
        <v>1004</v>
      </c>
      <c r="K237" s="140" t="s">
        <v>1046</v>
      </c>
      <c r="L237" s="139">
        <v>1905012</v>
      </c>
      <c r="M237" s="140" t="s">
        <v>1047</v>
      </c>
      <c r="N237" s="139">
        <v>1905012</v>
      </c>
      <c r="O237" s="140" t="s">
        <v>1047</v>
      </c>
      <c r="P237" s="145">
        <v>190501200</v>
      </c>
      <c r="Q237" s="142" t="s">
        <v>1047</v>
      </c>
      <c r="R237" s="145">
        <v>190501200</v>
      </c>
      <c r="S237" s="142" t="s">
        <v>1047</v>
      </c>
      <c r="T237" s="145" t="s">
        <v>69</v>
      </c>
      <c r="U237" s="145">
        <v>1</v>
      </c>
      <c r="V237" s="145"/>
      <c r="W237" s="145">
        <v>1</v>
      </c>
      <c r="X237" s="145">
        <v>0</v>
      </c>
      <c r="Y237" s="146">
        <v>2020003630127</v>
      </c>
      <c r="Z237" s="141" t="s">
        <v>1048</v>
      </c>
      <c r="AA237" s="140" t="s">
        <v>1049</v>
      </c>
      <c r="AB237" s="130"/>
      <c r="AC237" s="130"/>
      <c r="AD237" s="130"/>
      <c r="AE237" s="130"/>
      <c r="AF237" s="130"/>
      <c r="AG237" s="130"/>
      <c r="AH237" s="130">
        <f>15000000+200000000-100000000</f>
        <v>115000000</v>
      </c>
      <c r="AI237" s="130">
        <v>14500000</v>
      </c>
      <c r="AJ237" s="130">
        <v>5300000</v>
      </c>
      <c r="AK237" s="130"/>
      <c r="AL237" s="130"/>
      <c r="AM237" s="130"/>
      <c r="AN237" s="130"/>
      <c r="AO237" s="130"/>
      <c r="AP237" s="130"/>
      <c r="AQ237" s="130"/>
      <c r="AR237" s="130"/>
      <c r="AS237" s="130"/>
      <c r="AT237" s="135"/>
      <c r="AU237" s="135"/>
      <c r="AV237" s="135"/>
      <c r="AW237" s="130"/>
      <c r="AX237" s="130"/>
      <c r="AY237" s="130"/>
      <c r="AZ237" s="130"/>
      <c r="BA237" s="130"/>
      <c r="BB237" s="130"/>
      <c r="BC237" s="138"/>
      <c r="BD237" s="138"/>
      <c r="BE237" s="138"/>
      <c r="BF237" s="138">
        <f t="shared" si="24"/>
        <v>115000000</v>
      </c>
      <c r="BG237" s="138">
        <f t="shared" si="21"/>
        <v>14500000</v>
      </c>
      <c r="BH237" s="138">
        <f t="shared" si="22"/>
        <v>5300000</v>
      </c>
      <c r="BI237" s="149" t="s">
        <v>14</v>
      </c>
    </row>
    <row r="238" spans="1:61" s="151" customFormat="1" ht="114" customHeight="1">
      <c r="A238" s="139">
        <v>318</v>
      </c>
      <c r="B238" s="140" t="s">
        <v>932</v>
      </c>
      <c r="C238" s="139">
        <v>1</v>
      </c>
      <c r="D238" s="140" t="s">
        <v>148</v>
      </c>
      <c r="E238" s="139">
        <v>19</v>
      </c>
      <c r="F238" s="140" t="s">
        <v>755</v>
      </c>
      <c r="G238" s="139">
        <v>1905</v>
      </c>
      <c r="H238" s="140" t="s">
        <v>756</v>
      </c>
      <c r="I238" s="139">
        <v>1905</v>
      </c>
      <c r="J238" s="140" t="s">
        <v>1004</v>
      </c>
      <c r="K238" s="140" t="s">
        <v>1050</v>
      </c>
      <c r="L238" s="139">
        <v>1905026</v>
      </c>
      <c r="M238" s="140" t="s">
        <v>1051</v>
      </c>
      <c r="N238" s="139">
        <v>1905026</v>
      </c>
      <c r="O238" s="140" t="s">
        <v>1051</v>
      </c>
      <c r="P238" s="145">
        <v>190502600</v>
      </c>
      <c r="Q238" s="142" t="s">
        <v>1052</v>
      </c>
      <c r="R238" s="145">
        <v>190502600</v>
      </c>
      <c r="S238" s="142" t="s">
        <v>1052</v>
      </c>
      <c r="T238" s="143" t="s">
        <v>69</v>
      </c>
      <c r="U238" s="145">
        <v>12</v>
      </c>
      <c r="V238" s="145"/>
      <c r="W238" s="145">
        <v>12</v>
      </c>
      <c r="X238" s="145">
        <v>11</v>
      </c>
      <c r="Y238" s="146">
        <v>2020003630127</v>
      </c>
      <c r="Z238" s="141" t="s">
        <v>1048</v>
      </c>
      <c r="AA238" s="140" t="s">
        <v>1049</v>
      </c>
      <c r="AB238" s="130"/>
      <c r="AC238" s="130"/>
      <c r="AD238" s="130"/>
      <c r="AE238" s="130"/>
      <c r="AF238" s="130"/>
      <c r="AG238" s="130"/>
      <c r="AH238" s="130">
        <v>20000000</v>
      </c>
      <c r="AI238" s="130">
        <v>19510000</v>
      </c>
      <c r="AJ238" s="130">
        <v>2100000</v>
      </c>
      <c r="AK238" s="273"/>
      <c r="AL238" s="273"/>
      <c r="AM238" s="273"/>
      <c r="AN238" s="130"/>
      <c r="AO238" s="130"/>
      <c r="AP238" s="130"/>
      <c r="AQ238" s="130"/>
      <c r="AR238" s="130"/>
      <c r="AS238" s="130"/>
      <c r="AT238" s="135"/>
      <c r="AU238" s="135"/>
      <c r="AV238" s="135"/>
      <c r="AW238" s="130"/>
      <c r="AX238" s="130"/>
      <c r="AY238" s="130"/>
      <c r="AZ238" s="130"/>
      <c r="BA238" s="130"/>
      <c r="BB238" s="130"/>
      <c r="BC238" s="130"/>
      <c r="BD238" s="130"/>
      <c r="BE238" s="130"/>
      <c r="BF238" s="138">
        <f t="shared" si="24"/>
        <v>20000000</v>
      </c>
      <c r="BG238" s="138">
        <f t="shared" si="21"/>
        <v>19510000</v>
      </c>
      <c r="BH238" s="138">
        <f t="shared" si="22"/>
        <v>2100000</v>
      </c>
      <c r="BI238" s="149" t="s">
        <v>14</v>
      </c>
    </row>
    <row r="239" spans="1:61" s="151" customFormat="1" ht="75.75" customHeight="1">
      <c r="A239" s="139">
        <v>318</v>
      </c>
      <c r="B239" s="140" t="s">
        <v>932</v>
      </c>
      <c r="C239" s="139">
        <v>1</v>
      </c>
      <c r="D239" s="140" t="s">
        <v>148</v>
      </c>
      <c r="E239" s="139">
        <v>19</v>
      </c>
      <c r="F239" s="140" t="s">
        <v>755</v>
      </c>
      <c r="G239" s="139">
        <v>1905</v>
      </c>
      <c r="H239" s="140" t="s">
        <v>756</v>
      </c>
      <c r="I239" s="139">
        <v>1905</v>
      </c>
      <c r="J239" s="140" t="s">
        <v>1004</v>
      </c>
      <c r="K239" s="140" t="s">
        <v>1046</v>
      </c>
      <c r="L239" s="139">
        <v>1905027</v>
      </c>
      <c r="M239" s="140" t="s">
        <v>1053</v>
      </c>
      <c r="N239" s="139">
        <v>1905027</v>
      </c>
      <c r="O239" s="140" t="s">
        <v>1053</v>
      </c>
      <c r="P239" s="145">
        <v>190502700</v>
      </c>
      <c r="Q239" s="141" t="s">
        <v>1054</v>
      </c>
      <c r="R239" s="145">
        <v>190502700</v>
      </c>
      <c r="S239" s="142" t="s">
        <v>1054</v>
      </c>
      <c r="T239" s="145" t="s">
        <v>69</v>
      </c>
      <c r="U239" s="145">
        <v>12</v>
      </c>
      <c r="V239" s="145"/>
      <c r="W239" s="145">
        <v>12</v>
      </c>
      <c r="X239" s="145">
        <v>12</v>
      </c>
      <c r="Y239" s="146">
        <v>2020003630127</v>
      </c>
      <c r="Z239" s="140" t="s">
        <v>1048</v>
      </c>
      <c r="AA239" s="140" t="s">
        <v>1049</v>
      </c>
      <c r="AB239" s="130"/>
      <c r="AC239" s="130"/>
      <c r="AD239" s="130"/>
      <c r="AE239" s="130"/>
      <c r="AF239" s="130"/>
      <c r="AG239" s="130"/>
      <c r="AH239" s="130">
        <f>20000000+100000000</f>
        <v>120000000</v>
      </c>
      <c r="AI239" s="130">
        <v>20000000</v>
      </c>
      <c r="AJ239" s="130">
        <v>8500000</v>
      </c>
      <c r="AK239" s="273"/>
      <c r="AL239" s="273"/>
      <c r="AM239" s="273"/>
      <c r="AN239" s="130"/>
      <c r="AO239" s="130"/>
      <c r="AP239" s="130"/>
      <c r="AQ239" s="130"/>
      <c r="AR239" s="130"/>
      <c r="AS239" s="130"/>
      <c r="AT239" s="135"/>
      <c r="AU239" s="135"/>
      <c r="AV239" s="135"/>
      <c r="AW239" s="130"/>
      <c r="AX239" s="130"/>
      <c r="AY239" s="130"/>
      <c r="AZ239" s="130"/>
      <c r="BA239" s="130"/>
      <c r="BB239" s="130"/>
      <c r="BC239" s="130"/>
      <c r="BD239" s="130"/>
      <c r="BE239" s="130"/>
      <c r="BF239" s="138">
        <f t="shared" si="24"/>
        <v>120000000</v>
      </c>
      <c r="BG239" s="138">
        <f t="shared" si="21"/>
        <v>20000000</v>
      </c>
      <c r="BH239" s="138">
        <f t="shared" si="22"/>
        <v>8500000</v>
      </c>
      <c r="BI239" s="149" t="s">
        <v>14</v>
      </c>
    </row>
    <row r="240" spans="1:61" s="151" customFormat="1" ht="38.25">
      <c r="A240" s="139">
        <v>318</v>
      </c>
      <c r="B240" s="140" t="s">
        <v>932</v>
      </c>
      <c r="C240" s="139">
        <v>1</v>
      </c>
      <c r="D240" s="140" t="s">
        <v>148</v>
      </c>
      <c r="E240" s="139">
        <v>19</v>
      </c>
      <c r="F240" s="140" t="s">
        <v>755</v>
      </c>
      <c r="G240" s="139">
        <v>1905</v>
      </c>
      <c r="H240" s="140" t="s">
        <v>756</v>
      </c>
      <c r="I240" s="139">
        <v>1905</v>
      </c>
      <c r="J240" s="140" t="s">
        <v>1004</v>
      </c>
      <c r="K240" s="140" t="s">
        <v>1055</v>
      </c>
      <c r="L240" s="139" t="s">
        <v>61</v>
      </c>
      <c r="M240" s="140" t="s">
        <v>1028</v>
      </c>
      <c r="N240" s="139">
        <v>1905015</v>
      </c>
      <c r="O240" s="140" t="s">
        <v>374</v>
      </c>
      <c r="P240" s="139" t="s">
        <v>61</v>
      </c>
      <c r="Q240" s="142" t="s">
        <v>1029</v>
      </c>
      <c r="R240" s="145" t="s">
        <v>1056</v>
      </c>
      <c r="S240" s="142" t="s">
        <v>255</v>
      </c>
      <c r="T240" s="143" t="s">
        <v>157</v>
      </c>
      <c r="U240" s="145">
        <v>2</v>
      </c>
      <c r="V240" s="145">
        <v>1</v>
      </c>
      <c r="W240" s="145">
        <v>3</v>
      </c>
      <c r="X240" s="145">
        <v>3</v>
      </c>
      <c r="Y240" s="146">
        <v>2020003630128</v>
      </c>
      <c r="Z240" s="140" t="s">
        <v>1057</v>
      </c>
      <c r="AA240" s="140" t="s">
        <v>1058</v>
      </c>
      <c r="AB240" s="130"/>
      <c r="AC240" s="130"/>
      <c r="AD240" s="130"/>
      <c r="AE240" s="130"/>
      <c r="AF240" s="130"/>
      <c r="AG240" s="130"/>
      <c r="AH240" s="130">
        <v>20000000</v>
      </c>
      <c r="AI240" s="130">
        <v>14700000</v>
      </c>
      <c r="AJ240" s="130">
        <v>2450000</v>
      </c>
      <c r="AK240" s="130"/>
      <c r="AL240" s="130"/>
      <c r="AM240" s="130"/>
      <c r="AN240" s="130"/>
      <c r="AO240" s="130"/>
      <c r="AP240" s="130"/>
      <c r="AQ240" s="130"/>
      <c r="AR240" s="130"/>
      <c r="AS240" s="130"/>
      <c r="AT240" s="135"/>
      <c r="AU240" s="135"/>
      <c r="AV240" s="135"/>
      <c r="AW240" s="130"/>
      <c r="AX240" s="130"/>
      <c r="AY240" s="130"/>
      <c r="AZ240" s="130"/>
      <c r="BA240" s="130"/>
      <c r="BB240" s="130"/>
      <c r="BC240" s="130"/>
      <c r="BD240" s="130"/>
      <c r="BE240" s="130"/>
      <c r="BF240" s="138">
        <f t="shared" si="24"/>
        <v>20000000</v>
      </c>
      <c r="BG240" s="138">
        <f t="shared" si="21"/>
        <v>14700000</v>
      </c>
      <c r="BH240" s="138">
        <f t="shared" si="22"/>
        <v>2450000</v>
      </c>
      <c r="BI240" s="149" t="s">
        <v>14</v>
      </c>
    </row>
    <row r="241" spans="1:77" s="151" customFormat="1" ht="61.5" customHeight="1">
      <c r="A241" s="139">
        <v>318</v>
      </c>
      <c r="B241" s="140" t="s">
        <v>932</v>
      </c>
      <c r="C241" s="139">
        <v>1</v>
      </c>
      <c r="D241" s="140" t="s">
        <v>148</v>
      </c>
      <c r="E241" s="139">
        <v>19</v>
      </c>
      <c r="F241" s="140" t="s">
        <v>755</v>
      </c>
      <c r="G241" s="139">
        <v>1905</v>
      </c>
      <c r="H241" s="140" t="s">
        <v>756</v>
      </c>
      <c r="I241" s="139">
        <v>1905</v>
      </c>
      <c r="J241" s="140" t="s">
        <v>1004</v>
      </c>
      <c r="K241" s="140" t="s">
        <v>948</v>
      </c>
      <c r="L241" s="139">
        <v>1905014</v>
      </c>
      <c r="M241" s="140" t="s">
        <v>101</v>
      </c>
      <c r="N241" s="139">
        <v>1905014</v>
      </c>
      <c r="O241" s="140" t="s">
        <v>101</v>
      </c>
      <c r="P241" s="139">
        <v>190501400</v>
      </c>
      <c r="Q241" s="141" t="s">
        <v>539</v>
      </c>
      <c r="R241" s="139">
        <v>190501400</v>
      </c>
      <c r="S241" s="142" t="s">
        <v>539</v>
      </c>
      <c r="T241" s="145" t="s">
        <v>69</v>
      </c>
      <c r="U241" s="145">
        <v>12</v>
      </c>
      <c r="V241" s="145"/>
      <c r="W241" s="145">
        <v>12</v>
      </c>
      <c r="X241" s="145">
        <v>0</v>
      </c>
      <c r="Y241" s="146">
        <v>2020003630129</v>
      </c>
      <c r="Z241" s="140" t="s">
        <v>1059</v>
      </c>
      <c r="AA241" s="140" t="s">
        <v>1060</v>
      </c>
      <c r="AB241" s="130"/>
      <c r="AC241" s="130"/>
      <c r="AD241" s="130"/>
      <c r="AE241" s="130"/>
      <c r="AF241" s="130"/>
      <c r="AG241" s="130"/>
      <c r="AH241" s="130">
        <f>30000000+160639061.29</f>
        <v>190639061.28999999</v>
      </c>
      <c r="AI241" s="130">
        <v>21903334</v>
      </c>
      <c r="AJ241" s="130">
        <v>2100000</v>
      </c>
      <c r="AK241" s="130"/>
      <c r="AL241" s="130"/>
      <c r="AM241" s="130"/>
      <c r="AN241" s="130"/>
      <c r="AO241" s="130"/>
      <c r="AP241" s="130"/>
      <c r="AQ241" s="130"/>
      <c r="AR241" s="130"/>
      <c r="AS241" s="130"/>
      <c r="AT241" s="135"/>
      <c r="AU241" s="135"/>
      <c r="AV241" s="135"/>
      <c r="AW241" s="130"/>
      <c r="AX241" s="130"/>
      <c r="AY241" s="130"/>
      <c r="AZ241" s="130"/>
      <c r="BA241" s="130"/>
      <c r="BB241" s="130"/>
      <c r="BC241" s="130"/>
      <c r="BD241" s="130"/>
      <c r="BE241" s="130"/>
      <c r="BF241" s="138">
        <f t="shared" si="24"/>
        <v>190639061.28999999</v>
      </c>
      <c r="BG241" s="138">
        <f t="shared" si="21"/>
        <v>21903334</v>
      </c>
      <c r="BH241" s="138">
        <f t="shared" si="22"/>
        <v>2100000</v>
      </c>
      <c r="BI241" s="149" t="s">
        <v>14</v>
      </c>
    </row>
    <row r="242" spans="1:77" s="151" customFormat="1" ht="57" customHeight="1">
      <c r="A242" s="139">
        <v>318</v>
      </c>
      <c r="B242" s="140" t="s">
        <v>932</v>
      </c>
      <c r="C242" s="139">
        <v>1</v>
      </c>
      <c r="D242" s="140" t="s">
        <v>148</v>
      </c>
      <c r="E242" s="139">
        <v>19</v>
      </c>
      <c r="F242" s="140" t="s">
        <v>755</v>
      </c>
      <c r="G242" s="139">
        <v>1905</v>
      </c>
      <c r="H242" s="140" t="s">
        <v>756</v>
      </c>
      <c r="I242" s="139">
        <v>1905</v>
      </c>
      <c r="J242" s="140" t="s">
        <v>1004</v>
      </c>
      <c r="K242" s="140" t="s">
        <v>977</v>
      </c>
      <c r="L242" s="139">
        <v>1905015</v>
      </c>
      <c r="M242" s="140" t="s">
        <v>253</v>
      </c>
      <c r="N242" s="139">
        <v>1905015</v>
      </c>
      <c r="O242" s="140" t="s">
        <v>253</v>
      </c>
      <c r="P242" s="139">
        <v>190501503</v>
      </c>
      <c r="Q242" s="142" t="s">
        <v>1061</v>
      </c>
      <c r="R242" s="139">
        <v>190501503</v>
      </c>
      <c r="S242" s="142" t="s">
        <v>1061</v>
      </c>
      <c r="T242" s="145" t="s">
        <v>69</v>
      </c>
      <c r="U242" s="145">
        <v>15</v>
      </c>
      <c r="V242" s="145"/>
      <c r="W242" s="145">
        <v>15</v>
      </c>
      <c r="X242" s="145">
        <v>5</v>
      </c>
      <c r="Y242" s="146">
        <v>2020003630133</v>
      </c>
      <c r="Z242" s="147" t="s">
        <v>1062</v>
      </c>
      <c r="AA242" s="140" t="s">
        <v>1063</v>
      </c>
      <c r="AB242" s="130"/>
      <c r="AC242" s="130"/>
      <c r="AD242" s="130"/>
      <c r="AE242" s="130"/>
      <c r="AF242" s="130"/>
      <c r="AG242" s="130"/>
      <c r="AH242" s="148">
        <v>600000000</v>
      </c>
      <c r="AI242" s="148">
        <v>143369997</v>
      </c>
      <c r="AJ242" s="148">
        <v>51400000</v>
      </c>
      <c r="AK242" s="130"/>
      <c r="AL242" s="130"/>
      <c r="AM242" s="130"/>
      <c r="AN242" s="130"/>
      <c r="AO242" s="130"/>
      <c r="AP242" s="130"/>
      <c r="AQ242" s="130"/>
      <c r="AR242" s="130"/>
      <c r="AS242" s="130"/>
      <c r="AT242" s="135"/>
      <c r="AU242" s="135"/>
      <c r="AV242" s="135"/>
      <c r="AW242" s="130"/>
      <c r="AX242" s="130"/>
      <c r="AY242" s="130"/>
      <c r="AZ242" s="130"/>
      <c r="BA242" s="130"/>
      <c r="BB242" s="130"/>
      <c r="BC242" s="130"/>
      <c r="BD242" s="130"/>
      <c r="BE242" s="130"/>
      <c r="BF242" s="138">
        <f t="shared" si="24"/>
        <v>600000000</v>
      </c>
      <c r="BG242" s="138">
        <f t="shared" si="21"/>
        <v>143369997</v>
      </c>
      <c r="BH242" s="138">
        <f t="shared" si="22"/>
        <v>51400000</v>
      </c>
      <c r="BI242" s="149" t="s">
        <v>14</v>
      </c>
    </row>
    <row r="243" spans="1:77" s="151" customFormat="1" ht="75.75" customHeight="1">
      <c r="A243" s="139">
        <v>318</v>
      </c>
      <c r="B243" s="140" t="s">
        <v>932</v>
      </c>
      <c r="C243" s="139">
        <v>1</v>
      </c>
      <c r="D243" s="140" t="s">
        <v>148</v>
      </c>
      <c r="E243" s="139">
        <v>19</v>
      </c>
      <c r="F243" s="140" t="s">
        <v>755</v>
      </c>
      <c r="G243" s="139">
        <v>1905</v>
      </c>
      <c r="H243" s="140" t="s">
        <v>756</v>
      </c>
      <c r="I243" s="139">
        <v>1905</v>
      </c>
      <c r="J243" s="140" t="s">
        <v>1004</v>
      </c>
      <c r="K243" s="140" t="s">
        <v>1064</v>
      </c>
      <c r="L243" s="139" t="s">
        <v>61</v>
      </c>
      <c r="M243" s="140" t="s">
        <v>1065</v>
      </c>
      <c r="N243" s="139">
        <v>1905009</v>
      </c>
      <c r="O243" s="140" t="s">
        <v>1066</v>
      </c>
      <c r="P243" s="139" t="s">
        <v>61</v>
      </c>
      <c r="Q243" s="142" t="s">
        <v>1067</v>
      </c>
      <c r="R243" s="139">
        <v>190500900</v>
      </c>
      <c r="S243" s="142" t="s">
        <v>1068</v>
      </c>
      <c r="T243" s="145" t="s">
        <v>69</v>
      </c>
      <c r="U243" s="145">
        <v>1</v>
      </c>
      <c r="V243" s="145"/>
      <c r="W243" s="145">
        <v>1</v>
      </c>
      <c r="X243" s="145">
        <v>1</v>
      </c>
      <c r="Y243" s="146">
        <v>2020003630134</v>
      </c>
      <c r="Z243" s="147" t="s">
        <v>1069</v>
      </c>
      <c r="AA243" s="140" t="s">
        <v>1070</v>
      </c>
      <c r="AB243" s="130"/>
      <c r="AC243" s="130"/>
      <c r="AD243" s="130"/>
      <c r="AE243" s="130"/>
      <c r="AF243" s="130"/>
      <c r="AG243" s="130"/>
      <c r="AH243" s="130"/>
      <c r="AI243" s="130"/>
      <c r="AJ243" s="130"/>
      <c r="AK243" s="131"/>
      <c r="AL243" s="131"/>
      <c r="AM243" s="131"/>
      <c r="AN243" s="130"/>
      <c r="AO243" s="130"/>
      <c r="AP243" s="130"/>
      <c r="AQ243" s="130"/>
      <c r="AR243" s="130"/>
      <c r="AS243" s="130"/>
      <c r="AT243" s="135">
        <v>300000000</v>
      </c>
      <c r="AU243" s="135">
        <v>90588000</v>
      </c>
      <c r="AV243" s="135">
        <v>37828000</v>
      </c>
      <c r="AW243" s="130"/>
      <c r="AX243" s="130"/>
      <c r="AY243" s="130"/>
      <c r="AZ243" s="130"/>
      <c r="BA243" s="130"/>
      <c r="BB243" s="130"/>
      <c r="BC243" s="130"/>
      <c r="BD243" s="130"/>
      <c r="BE243" s="130"/>
      <c r="BF243" s="138">
        <f t="shared" si="24"/>
        <v>300000000</v>
      </c>
      <c r="BG243" s="138">
        <f t="shared" si="21"/>
        <v>90588000</v>
      </c>
      <c r="BH243" s="138">
        <f t="shared" si="22"/>
        <v>37828000</v>
      </c>
      <c r="BI243" s="149" t="s">
        <v>14</v>
      </c>
      <c r="BJ243" s="320"/>
      <c r="BK243" s="320"/>
      <c r="BL243" s="320"/>
      <c r="BM243" s="320"/>
      <c r="BN243" s="320"/>
      <c r="BO243" s="320"/>
      <c r="BP243" s="320"/>
      <c r="BQ243" s="320"/>
      <c r="BR243" s="320"/>
      <c r="BS243" s="320"/>
      <c r="BT243" s="320"/>
      <c r="BU243" s="320"/>
      <c r="BV243" s="320"/>
      <c r="BW243" s="320"/>
      <c r="BX243" s="320"/>
      <c r="BY243" s="320"/>
    </row>
    <row r="244" spans="1:77" s="151" customFormat="1" ht="79.5" customHeight="1">
      <c r="A244" s="139">
        <v>318</v>
      </c>
      <c r="B244" s="140" t="s">
        <v>932</v>
      </c>
      <c r="C244" s="139">
        <v>1</v>
      </c>
      <c r="D244" s="140" t="s">
        <v>148</v>
      </c>
      <c r="E244" s="139">
        <v>19</v>
      </c>
      <c r="F244" s="140" t="s">
        <v>755</v>
      </c>
      <c r="G244" s="139">
        <v>1905</v>
      </c>
      <c r="H244" s="140" t="s">
        <v>756</v>
      </c>
      <c r="I244" s="139">
        <v>1905</v>
      </c>
      <c r="J244" s="140" t="s">
        <v>1004</v>
      </c>
      <c r="K244" s="142" t="s">
        <v>945</v>
      </c>
      <c r="L244" s="139">
        <v>1905031</v>
      </c>
      <c r="M244" s="140" t="s">
        <v>1009</v>
      </c>
      <c r="N244" s="292">
        <v>1905031</v>
      </c>
      <c r="O244" s="140" t="s">
        <v>1009</v>
      </c>
      <c r="P244" s="292">
        <v>190503100</v>
      </c>
      <c r="Q244" s="142" t="s">
        <v>1010</v>
      </c>
      <c r="R244" s="139">
        <v>190503100</v>
      </c>
      <c r="S244" s="142" t="s">
        <v>1010</v>
      </c>
      <c r="T244" s="145" t="s">
        <v>69</v>
      </c>
      <c r="U244" s="145">
        <v>12</v>
      </c>
      <c r="V244" s="145"/>
      <c r="W244" s="145">
        <v>12</v>
      </c>
      <c r="X244" s="145">
        <v>12</v>
      </c>
      <c r="Y244" s="146">
        <v>2020003630135</v>
      </c>
      <c r="Z244" s="147" t="s">
        <v>1071</v>
      </c>
      <c r="AA244" s="141" t="s">
        <v>1072</v>
      </c>
      <c r="AB244" s="130"/>
      <c r="AC244" s="130"/>
      <c r="AD244" s="130"/>
      <c r="AE244" s="130"/>
      <c r="AF244" s="130"/>
      <c r="AG244" s="130"/>
      <c r="AH244" s="130">
        <f>1430478796+400000000</f>
        <v>1830478796</v>
      </c>
      <c r="AI244" s="130">
        <v>90619997</v>
      </c>
      <c r="AJ244" s="130">
        <v>23450000</v>
      </c>
      <c r="AK244" s="130"/>
      <c r="AL244" s="130"/>
      <c r="AM244" s="130"/>
      <c r="AN244" s="130"/>
      <c r="AO244" s="130"/>
      <c r="AP244" s="130"/>
      <c r="AQ244" s="130"/>
      <c r="AR244" s="130"/>
      <c r="AS244" s="130"/>
      <c r="AT244" s="135"/>
      <c r="AU244" s="135"/>
      <c r="AV244" s="135"/>
      <c r="AW244" s="130"/>
      <c r="AX244" s="130"/>
      <c r="AY244" s="130"/>
      <c r="AZ244" s="130"/>
      <c r="BA244" s="130"/>
      <c r="BB244" s="130"/>
      <c r="BC244" s="130"/>
      <c r="BD244" s="130"/>
      <c r="BE244" s="130"/>
      <c r="BF244" s="138">
        <f t="shared" si="24"/>
        <v>1830478796</v>
      </c>
      <c r="BG244" s="138">
        <f t="shared" si="21"/>
        <v>90619997</v>
      </c>
      <c r="BH244" s="138">
        <f t="shared" si="22"/>
        <v>23450000</v>
      </c>
      <c r="BI244" s="149" t="s">
        <v>14</v>
      </c>
      <c r="BJ244" s="320"/>
      <c r="BK244" s="320"/>
      <c r="BL244" s="320"/>
      <c r="BM244" s="320"/>
      <c r="BN244" s="320"/>
      <c r="BO244" s="320"/>
      <c r="BP244" s="320"/>
      <c r="BQ244" s="320"/>
      <c r="BR244" s="320"/>
      <c r="BS244" s="320"/>
      <c r="BT244" s="320"/>
      <c r="BU244" s="320"/>
      <c r="BV244" s="320"/>
      <c r="BW244" s="320"/>
      <c r="BX244" s="320"/>
      <c r="BY244" s="320"/>
    </row>
    <row r="245" spans="1:77" s="151" customFormat="1" ht="38.25">
      <c r="A245" s="139">
        <v>318</v>
      </c>
      <c r="B245" s="140" t="s">
        <v>932</v>
      </c>
      <c r="C245" s="139">
        <v>1</v>
      </c>
      <c r="D245" s="140" t="s">
        <v>148</v>
      </c>
      <c r="E245" s="139">
        <v>19</v>
      </c>
      <c r="F245" s="140" t="s">
        <v>755</v>
      </c>
      <c r="G245" s="139">
        <v>1906</v>
      </c>
      <c r="H245" s="140" t="s">
        <v>1073</v>
      </c>
      <c r="I245" s="139">
        <v>1906</v>
      </c>
      <c r="J245" s="140" t="s">
        <v>1074</v>
      </c>
      <c r="K245" s="140" t="s">
        <v>1075</v>
      </c>
      <c r="L245" s="139" t="s">
        <v>61</v>
      </c>
      <c r="M245" s="140" t="s">
        <v>1076</v>
      </c>
      <c r="N245" s="139">
        <v>1906023</v>
      </c>
      <c r="O245" s="140" t="s">
        <v>1077</v>
      </c>
      <c r="P245" s="139" t="s">
        <v>61</v>
      </c>
      <c r="Q245" s="141" t="s">
        <v>1078</v>
      </c>
      <c r="R245" s="139">
        <v>190602300</v>
      </c>
      <c r="S245" s="142" t="s">
        <v>1079</v>
      </c>
      <c r="T245" s="145" t="s">
        <v>69</v>
      </c>
      <c r="U245" s="145">
        <v>19899</v>
      </c>
      <c r="V245" s="321"/>
      <c r="W245" s="145">
        <v>19899</v>
      </c>
      <c r="X245" s="145">
        <v>274609</v>
      </c>
      <c r="Y245" s="146">
        <v>2020003630136</v>
      </c>
      <c r="Z245" s="147" t="s">
        <v>1080</v>
      </c>
      <c r="AA245" s="140" t="s">
        <v>1081</v>
      </c>
      <c r="AB245" s="130"/>
      <c r="AC245" s="130"/>
      <c r="AD245" s="130"/>
      <c r="AE245" s="130"/>
      <c r="AF245" s="130"/>
      <c r="AG245" s="130"/>
      <c r="AH245" s="130"/>
      <c r="AI245" s="130"/>
      <c r="AJ245" s="130"/>
      <c r="AK245" s="136">
        <f>35074003113.88</f>
        <v>35074003113.879997</v>
      </c>
      <c r="AL245" s="136">
        <v>35074003113</v>
      </c>
      <c r="AM245" s="136">
        <v>7878161831.1400003</v>
      </c>
      <c r="AN245" s="130"/>
      <c r="AO245" s="130"/>
      <c r="AP245" s="130"/>
      <c r="AQ245" s="130"/>
      <c r="AR245" s="130"/>
      <c r="AS245" s="130"/>
      <c r="AT245" s="135"/>
      <c r="AU245" s="135"/>
      <c r="AV245" s="135"/>
      <c r="AW245" s="130"/>
      <c r="AX245" s="130"/>
      <c r="AY245" s="130"/>
      <c r="AZ245" s="130"/>
      <c r="BA245" s="130"/>
      <c r="BB245" s="130"/>
      <c r="BC245" s="130"/>
      <c r="BD245" s="130"/>
      <c r="BE245" s="130"/>
      <c r="BF245" s="138">
        <f t="shared" si="24"/>
        <v>35074003113.879997</v>
      </c>
      <c r="BG245" s="138">
        <f t="shared" si="21"/>
        <v>35074003113</v>
      </c>
      <c r="BH245" s="138">
        <f t="shared" si="22"/>
        <v>7878161831.1400003</v>
      </c>
      <c r="BI245" s="149" t="s">
        <v>14</v>
      </c>
    </row>
    <row r="246" spans="1:77" s="151" customFormat="1" ht="38.25">
      <c r="A246" s="139">
        <v>318</v>
      </c>
      <c r="B246" s="140" t="s">
        <v>932</v>
      </c>
      <c r="C246" s="139">
        <v>1</v>
      </c>
      <c r="D246" s="140" t="s">
        <v>148</v>
      </c>
      <c r="E246" s="139">
        <v>19</v>
      </c>
      <c r="F246" s="140" t="s">
        <v>755</v>
      </c>
      <c r="G246" s="139">
        <v>1906</v>
      </c>
      <c r="H246" s="140" t="s">
        <v>1073</v>
      </c>
      <c r="I246" s="139">
        <v>1906</v>
      </c>
      <c r="J246" s="140" t="s">
        <v>1074</v>
      </c>
      <c r="K246" s="142" t="s">
        <v>974</v>
      </c>
      <c r="L246" s="139" t="s">
        <v>61</v>
      </c>
      <c r="M246" s="140" t="s">
        <v>1082</v>
      </c>
      <c r="N246" s="139">
        <v>1906023</v>
      </c>
      <c r="O246" s="140" t="s">
        <v>1077</v>
      </c>
      <c r="P246" s="139" t="s">
        <v>61</v>
      </c>
      <c r="Q246" s="142" t="s">
        <v>1083</v>
      </c>
      <c r="R246" s="145">
        <v>190602301</v>
      </c>
      <c r="S246" s="142" t="s">
        <v>1084</v>
      </c>
      <c r="T246" s="145" t="s">
        <v>69</v>
      </c>
      <c r="U246" s="145">
        <v>60</v>
      </c>
      <c r="V246" s="145"/>
      <c r="W246" s="145">
        <v>60</v>
      </c>
      <c r="X246" s="145">
        <v>0</v>
      </c>
      <c r="Y246" s="146">
        <v>2020003630137</v>
      </c>
      <c r="Z246" s="141" t="s">
        <v>1085</v>
      </c>
      <c r="AA246" s="140" t="s">
        <v>1086</v>
      </c>
      <c r="AB246" s="130"/>
      <c r="AC246" s="130"/>
      <c r="AD246" s="130"/>
      <c r="AE246" s="130">
        <f>600000000</f>
        <v>600000000</v>
      </c>
      <c r="AF246" s="130"/>
      <c r="AG246" s="130"/>
      <c r="AH246" s="130"/>
      <c r="AI246" s="130"/>
      <c r="AJ246" s="130"/>
      <c r="AK246" s="136">
        <f>1040464361.47+19178603.4</f>
        <v>1059642964.87</v>
      </c>
      <c r="AL246" s="136"/>
      <c r="AM246" s="136"/>
      <c r="AN246" s="130"/>
      <c r="AO246" s="130"/>
      <c r="AP246" s="130"/>
      <c r="AQ246" s="130"/>
      <c r="AR246" s="130"/>
      <c r="AS246" s="130"/>
      <c r="AT246" s="135"/>
      <c r="AU246" s="135"/>
      <c r="AV246" s="135"/>
      <c r="AW246" s="130"/>
      <c r="AX246" s="130"/>
      <c r="AY246" s="130"/>
      <c r="AZ246" s="130"/>
      <c r="BA246" s="130"/>
      <c r="BB246" s="130"/>
      <c r="BC246" s="130">
        <v>1902238000</v>
      </c>
      <c r="BD246" s="130"/>
      <c r="BE246" s="130"/>
      <c r="BF246" s="138">
        <f t="shared" si="24"/>
        <v>3561880964.8699999</v>
      </c>
      <c r="BG246" s="138">
        <f t="shared" si="21"/>
        <v>0</v>
      </c>
      <c r="BH246" s="138">
        <f t="shared" si="22"/>
        <v>0</v>
      </c>
      <c r="BI246" s="149" t="s">
        <v>14</v>
      </c>
    </row>
    <row r="247" spans="1:77" s="151" customFormat="1" ht="100.5" customHeight="1">
      <c r="A247" s="139">
        <v>318</v>
      </c>
      <c r="B247" s="140" t="s">
        <v>932</v>
      </c>
      <c r="C247" s="139">
        <v>1</v>
      </c>
      <c r="D247" s="140" t="s">
        <v>148</v>
      </c>
      <c r="E247" s="139">
        <v>19</v>
      </c>
      <c r="F247" s="140" t="s">
        <v>755</v>
      </c>
      <c r="G247" s="139">
        <v>1906</v>
      </c>
      <c r="H247" s="140" t="s">
        <v>1073</v>
      </c>
      <c r="I247" s="139">
        <v>1906</v>
      </c>
      <c r="J247" s="140" t="s">
        <v>1074</v>
      </c>
      <c r="K247" s="140" t="s">
        <v>1075</v>
      </c>
      <c r="L247" s="139" t="s">
        <v>61</v>
      </c>
      <c r="M247" s="140" t="s">
        <v>1087</v>
      </c>
      <c r="N247" s="139">
        <v>1906025</v>
      </c>
      <c r="O247" s="140" t="s">
        <v>1088</v>
      </c>
      <c r="P247" s="139" t="s">
        <v>61</v>
      </c>
      <c r="Q247" s="142" t="s">
        <v>1089</v>
      </c>
      <c r="R247" s="139">
        <v>190602500</v>
      </c>
      <c r="S247" s="142" t="s">
        <v>1090</v>
      </c>
      <c r="T247" s="145" t="s">
        <v>69</v>
      </c>
      <c r="U247" s="145">
        <v>100</v>
      </c>
      <c r="V247" s="145"/>
      <c r="W247" s="145">
        <v>100</v>
      </c>
      <c r="X247" s="145">
        <v>0</v>
      </c>
      <c r="Y247" s="146">
        <v>2020003630137</v>
      </c>
      <c r="Z247" s="147" t="s">
        <v>1085</v>
      </c>
      <c r="AA247" s="140" t="s">
        <v>1086</v>
      </c>
      <c r="AB247" s="130"/>
      <c r="AC247" s="130"/>
      <c r="AD247" s="130"/>
      <c r="AE247" s="130">
        <f>600000000-600000000</f>
        <v>0</v>
      </c>
      <c r="AF247" s="130"/>
      <c r="AG247" s="130"/>
      <c r="AH247" s="130">
        <f>1810933809+156125011.1+108005081</f>
        <v>2075063901.0999999</v>
      </c>
      <c r="AI247" s="130">
        <v>2075063901.0999999</v>
      </c>
      <c r="AJ247" s="130"/>
      <c r="AK247" s="130">
        <v>3827989379</v>
      </c>
      <c r="AL247" s="130"/>
      <c r="AM247" s="130"/>
      <c r="AN247" s="130"/>
      <c r="AO247" s="130"/>
      <c r="AP247" s="130"/>
      <c r="AQ247" s="130"/>
      <c r="AR247" s="130"/>
      <c r="AS247" s="130"/>
      <c r="AT247" s="135"/>
      <c r="AU247" s="135"/>
      <c r="AV247" s="135"/>
      <c r="AW247" s="130"/>
      <c r="AX247" s="130"/>
      <c r="AY247" s="130"/>
      <c r="AZ247" s="130"/>
      <c r="BA247" s="130"/>
      <c r="BB247" s="130"/>
      <c r="BC247" s="130"/>
      <c r="BD247" s="130"/>
      <c r="BE247" s="130"/>
      <c r="BF247" s="138">
        <f t="shared" si="24"/>
        <v>5903053280.1000004</v>
      </c>
      <c r="BG247" s="138">
        <f t="shared" si="21"/>
        <v>2075063901.0999999</v>
      </c>
      <c r="BH247" s="138">
        <f t="shared" si="22"/>
        <v>0</v>
      </c>
      <c r="BI247" s="149" t="s">
        <v>14</v>
      </c>
    </row>
    <row r="248" spans="1:77" s="151" customFormat="1" ht="86.25" customHeight="1">
      <c r="A248" s="139">
        <v>318</v>
      </c>
      <c r="B248" s="140" t="s">
        <v>932</v>
      </c>
      <c r="C248" s="139">
        <v>1</v>
      </c>
      <c r="D248" s="140" t="s">
        <v>148</v>
      </c>
      <c r="E248" s="139">
        <v>19</v>
      </c>
      <c r="F248" s="140" t="s">
        <v>755</v>
      </c>
      <c r="G248" s="139">
        <v>1906</v>
      </c>
      <c r="H248" s="140" t="s">
        <v>1073</v>
      </c>
      <c r="I248" s="139">
        <v>1906</v>
      </c>
      <c r="J248" s="140" t="s">
        <v>1074</v>
      </c>
      <c r="K248" s="140" t="s">
        <v>1075</v>
      </c>
      <c r="L248" s="139" t="s">
        <v>61</v>
      </c>
      <c r="M248" s="140" t="s">
        <v>1091</v>
      </c>
      <c r="N248" s="139">
        <v>1906025</v>
      </c>
      <c r="O248" s="140" t="s">
        <v>1088</v>
      </c>
      <c r="P248" s="139" t="s">
        <v>61</v>
      </c>
      <c r="Q248" s="142" t="s">
        <v>1092</v>
      </c>
      <c r="R248" s="139">
        <v>190602500</v>
      </c>
      <c r="S248" s="142" t="s">
        <v>1090</v>
      </c>
      <c r="T248" s="145" t="s">
        <v>69</v>
      </c>
      <c r="U248" s="145">
        <v>100</v>
      </c>
      <c r="V248" s="145"/>
      <c r="W248" s="145">
        <v>100</v>
      </c>
      <c r="X248" s="145">
        <v>0</v>
      </c>
      <c r="Y248" s="146">
        <v>2020003630137</v>
      </c>
      <c r="Z248" s="147" t="s">
        <v>1085</v>
      </c>
      <c r="AA248" s="140" t="s">
        <v>1086</v>
      </c>
      <c r="AB248" s="130"/>
      <c r="AC248" s="130"/>
      <c r="AD248" s="130"/>
      <c r="AE248" s="130"/>
      <c r="AF248" s="130"/>
      <c r="AG248" s="130"/>
      <c r="AH248" s="130"/>
      <c r="AI248" s="130"/>
      <c r="AJ248" s="130"/>
      <c r="AK248" s="130"/>
      <c r="AL248" s="130"/>
      <c r="AM248" s="130"/>
      <c r="AN248" s="130"/>
      <c r="AO248" s="130"/>
      <c r="AP248" s="130"/>
      <c r="AQ248" s="130"/>
      <c r="AR248" s="130"/>
      <c r="AS248" s="130"/>
      <c r="AT248" s="135"/>
      <c r="AU248" s="135"/>
      <c r="AV248" s="135"/>
      <c r="AW248" s="130"/>
      <c r="AX248" s="130"/>
      <c r="AY248" s="130"/>
      <c r="AZ248" s="130"/>
      <c r="BA248" s="130"/>
      <c r="BB248" s="130"/>
      <c r="BC248" s="130"/>
      <c r="BD248" s="130"/>
      <c r="BE248" s="130"/>
      <c r="BF248" s="138">
        <f t="shared" si="24"/>
        <v>0</v>
      </c>
      <c r="BG248" s="138">
        <f t="shared" si="21"/>
        <v>0</v>
      </c>
      <c r="BH248" s="138">
        <f t="shared" si="22"/>
        <v>0</v>
      </c>
      <c r="BI248" s="149" t="s">
        <v>14</v>
      </c>
    </row>
    <row r="249" spans="1:77" s="151" customFormat="1" ht="52.5" customHeight="1">
      <c r="A249" s="139">
        <v>318</v>
      </c>
      <c r="B249" s="140" t="s">
        <v>932</v>
      </c>
      <c r="C249" s="139">
        <v>1</v>
      </c>
      <c r="D249" s="140" t="s">
        <v>148</v>
      </c>
      <c r="E249" s="139">
        <v>19</v>
      </c>
      <c r="F249" s="140" t="s">
        <v>755</v>
      </c>
      <c r="G249" s="139">
        <v>1906</v>
      </c>
      <c r="H249" s="140" t="s">
        <v>1073</v>
      </c>
      <c r="I249" s="139">
        <v>1906</v>
      </c>
      <c r="J249" s="140" t="s">
        <v>1074</v>
      </c>
      <c r="K249" s="140" t="s">
        <v>1093</v>
      </c>
      <c r="L249" s="139">
        <v>1906029</v>
      </c>
      <c r="M249" s="140" t="s">
        <v>1094</v>
      </c>
      <c r="N249" s="139">
        <v>1906029</v>
      </c>
      <c r="O249" s="140" t="s">
        <v>1094</v>
      </c>
      <c r="P249" s="145">
        <v>190602900</v>
      </c>
      <c r="Q249" s="142" t="s">
        <v>1095</v>
      </c>
      <c r="R249" s="145">
        <v>190602900</v>
      </c>
      <c r="S249" s="142" t="s">
        <v>1095</v>
      </c>
      <c r="T249" s="145" t="s">
        <v>69</v>
      </c>
      <c r="U249" s="145">
        <v>40</v>
      </c>
      <c r="V249" s="145"/>
      <c r="W249" s="145">
        <v>40</v>
      </c>
      <c r="X249" s="145">
        <v>12</v>
      </c>
      <c r="Y249" s="146">
        <v>2020003630138</v>
      </c>
      <c r="Z249" s="147" t="s">
        <v>1096</v>
      </c>
      <c r="AA249" s="140" t="s">
        <v>1097</v>
      </c>
      <c r="AB249" s="130"/>
      <c r="AC249" s="130"/>
      <c r="AD249" s="130"/>
      <c r="AE249" s="130"/>
      <c r="AF249" s="130"/>
      <c r="AG249" s="130"/>
      <c r="AH249" s="130"/>
      <c r="AI249" s="130"/>
      <c r="AJ249" s="130"/>
      <c r="AK249" s="148"/>
      <c r="AL249" s="148"/>
      <c r="AM249" s="148"/>
      <c r="AN249" s="130"/>
      <c r="AO249" s="130"/>
      <c r="AP249" s="130"/>
      <c r="AQ249" s="130"/>
      <c r="AR249" s="130"/>
      <c r="AS249" s="130"/>
      <c r="AT249" s="135">
        <v>150390000</v>
      </c>
      <c r="AU249" s="135">
        <v>47579999</v>
      </c>
      <c r="AV249" s="135">
        <v>18600000</v>
      </c>
      <c r="AW249" s="130"/>
      <c r="AX249" s="130"/>
      <c r="AY249" s="130"/>
      <c r="AZ249" s="130"/>
      <c r="BA249" s="130"/>
      <c r="BB249" s="130"/>
      <c r="BC249" s="130"/>
      <c r="BD249" s="130"/>
      <c r="BE249" s="130"/>
      <c r="BF249" s="138">
        <f t="shared" si="24"/>
        <v>150390000</v>
      </c>
      <c r="BG249" s="138">
        <f t="shared" si="21"/>
        <v>47579999</v>
      </c>
      <c r="BH249" s="138">
        <f t="shared" si="22"/>
        <v>18600000</v>
      </c>
      <c r="BI249" s="149" t="s">
        <v>14</v>
      </c>
    </row>
    <row r="250" spans="1:77" s="151" customFormat="1" ht="80.25" customHeight="1">
      <c r="A250" s="139">
        <v>318</v>
      </c>
      <c r="B250" s="140" t="s">
        <v>932</v>
      </c>
      <c r="C250" s="139">
        <v>1</v>
      </c>
      <c r="D250" s="140" t="s">
        <v>148</v>
      </c>
      <c r="E250" s="139">
        <v>19</v>
      </c>
      <c r="F250" s="140" t="s">
        <v>755</v>
      </c>
      <c r="G250" s="139">
        <v>1906</v>
      </c>
      <c r="H250" s="140" t="s">
        <v>1073</v>
      </c>
      <c r="I250" s="139">
        <v>1906</v>
      </c>
      <c r="J250" s="140" t="s">
        <v>1074</v>
      </c>
      <c r="K250" s="140" t="s">
        <v>1098</v>
      </c>
      <c r="L250" s="139">
        <v>1906005</v>
      </c>
      <c r="M250" s="140" t="s">
        <v>1099</v>
      </c>
      <c r="N250" s="139">
        <v>1906005</v>
      </c>
      <c r="O250" s="140" t="s">
        <v>1099</v>
      </c>
      <c r="P250" s="145">
        <v>190600500</v>
      </c>
      <c r="Q250" s="142" t="s">
        <v>1099</v>
      </c>
      <c r="R250" s="145">
        <v>190600500</v>
      </c>
      <c r="S250" s="142" t="s">
        <v>1099</v>
      </c>
      <c r="T250" s="145" t="s">
        <v>157</v>
      </c>
      <c r="U250" s="145">
        <v>3</v>
      </c>
      <c r="V250" s="145"/>
      <c r="W250" s="145">
        <v>3</v>
      </c>
      <c r="X250" s="145">
        <v>0</v>
      </c>
      <c r="Y250" s="146">
        <v>2020003630138</v>
      </c>
      <c r="Z250" s="147" t="s">
        <v>1096</v>
      </c>
      <c r="AA250" s="140" t="s">
        <v>1097</v>
      </c>
      <c r="AB250" s="130"/>
      <c r="AC250" s="130"/>
      <c r="AD250" s="130"/>
      <c r="AE250" s="130"/>
      <c r="AF250" s="130"/>
      <c r="AG250" s="130"/>
      <c r="AH250" s="130"/>
      <c r="AI250" s="130"/>
      <c r="AJ250" s="130"/>
      <c r="AK250" s="148"/>
      <c r="AL250" s="148"/>
      <c r="AM250" s="148"/>
      <c r="AN250" s="130"/>
      <c r="AO250" s="130"/>
      <c r="AP250" s="130"/>
      <c r="AQ250" s="130"/>
      <c r="AR250" s="130"/>
      <c r="AS250" s="130"/>
      <c r="AT250" s="135">
        <v>40000000</v>
      </c>
      <c r="AU250" s="135"/>
      <c r="AV250" s="135"/>
      <c r="AW250" s="130"/>
      <c r="AX250" s="130"/>
      <c r="AY250" s="130"/>
      <c r="AZ250" s="130"/>
      <c r="BA250" s="130"/>
      <c r="BB250" s="130"/>
      <c r="BC250" s="130"/>
      <c r="BD250" s="130"/>
      <c r="BE250" s="130"/>
      <c r="BF250" s="138">
        <f t="shared" si="24"/>
        <v>40000000</v>
      </c>
      <c r="BG250" s="138">
        <f t="shared" si="21"/>
        <v>0</v>
      </c>
      <c r="BH250" s="138">
        <f t="shared" si="22"/>
        <v>0</v>
      </c>
      <c r="BI250" s="149" t="s">
        <v>14</v>
      </c>
    </row>
    <row r="251" spans="1:77" s="151" customFormat="1" ht="60" customHeight="1">
      <c r="A251" s="139">
        <v>318</v>
      </c>
      <c r="B251" s="140" t="s">
        <v>932</v>
      </c>
      <c r="C251" s="139">
        <v>1</v>
      </c>
      <c r="D251" s="140" t="s">
        <v>148</v>
      </c>
      <c r="E251" s="139">
        <v>19</v>
      </c>
      <c r="F251" s="140" t="s">
        <v>755</v>
      </c>
      <c r="G251" s="139">
        <v>1906</v>
      </c>
      <c r="H251" s="140" t="s">
        <v>1073</v>
      </c>
      <c r="I251" s="139">
        <v>1906</v>
      </c>
      <c r="J251" s="140" t="s">
        <v>1074</v>
      </c>
      <c r="K251" s="140" t="s">
        <v>942</v>
      </c>
      <c r="L251" s="139">
        <v>1906022</v>
      </c>
      <c r="M251" s="140" t="s">
        <v>1100</v>
      </c>
      <c r="N251" s="139">
        <v>1906022</v>
      </c>
      <c r="O251" s="140" t="s">
        <v>1100</v>
      </c>
      <c r="P251" s="145">
        <v>190602200</v>
      </c>
      <c r="Q251" s="142" t="s">
        <v>1101</v>
      </c>
      <c r="R251" s="145">
        <v>190602200</v>
      </c>
      <c r="S251" s="142" t="s">
        <v>1101</v>
      </c>
      <c r="T251" s="145" t="s">
        <v>157</v>
      </c>
      <c r="U251" s="145" t="s">
        <v>256</v>
      </c>
      <c r="V251" s="145">
        <v>2</v>
      </c>
      <c r="W251" s="145">
        <v>2</v>
      </c>
      <c r="X251" s="145">
        <v>0</v>
      </c>
      <c r="Y251" s="146">
        <v>2020003630138</v>
      </c>
      <c r="Z251" s="147" t="s">
        <v>1096</v>
      </c>
      <c r="AA251" s="140" t="s">
        <v>1097</v>
      </c>
      <c r="AB251" s="130"/>
      <c r="AC251" s="130"/>
      <c r="AD251" s="130"/>
      <c r="AE251" s="130"/>
      <c r="AF251" s="130"/>
      <c r="AG251" s="130"/>
      <c r="AH251" s="130"/>
      <c r="AI251" s="130"/>
      <c r="AJ251" s="130"/>
      <c r="AK251" s="148"/>
      <c r="AL251" s="148"/>
      <c r="AM251" s="148"/>
      <c r="AN251" s="130"/>
      <c r="AO251" s="130"/>
      <c r="AP251" s="130"/>
      <c r="AQ251" s="130"/>
      <c r="AR251" s="130"/>
      <c r="AS251" s="130"/>
      <c r="AT251" s="135">
        <v>20000000</v>
      </c>
      <c r="AU251" s="135"/>
      <c r="AV251" s="135"/>
      <c r="AW251" s="130"/>
      <c r="AX251" s="130"/>
      <c r="AY251" s="130"/>
      <c r="AZ251" s="130"/>
      <c r="BA251" s="130"/>
      <c r="BB251" s="130"/>
      <c r="BC251" s="130"/>
      <c r="BD251" s="130"/>
      <c r="BE251" s="130"/>
      <c r="BF251" s="138">
        <f t="shared" si="24"/>
        <v>20000000</v>
      </c>
      <c r="BG251" s="138">
        <f t="shared" si="21"/>
        <v>0</v>
      </c>
      <c r="BH251" s="138">
        <f t="shared" si="22"/>
        <v>0</v>
      </c>
      <c r="BI251" s="149" t="s">
        <v>14</v>
      </c>
    </row>
    <row r="252" spans="1:77" s="151" customFormat="1" ht="38.25">
      <c r="A252" s="139">
        <v>318</v>
      </c>
      <c r="B252" s="140" t="s">
        <v>932</v>
      </c>
      <c r="C252" s="139">
        <v>1</v>
      </c>
      <c r="D252" s="140" t="s">
        <v>148</v>
      </c>
      <c r="E252" s="139">
        <v>19</v>
      </c>
      <c r="F252" s="140" t="s">
        <v>755</v>
      </c>
      <c r="G252" s="139">
        <v>1906</v>
      </c>
      <c r="H252" s="140" t="s">
        <v>1073</v>
      </c>
      <c r="I252" s="139">
        <v>1906</v>
      </c>
      <c r="J252" s="140" t="s">
        <v>1074</v>
      </c>
      <c r="K252" s="140" t="s">
        <v>1075</v>
      </c>
      <c r="L252" s="139" t="s">
        <v>61</v>
      </c>
      <c r="M252" s="140" t="s">
        <v>1082</v>
      </c>
      <c r="N252" s="139">
        <v>1906023</v>
      </c>
      <c r="O252" s="140" t="s">
        <v>1102</v>
      </c>
      <c r="P252" s="139" t="s">
        <v>61</v>
      </c>
      <c r="Q252" s="142" t="s">
        <v>1103</v>
      </c>
      <c r="R252" s="145">
        <v>190602301</v>
      </c>
      <c r="S252" s="142" t="s">
        <v>1084</v>
      </c>
      <c r="T252" s="145" t="s">
        <v>69</v>
      </c>
      <c r="U252" s="145">
        <v>40</v>
      </c>
      <c r="V252" s="145"/>
      <c r="W252" s="145">
        <v>40</v>
      </c>
      <c r="X252" s="145">
        <v>0</v>
      </c>
      <c r="Y252" s="146">
        <v>2020003630138</v>
      </c>
      <c r="Z252" s="147" t="s">
        <v>1096</v>
      </c>
      <c r="AA252" s="140" t="s">
        <v>1097</v>
      </c>
      <c r="AB252" s="130"/>
      <c r="AC252" s="130"/>
      <c r="AD252" s="130"/>
      <c r="AE252" s="130"/>
      <c r="AF252" s="130"/>
      <c r="AG252" s="130"/>
      <c r="AH252" s="130"/>
      <c r="AI252" s="130"/>
      <c r="AJ252" s="130"/>
      <c r="AK252" s="148"/>
      <c r="AL252" s="148"/>
      <c r="AM252" s="148"/>
      <c r="AN252" s="130"/>
      <c r="AO252" s="130"/>
      <c r="AP252" s="130"/>
      <c r="AQ252" s="130"/>
      <c r="AR252" s="130"/>
      <c r="AS252" s="130"/>
      <c r="AT252" s="135">
        <v>20000000</v>
      </c>
      <c r="AU252" s="135"/>
      <c r="AV252" s="135"/>
      <c r="AW252" s="130"/>
      <c r="AX252" s="130"/>
      <c r="AY252" s="130"/>
      <c r="AZ252" s="130"/>
      <c r="BA252" s="130"/>
      <c r="BB252" s="130"/>
      <c r="BC252" s="130"/>
      <c r="BD252" s="130"/>
      <c r="BE252" s="130"/>
      <c r="BF252" s="138">
        <f t="shared" si="24"/>
        <v>20000000</v>
      </c>
      <c r="BG252" s="138">
        <f t="shared" si="21"/>
        <v>0</v>
      </c>
      <c r="BH252" s="138">
        <f t="shared" si="22"/>
        <v>0</v>
      </c>
      <c r="BI252" s="149" t="s">
        <v>14</v>
      </c>
    </row>
    <row r="253" spans="1:77" s="151" customFormat="1" ht="58.5" customHeight="1">
      <c r="A253" s="139">
        <v>318</v>
      </c>
      <c r="B253" s="140" t="s">
        <v>932</v>
      </c>
      <c r="C253" s="139">
        <v>1</v>
      </c>
      <c r="D253" s="140" t="s">
        <v>148</v>
      </c>
      <c r="E253" s="139">
        <v>19</v>
      </c>
      <c r="F253" s="140" t="s">
        <v>755</v>
      </c>
      <c r="G253" s="139">
        <v>1903</v>
      </c>
      <c r="H253" s="140" t="s">
        <v>933</v>
      </c>
      <c r="I253" s="139">
        <v>1903</v>
      </c>
      <c r="J253" s="140" t="s">
        <v>934</v>
      </c>
      <c r="K253" s="140" t="s">
        <v>1001</v>
      </c>
      <c r="L253" s="139">
        <v>1903015</v>
      </c>
      <c r="M253" s="140" t="s">
        <v>1104</v>
      </c>
      <c r="N253" s="139">
        <v>1903015</v>
      </c>
      <c r="O253" s="140" t="s">
        <v>1104</v>
      </c>
      <c r="P253" s="145">
        <v>190301500</v>
      </c>
      <c r="Q253" s="141" t="s">
        <v>1105</v>
      </c>
      <c r="R253" s="145">
        <v>190301500</v>
      </c>
      <c r="S253" s="142" t="s">
        <v>1105</v>
      </c>
      <c r="T253" s="145" t="s">
        <v>69</v>
      </c>
      <c r="U253" s="145">
        <v>12</v>
      </c>
      <c r="V253" s="145"/>
      <c r="W253" s="145">
        <v>12</v>
      </c>
      <c r="X253" s="145">
        <v>12</v>
      </c>
      <c r="Y253" s="146">
        <v>2020003630117</v>
      </c>
      <c r="Z253" s="140" t="s">
        <v>967</v>
      </c>
      <c r="AA253" s="140" t="s">
        <v>968</v>
      </c>
      <c r="AB253" s="130"/>
      <c r="AC253" s="130"/>
      <c r="AD253" s="130"/>
      <c r="AE253" s="130"/>
      <c r="AF253" s="130"/>
      <c r="AG253" s="130"/>
      <c r="AH253" s="130">
        <v>122500000</v>
      </c>
      <c r="AI253" s="130">
        <v>70519332</v>
      </c>
      <c r="AJ253" s="130">
        <v>22800000</v>
      </c>
      <c r="AK253" s="130"/>
      <c r="AL253" s="130"/>
      <c r="AM253" s="130"/>
      <c r="AN253" s="130"/>
      <c r="AO253" s="130"/>
      <c r="AP253" s="130"/>
      <c r="AQ253" s="130"/>
      <c r="AR253" s="130"/>
      <c r="AS253" s="130"/>
      <c r="AT253" s="135">
        <v>75000000</v>
      </c>
      <c r="AU253" s="135">
        <v>15410000</v>
      </c>
      <c r="AV253" s="135">
        <v>5300000</v>
      </c>
      <c r="AW253" s="130"/>
      <c r="AX253" s="130"/>
      <c r="AY253" s="130"/>
      <c r="AZ253" s="130"/>
      <c r="BA253" s="130"/>
      <c r="BB253" s="130"/>
      <c r="BC253" s="130"/>
      <c r="BD253" s="130"/>
      <c r="BE253" s="130"/>
      <c r="BF253" s="138">
        <f t="shared" si="24"/>
        <v>197500000</v>
      </c>
      <c r="BG253" s="138">
        <f t="shared" si="21"/>
        <v>85929332</v>
      </c>
      <c r="BH253" s="138">
        <f t="shared" si="22"/>
        <v>28100000</v>
      </c>
      <c r="BI253" s="149" t="s">
        <v>14</v>
      </c>
    </row>
    <row r="254" spans="1:77" s="151" customFormat="1" ht="59.25" customHeight="1">
      <c r="A254" s="139">
        <v>318</v>
      </c>
      <c r="B254" s="140" t="s">
        <v>932</v>
      </c>
      <c r="C254" s="139">
        <v>1</v>
      </c>
      <c r="D254" s="140" t="s">
        <v>148</v>
      </c>
      <c r="E254" s="139">
        <v>19</v>
      </c>
      <c r="F254" s="140" t="s">
        <v>755</v>
      </c>
      <c r="G254" s="139">
        <v>1905</v>
      </c>
      <c r="H254" s="140" t="s">
        <v>756</v>
      </c>
      <c r="I254" s="139">
        <v>1905</v>
      </c>
      <c r="J254" s="140" t="s">
        <v>1004</v>
      </c>
      <c r="K254" s="140" t="s">
        <v>1001</v>
      </c>
      <c r="L254" s="139" t="s">
        <v>61</v>
      </c>
      <c r="M254" s="140" t="s">
        <v>1106</v>
      </c>
      <c r="N254" s="139">
        <v>1905015</v>
      </c>
      <c r="O254" s="140" t="s">
        <v>253</v>
      </c>
      <c r="P254" s="139" t="s">
        <v>61</v>
      </c>
      <c r="Q254" s="142" t="s">
        <v>1107</v>
      </c>
      <c r="R254" s="139" t="s">
        <v>1108</v>
      </c>
      <c r="S254" s="142" t="s">
        <v>1109</v>
      </c>
      <c r="T254" s="145" t="s">
        <v>69</v>
      </c>
      <c r="U254" s="145">
        <v>1</v>
      </c>
      <c r="V254" s="145"/>
      <c r="W254" s="145">
        <v>1</v>
      </c>
      <c r="X254" s="145">
        <v>0.3</v>
      </c>
      <c r="Y254" s="146">
        <v>2020003630125</v>
      </c>
      <c r="Z254" s="140" t="s">
        <v>1042</v>
      </c>
      <c r="AA254" s="140" t="s">
        <v>1043</v>
      </c>
      <c r="AB254" s="130"/>
      <c r="AC254" s="130"/>
      <c r="AD254" s="130"/>
      <c r="AE254" s="130"/>
      <c r="AF254" s="130"/>
      <c r="AG254" s="130"/>
      <c r="AH254" s="135">
        <v>25000000</v>
      </c>
      <c r="AI254" s="135">
        <v>6600000</v>
      </c>
      <c r="AJ254" s="135">
        <v>3200000</v>
      </c>
      <c r="AK254" s="130"/>
      <c r="AL254" s="130"/>
      <c r="AM254" s="130"/>
      <c r="AN254" s="130"/>
      <c r="AO254" s="130"/>
      <c r="AP254" s="130"/>
      <c r="AQ254" s="130"/>
      <c r="AR254" s="130"/>
      <c r="AS254" s="130"/>
      <c r="AT254" s="135">
        <v>75000000</v>
      </c>
      <c r="AU254" s="135">
        <v>23556666</v>
      </c>
      <c r="AV254" s="135">
        <v>9600000</v>
      </c>
      <c r="AW254" s="130"/>
      <c r="AX254" s="130"/>
      <c r="AY254" s="130"/>
      <c r="AZ254" s="130"/>
      <c r="BA254" s="130"/>
      <c r="BB254" s="130"/>
      <c r="BC254" s="130"/>
      <c r="BD254" s="130"/>
      <c r="BE254" s="130"/>
      <c r="BF254" s="138">
        <f t="shared" si="24"/>
        <v>100000000</v>
      </c>
      <c r="BG254" s="138">
        <f t="shared" si="21"/>
        <v>30156666</v>
      </c>
      <c r="BH254" s="138">
        <f t="shared" si="22"/>
        <v>12800000</v>
      </c>
      <c r="BI254" s="149" t="s">
        <v>14</v>
      </c>
    </row>
    <row r="255" spans="1:77" s="151" customFormat="1" ht="77.25" customHeight="1">
      <c r="A255" s="139">
        <v>318</v>
      </c>
      <c r="B255" s="140" t="s">
        <v>932</v>
      </c>
      <c r="C255" s="139">
        <v>1</v>
      </c>
      <c r="D255" s="140" t="s">
        <v>148</v>
      </c>
      <c r="E255" s="139">
        <v>19</v>
      </c>
      <c r="F255" s="140" t="s">
        <v>755</v>
      </c>
      <c r="G255" s="139">
        <v>1905</v>
      </c>
      <c r="H255" s="140" t="s">
        <v>756</v>
      </c>
      <c r="I255" s="139">
        <v>1905</v>
      </c>
      <c r="J255" s="140" t="s">
        <v>1004</v>
      </c>
      <c r="K255" s="140" t="s">
        <v>1110</v>
      </c>
      <c r="L255" s="139">
        <v>1905023</v>
      </c>
      <c r="M255" s="140" t="s">
        <v>1111</v>
      </c>
      <c r="N255" s="139">
        <v>1905023</v>
      </c>
      <c r="O255" s="140" t="s">
        <v>1111</v>
      </c>
      <c r="P255" s="145">
        <v>190502300</v>
      </c>
      <c r="Q255" s="142" t="s">
        <v>1112</v>
      </c>
      <c r="R255" s="145">
        <v>190502300</v>
      </c>
      <c r="S255" s="142" t="s">
        <v>1112</v>
      </c>
      <c r="T255" s="145" t="s">
        <v>69</v>
      </c>
      <c r="U255" s="145">
        <v>12</v>
      </c>
      <c r="V255" s="145"/>
      <c r="W255" s="145">
        <v>12</v>
      </c>
      <c r="X255" s="145">
        <v>12</v>
      </c>
      <c r="Y255" s="146">
        <v>2020003630126</v>
      </c>
      <c r="Z255" s="141" t="s">
        <v>1044</v>
      </c>
      <c r="AA255" s="140" t="s">
        <v>1045</v>
      </c>
      <c r="AB255" s="130"/>
      <c r="AC255" s="130"/>
      <c r="AD255" s="130"/>
      <c r="AE255" s="130"/>
      <c r="AF255" s="130"/>
      <c r="AG255" s="130"/>
      <c r="AH255" s="135">
        <v>55000000</v>
      </c>
      <c r="AI255" s="135">
        <v>29200000</v>
      </c>
      <c r="AJ255" s="135">
        <v>18100000</v>
      </c>
      <c r="AK255" s="130"/>
      <c r="AL255" s="130"/>
      <c r="AM255" s="130"/>
      <c r="AN255" s="130"/>
      <c r="AO255" s="130"/>
      <c r="AP255" s="130"/>
      <c r="AQ255" s="130"/>
      <c r="AR255" s="130"/>
      <c r="AS255" s="130"/>
      <c r="AT255" s="135">
        <v>45000000</v>
      </c>
      <c r="AU255" s="135">
        <v>23950000</v>
      </c>
      <c r="AV255" s="135">
        <v>5200000</v>
      </c>
      <c r="AW255" s="130"/>
      <c r="AX255" s="130"/>
      <c r="AY255" s="130"/>
      <c r="AZ255" s="130"/>
      <c r="BA255" s="130"/>
      <c r="BB255" s="130"/>
      <c r="BC255" s="130"/>
      <c r="BD255" s="130"/>
      <c r="BE255" s="130"/>
      <c r="BF255" s="138">
        <f t="shared" si="24"/>
        <v>100000000</v>
      </c>
      <c r="BG255" s="138">
        <f t="shared" si="21"/>
        <v>53150000</v>
      </c>
      <c r="BH255" s="138">
        <f t="shared" si="22"/>
        <v>23300000</v>
      </c>
      <c r="BI255" s="149" t="s">
        <v>14</v>
      </c>
    </row>
    <row r="256" spans="1:77" s="151" customFormat="1" ht="122.25" customHeight="1">
      <c r="A256" s="139">
        <v>318</v>
      </c>
      <c r="B256" s="140" t="s">
        <v>932</v>
      </c>
      <c r="C256" s="139">
        <v>1</v>
      </c>
      <c r="D256" s="140" t="s">
        <v>148</v>
      </c>
      <c r="E256" s="139">
        <v>19</v>
      </c>
      <c r="F256" s="140" t="s">
        <v>755</v>
      </c>
      <c r="G256" s="139">
        <v>1905</v>
      </c>
      <c r="H256" s="140" t="s">
        <v>756</v>
      </c>
      <c r="I256" s="139">
        <v>1905</v>
      </c>
      <c r="J256" s="140" t="s">
        <v>1004</v>
      </c>
      <c r="K256" s="140" t="s">
        <v>1050</v>
      </c>
      <c r="L256" s="139">
        <v>1905026</v>
      </c>
      <c r="M256" s="140" t="s">
        <v>1051</v>
      </c>
      <c r="N256" s="139">
        <v>1905026</v>
      </c>
      <c r="O256" s="140" t="s">
        <v>1051</v>
      </c>
      <c r="P256" s="145">
        <v>190502600</v>
      </c>
      <c r="Q256" s="142" t="s">
        <v>1052</v>
      </c>
      <c r="R256" s="145">
        <v>190502600</v>
      </c>
      <c r="S256" s="142" t="s">
        <v>1052</v>
      </c>
      <c r="T256" s="143" t="s">
        <v>69</v>
      </c>
      <c r="U256" s="139">
        <v>12</v>
      </c>
      <c r="V256" s="139"/>
      <c r="W256" s="145">
        <v>12</v>
      </c>
      <c r="X256" s="145">
        <v>3</v>
      </c>
      <c r="Y256" s="146">
        <v>2020003630128</v>
      </c>
      <c r="Z256" s="140" t="s">
        <v>1057</v>
      </c>
      <c r="AA256" s="140" t="s">
        <v>1058</v>
      </c>
      <c r="AB256" s="130"/>
      <c r="AC256" s="130"/>
      <c r="AD256" s="130"/>
      <c r="AE256" s="130"/>
      <c r="AF256" s="130"/>
      <c r="AG256" s="130"/>
      <c r="AH256" s="130">
        <v>15000000</v>
      </c>
      <c r="AI256" s="130"/>
      <c r="AJ256" s="130"/>
      <c r="AK256" s="130"/>
      <c r="AL256" s="130"/>
      <c r="AM256" s="130"/>
      <c r="AN256" s="273"/>
      <c r="AO256" s="273"/>
      <c r="AP256" s="273"/>
      <c r="AQ256" s="130"/>
      <c r="AR256" s="130"/>
      <c r="AS256" s="130"/>
      <c r="AT256" s="130">
        <v>230000000</v>
      </c>
      <c r="AU256" s="130">
        <v>104068840</v>
      </c>
      <c r="AV256" s="130">
        <v>98202174</v>
      </c>
      <c r="AW256" s="130"/>
      <c r="AX256" s="130"/>
      <c r="AY256" s="130"/>
      <c r="AZ256" s="130"/>
      <c r="BA256" s="130"/>
      <c r="BB256" s="130"/>
      <c r="BC256" s="130">
        <v>241380734</v>
      </c>
      <c r="BD256" s="130"/>
      <c r="BE256" s="130"/>
      <c r="BF256" s="138">
        <f t="shared" si="24"/>
        <v>486380734</v>
      </c>
      <c r="BG256" s="138">
        <f t="shared" si="21"/>
        <v>104068840</v>
      </c>
      <c r="BH256" s="138">
        <f t="shared" si="22"/>
        <v>98202174</v>
      </c>
      <c r="BI256" s="149" t="s">
        <v>14</v>
      </c>
    </row>
    <row r="257" spans="1:61" s="151" customFormat="1" ht="120" customHeight="1">
      <c r="A257" s="139">
        <v>318</v>
      </c>
      <c r="B257" s="140" t="s">
        <v>932</v>
      </c>
      <c r="C257" s="139">
        <v>1</v>
      </c>
      <c r="D257" s="140" t="s">
        <v>148</v>
      </c>
      <c r="E257" s="139">
        <v>19</v>
      </c>
      <c r="F257" s="140" t="s">
        <v>755</v>
      </c>
      <c r="G257" s="139">
        <v>1905</v>
      </c>
      <c r="H257" s="140" t="s">
        <v>756</v>
      </c>
      <c r="I257" s="139">
        <v>1905</v>
      </c>
      <c r="J257" s="140" t="s">
        <v>1004</v>
      </c>
      <c r="K257" s="140" t="s">
        <v>1050</v>
      </c>
      <c r="L257" s="145">
        <v>1905026</v>
      </c>
      <c r="M257" s="140" t="s">
        <v>1113</v>
      </c>
      <c r="N257" s="139">
        <v>1905026</v>
      </c>
      <c r="O257" s="140" t="s">
        <v>1113</v>
      </c>
      <c r="P257" s="145">
        <v>190502600</v>
      </c>
      <c r="Q257" s="142" t="s">
        <v>1052</v>
      </c>
      <c r="R257" s="145">
        <v>190502600</v>
      </c>
      <c r="S257" s="142" t="s">
        <v>1052</v>
      </c>
      <c r="T257" s="143" t="s">
        <v>69</v>
      </c>
      <c r="U257" s="139">
        <v>12</v>
      </c>
      <c r="V257" s="139"/>
      <c r="W257" s="145">
        <v>12</v>
      </c>
      <c r="X257" s="145">
        <v>8</v>
      </c>
      <c r="Y257" s="146">
        <v>2020003630129</v>
      </c>
      <c r="Z257" s="140" t="s">
        <v>1059</v>
      </c>
      <c r="AA257" s="140" t="s">
        <v>1060</v>
      </c>
      <c r="AB257" s="130"/>
      <c r="AC257" s="130"/>
      <c r="AD257" s="130"/>
      <c r="AE257" s="130"/>
      <c r="AF257" s="130"/>
      <c r="AG257" s="130"/>
      <c r="AH257" s="130"/>
      <c r="AI257" s="130"/>
      <c r="AJ257" s="130"/>
      <c r="AK257" s="130"/>
      <c r="AL257" s="130"/>
      <c r="AM257" s="130"/>
      <c r="AN257" s="130"/>
      <c r="AO257" s="130"/>
      <c r="AP257" s="130"/>
      <c r="AQ257" s="130"/>
      <c r="AR257" s="130"/>
      <c r="AS257" s="130"/>
      <c r="AT257" s="135">
        <v>40000000</v>
      </c>
      <c r="AU257" s="135">
        <v>21453333</v>
      </c>
      <c r="AV257" s="135">
        <v>9600000</v>
      </c>
      <c r="AW257" s="130"/>
      <c r="AX257" s="130"/>
      <c r="AY257" s="130"/>
      <c r="AZ257" s="130"/>
      <c r="BA257" s="130"/>
      <c r="BB257" s="130"/>
      <c r="BC257" s="130">
        <v>88356873</v>
      </c>
      <c r="BD257" s="130"/>
      <c r="BE257" s="130"/>
      <c r="BF257" s="138">
        <f t="shared" si="24"/>
        <v>128356873</v>
      </c>
      <c r="BG257" s="138">
        <f t="shared" si="21"/>
        <v>21453333</v>
      </c>
      <c r="BH257" s="138">
        <f t="shared" si="22"/>
        <v>9600000</v>
      </c>
      <c r="BI257" s="149" t="s">
        <v>14</v>
      </c>
    </row>
    <row r="258" spans="1:61" s="151" customFormat="1" ht="121.5" customHeight="1">
      <c r="A258" s="139">
        <v>318</v>
      </c>
      <c r="B258" s="140" t="s">
        <v>932</v>
      </c>
      <c r="C258" s="139">
        <v>1</v>
      </c>
      <c r="D258" s="140" t="s">
        <v>148</v>
      </c>
      <c r="E258" s="139">
        <v>19</v>
      </c>
      <c r="F258" s="140" t="s">
        <v>755</v>
      </c>
      <c r="G258" s="139">
        <v>1905</v>
      </c>
      <c r="H258" s="140" t="s">
        <v>756</v>
      </c>
      <c r="I258" s="139">
        <v>1905</v>
      </c>
      <c r="J258" s="140" t="s">
        <v>1004</v>
      </c>
      <c r="K258" s="140" t="s">
        <v>1050</v>
      </c>
      <c r="L258" s="139">
        <v>1905026</v>
      </c>
      <c r="M258" s="140" t="s">
        <v>1051</v>
      </c>
      <c r="N258" s="139">
        <v>1905026</v>
      </c>
      <c r="O258" s="140" t="s">
        <v>1051</v>
      </c>
      <c r="P258" s="145">
        <v>190502600</v>
      </c>
      <c r="Q258" s="142" t="s">
        <v>1052</v>
      </c>
      <c r="R258" s="145">
        <v>190502600</v>
      </c>
      <c r="S258" s="142" t="s">
        <v>1052</v>
      </c>
      <c r="T258" s="143" t="s">
        <v>69</v>
      </c>
      <c r="U258" s="139">
        <v>12</v>
      </c>
      <c r="V258" s="139"/>
      <c r="W258" s="145">
        <v>12</v>
      </c>
      <c r="X258" s="145">
        <v>0</v>
      </c>
      <c r="Y258" s="146">
        <v>2020003630130</v>
      </c>
      <c r="Z258" s="147" t="s">
        <v>1114</v>
      </c>
      <c r="AA258" s="140" t="s">
        <v>1115</v>
      </c>
      <c r="AB258" s="130"/>
      <c r="AC258" s="130"/>
      <c r="AD258" s="130"/>
      <c r="AE258" s="130"/>
      <c r="AF258" s="130"/>
      <c r="AG258" s="130"/>
      <c r="AH258" s="130"/>
      <c r="AI258" s="130"/>
      <c r="AJ258" s="130"/>
      <c r="AK258" s="138"/>
      <c r="AL258" s="138"/>
      <c r="AM258" s="138"/>
      <c r="AN258" s="130"/>
      <c r="AO258" s="130"/>
      <c r="AP258" s="130"/>
      <c r="AQ258" s="130"/>
      <c r="AR258" s="130"/>
      <c r="AS258" s="130"/>
      <c r="AT258" s="135">
        <v>50000000</v>
      </c>
      <c r="AU258" s="135"/>
      <c r="AV258" s="135"/>
      <c r="AW258" s="130"/>
      <c r="AX258" s="130"/>
      <c r="AY258" s="130"/>
      <c r="AZ258" s="130"/>
      <c r="BA258" s="130"/>
      <c r="BB258" s="130"/>
      <c r="BC258" s="130"/>
      <c r="BD258" s="130"/>
      <c r="BE258" s="130"/>
      <c r="BF258" s="138">
        <f t="shared" si="24"/>
        <v>50000000</v>
      </c>
      <c r="BG258" s="138">
        <f t="shared" si="21"/>
        <v>0</v>
      </c>
      <c r="BH258" s="138">
        <f t="shared" si="22"/>
        <v>0</v>
      </c>
      <c r="BI258" s="149" t="s">
        <v>14</v>
      </c>
    </row>
    <row r="259" spans="1:61" s="151" customFormat="1" ht="73.5" customHeight="1">
      <c r="A259" s="139">
        <v>318</v>
      </c>
      <c r="B259" s="140" t="s">
        <v>932</v>
      </c>
      <c r="C259" s="139">
        <v>1</v>
      </c>
      <c r="D259" s="140" t="s">
        <v>148</v>
      </c>
      <c r="E259" s="139">
        <v>19</v>
      </c>
      <c r="F259" s="140" t="s">
        <v>755</v>
      </c>
      <c r="G259" s="139">
        <v>1905</v>
      </c>
      <c r="H259" s="140" t="s">
        <v>756</v>
      </c>
      <c r="I259" s="139">
        <v>1905</v>
      </c>
      <c r="J259" s="140" t="s">
        <v>1004</v>
      </c>
      <c r="K259" s="140" t="s">
        <v>957</v>
      </c>
      <c r="L259" s="139">
        <v>1905029</v>
      </c>
      <c r="M259" s="140" t="s">
        <v>1116</v>
      </c>
      <c r="N259" s="139">
        <v>1905030</v>
      </c>
      <c r="O259" s="140" t="s">
        <v>1117</v>
      </c>
      <c r="P259" s="145">
        <v>190502900</v>
      </c>
      <c r="Q259" s="142" t="s">
        <v>1118</v>
      </c>
      <c r="R259" s="145">
        <v>190503000</v>
      </c>
      <c r="S259" s="142" t="s">
        <v>1118</v>
      </c>
      <c r="T259" s="145" t="s">
        <v>69</v>
      </c>
      <c r="U259" s="145">
        <v>60</v>
      </c>
      <c r="V259" s="145"/>
      <c r="W259" s="145">
        <v>60</v>
      </c>
      <c r="X259" s="145">
        <v>60</v>
      </c>
      <c r="Y259" s="146">
        <v>2020003630131</v>
      </c>
      <c r="Z259" s="147" t="s">
        <v>1119</v>
      </c>
      <c r="AA259" s="140" t="s">
        <v>1120</v>
      </c>
      <c r="AB259" s="130"/>
      <c r="AC259" s="130"/>
      <c r="AD259" s="130"/>
      <c r="AE259" s="130"/>
      <c r="AF259" s="130"/>
      <c r="AG259" s="130"/>
      <c r="AH259" s="130">
        <v>12500000</v>
      </c>
      <c r="AI259" s="130">
        <v>8533333</v>
      </c>
      <c r="AJ259" s="130"/>
      <c r="AK259" s="130"/>
      <c r="AL259" s="130"/>
      <c r="AM259" s="130"/>
      <c r="AN259" s="130"/>
      <c r="AO259" s="130"/>
      <c r="AP259" s="130"/>
      <c r="AQ259" s="130"/>
      <c r="AR259" s="130"/>
      <c r="AS259" s="130"/>
      <c r="AT259" s="135">
        <v>25000000</v>
      </c>
      <c r="AU259" s="135"/>
      <c r="AV259" s="135"/>
      <c r="AW259" s="130"/>
      <c r="AX259" s="130"/>
      <c r="AY259" s="130"/>
      <c r="AZ259" s="130"/>
      <c r="BA259" s="130"/>
      <c r="BB259" s="130"/>
      <c r="BC259" s="130"/>
      <c r="BD259" s="130"/>
      <c r="BE259" s="130"/>
      <c r="BF259" s="138">
        <f t="shared" si="24"/>
        <v>37500000</v>
      </c>
      <c r="BG259" s="138">
        <f t="shared" si="21"/>
        <v>8533333</v>
      </c>
      <c r="BH259" s="138">
        <f t="shared" si="22"/>
        <v>0</v>
      </c>
      <c r="BI259" s="149" t="s">
        <v>14</v>
      </c>
    </row>
    <row r="260" spans="1:61" s="151" customFormat="1" ht="66.75" customHeight="1">
      <c r="A260" s="139">
        <v>318</v>
      </c>
      <c r="B260" s="140" t="s">
        <v>932</v>
      </c>
      <c r="C260" s="139">
        <v>1</v>
      </c>
      <c r="D260" s="140" t="s">
        <v>148</v>
      </c>
      <c r="E260" s="139">
        <v>19</v>
      </c>
      <c r="F260" s="140" t="s">
        <v>755</v>
      </c>
      <c r="G260" s="139">
        <v>1905</v>
      </c>
      <c r="H260" s="140" t="s">
        <v>756</v>
      </c>
      <c r="I260" s="139">
        <v>1905</v>
      </c>
      <c r="J260" s="140" t="s">
        <v>1004</v>
      </c>
      <c r="K260" s="140" t="s">
        <v>990</v>
      </c>
      <c r="L260" s="139">
        <v>1905025</v>
      </c>
      <c r="M260" s="140" t="s">
        <v>1121</v>
      </c>
      <c r="N260" s="139">
        <v>1905025</v>
      </c>
      <c r="O260" s="140" t="s">
        <v>1121</v>
      </c>
      <c r="P260" s="145">
        <v>190502500</v>
      </c>
      <c r="Q260" s="142" t="s">
        <v>1122</v>
      </c>
      <c r="R260" s="145">
        <v>190502500</v>
      </c>
      <c r="S260" s="142" t="s">
        <v>1122</v>
      </c>
      <c r="T260" s="145" t="s">
        <v>69</v>
      </c>
      <c r="U260" s="145">
        <v>12</v>
      </c>
      <c r="V260" s="145"/>
      <c r="W260" s="145">
        <f>U260+V260</f>
        <v>12</v>
      </c>
      <c r="X260" s="145">
        <v>12</v>
      </c>
      <c r="Y260" s="146">
        <v>2020003630132</v>
      </c>
      <c r="Z260" s="147" t="s">
        <v>1123</v>
      </c>
      <c r="AA260" s="140" t="s">
        <v>1124</v>
      </c>
      <c r="AB260" s="130"/>
      <c r="AC260" s="130"/>
      <c r="AD260" s="130"/>
      <c r="AE260" s="130"/>
      <c r="AF260" s="130"/>
      <c r="AG260" s="130"/>
      <c r="AH260" s="130">
        <f>90000000/2</f>
        <v>45000000</v>
      </c>
      <c r="AI260" s="130">
        <v>34386666</v>
      </c>
      <c r="AJ260" s="130">
        <v>12050000</v>
      </c>
      <c r="AK260" s="130"/>
      <c r="AL260" s="130"/>
      <c r="AM260" s="130"/>
      <c r="AN260" s="130"/>
      <c r="AO260" s="130"/>
      <c r="AP260" s="130"/>
      <c r="AQ260" s="130"/>
      <c r="AR260" s="130"/>
      <c r="AS260" s="130"/>
      <c r="AT260" s="135">
        <v>40000000</v>
      </c>
      <c r="AU260" s="135"/>
      <c r="AV260" s="135"/>
      <c r="AW260" s="130"/>
      <c r="AX260" s="130"/>
      <c r="AY260" s="130"/>
      <c r="AZ260" s="130"/>
      <c r="BA260" s="130"/>
      <c r="BB260" s="130"/>
      <c r="BC260" s="130"/>
      <c r="BD260" s="130"/>
      <c r="BE260" s="130"/>
      <c r="BF260" s="138">
        <f t="shared" si="24"/>
        <v>85000000</v>
      </c>
      <c r="BG260" s="138">
        <f t="shared" si="21"/>
        <v>34386666</v>
      </c>
      <c r="BH260" s="138">
        <f t="shared" si="22"/>
        <v>12050000</v>
      </c>
      <c r="BI260" s="149" t="s">
        <v>14</v>
      </c>
    </row>
    <row r="261" spans="1:61" s="151" customFormat="1" ht="69.75" customHeight="1">
      <c r="A261" s="139">
        <v>324</v>
      </c>
      <c r="B261" s="140" t="s">
        <v>1125</v>
      </c>
      <c r="C261" s="139">
        <v>1</v>
      </c>
      <c r="D261" s="140" t="s">
        <v>148</v>
      </c>
      <c r="E261" s="139">
        <v>23</v>
      </c>
      <c r="F261" s="140" t="s">
        <v>1126</v>
      </c>
      <c r="G261" s="139">
        <v>2301</v>
      </c>
      <c r="H261" s="140" t="s">
        <v>1127</v>
      </c>
      <c r="I261" s="139">
        <v>2301</v>
      </c>
      <c r="J261" s="140" t="s">
        <v>1128</v>
      </c>
      <c r="K261" s="140" t="s">
        <v>1129</v>
      </c>
      <c r="L261" s="139">
        <v>2301024</v>
      </c>
      <c r="M261" s="140" t="s">
        <v>1130</v>
      </c>
      <c r="N261" s="139">
        <v>2301024</v>
      </c>
      <c r="O261" s="140" t="s">
        <v>1130</v>
      </c>
      <c r="P261" s="145">
        <v>230102401</v>
      </c>
      <c r="Q261" s="142" t="s">
        <v>1131</v>
      </c>
      <c r="R261" s="145">
        <v>230102401</v>
      </c>
      <c r="S261" s="142" t="s">
        <v>1131</v>
      </c>
      <c r="T261" s="143" t="s">
        <v>69</v>
      </c>
      <c r="U261" s="145">
        <v>15</v>
      </c>
      <c r="V261" s="145"/>
      <c r="W261" s="145">
        <f t="shared" ref="W261" si="25">U261+V261</f>
        <v>15</v>
      </c>
      <c r="X261" s="145">
        <v>15</v>
      </c>
      <c r="Y261" s="146">
        <v>2020003630038</v>
      </c>
      <c r="Z261" s="147" t="s">
        <v>1132</v>
      </c>
      <c r="AA261" s="140" t="s">
        <v>1133</v>
      </c>
      <c r="AB261" s="130"/>
      <c r="AC261" s="130"/>
      <c r="AD261" s="130"/>
      <c r="AE261" s="138"/>
      <c r="AF261" s="138"/>
      <c r="AG261" s="138"/>
      <c r="AH261" s="138"/>
      <c r="AI261" s="138"/>
      <c r="AJ261" s="138"/>
      <c r="AK261" s="138"/>
      <c r="AL261" s="138"/>
      <c r="AM261" s="138"/>
      <c r="AN261" s="138"/>
      <c r="AO261" s="138"/>
      <c r="AP261" s="138"/>
      <c r="AQ261" s="138"/>
      <c r="AR261" s="138"/>
      <c r="AS261" s="138"/>
      <c r="AT261" s="138">
        <f>18000000+6000000+36000000</f>
        <v>60000000</v>
      </c>
      <c r="AU261" s="138">
        <v>29400000</v>
      </c>
      <c r="AV261" s="138">
        <v>11200000</v>
      </c>
      <c r="AW261" s="138"/>
      <c r="AX261" s="138"/>
      <c r="AY261" s="138"/>
      <c r="AZ261" s="138"/>
      <c r="BA261" s="138"/>
      <c r="BB261" s="138"/>
      <c r="BC261" s="138"/>
      <c r="BD261" s="138"/>
      <c r="BE261" s="138"/>
      <c r="BF261" s="138">
        <f t="shared" si="20"/>
        <v>60000000</v>
      </c>
      <c r="BG261" s="138">
        <f t="shared" si="21"/>
        <v>29400000</v>
      </c>
      <c r="BH261" s="138">
        <f t="shared" si="22"/>
        <v>11200000</v>
      </c>
      <c r="BI261" s="149" t="s">
        <v>13</v>
      </c>
    </row>
    <row r="262" spans="1:61" s="151" customFormat="1" ht="77.25" customHeight="1">
      <c r="A262" s="139">
        <v>324</v>
      </c>
      <c r="B262" s="140" t="s">
        <v>1125</v>
      </c>
      <c r="C262" s="139">
        <v>1</v>
      </c>
      <c r="D262" s="140" t="s">
        <v>148</v>
      </c>
      <c r="E262" s="139">
        <v>23</v>
      </c>
      <c r="F262" s="140" t="s">
        <v>1126</v>
      </c>
      <c r="G262" s="139">
        <v>2301</v>
      </c>
      <c r="H262" s="140" t="s">
        <v>1127</v>
      </c>
      <c r="I262" s="139">
        <v>2301</v>
      </c>
      <c r="J262" s="140" t="s">
        <v>1128</v>
      </c>
      <c r="K262" s="140" t="s">
        <v>1129</v>
      </c>
      <c r="L262" s="139">
        <v>2301024</v>
      </c>
      <c r="M262" s="140" t="s">
        <v>1130</v>
      </c>
      <c r="N262" s="139">
        <v>2301024</v>
      </c>
      <c r="O262" s="140" t="s">
        <v>1130</v>
      </c>
      <c r="P262" s="145">
        <v>230102404</v>
      </c>
      <c r="Q262" s="142" t="s">
        <v>1134</v>
      </c>
      <c r="R262" s="145">
        <v>230102404</v>
      </c>
      <c r="S262" s="142" t="s">
        <v>1134</v>
      </c>
      <c r="T262" s="143" t="s">
        <v>157</v>
      </c>
      <c r="U262" s="145">
        <v>4</v>
      </c>
      <c r="V262" s="145"/>
      <c r="W262" s="145">
        <f t="shared" ref="W262:W273" si="26">U262+V262</f>
        <v>4</v>
      </c>
      <c r="X262" s="145">
        <v>0</v>
      </c>
      <c r="Y262" s="146">
        <v>2020003630038</v>
      </c>
      <c r="Z262" s="147" t="s">
        <v>1132</v>
      </c>
      <c r="AA262" s="140" t="s">
        <v>1133</v>
      </c>
      <c r="AB262" s="130"/>
      <c r="AC262" s="130"/>
      <c r="AD262" s="130"/>
      <c r="AE262" s="138"/>
      <c r="AF262" s="138"/>
      <c r="AG262" s="138"/>
      <c r="AH262" s="138"/>
      <c r="AI262" s="138"/>
      <c r="AJ262" s="138"/>
      <c r="AK262" s="138"/>
      <c r="AL262" s="138"/>
      <c r="AM262" s="138"/>
      <c r="AN262" s="138"/>
      <c r="AO262" s="138"/>
      <c r="AP262" s="138"/>
      <c r="AQ262" s="138"/>
      <c r="AR262" s="138"/>
      <c r="AS262" s="138"/>
      <c r="AT262" s="138">
        <v>100000000</v>
      </c>
      <c r="AU262" s="138">
        <v>32400000</v>
      </c>
      <c r="AV262" s="138">
        <v>3600000</v>
      </c>
      <c r="AW262" s="138"/>
      <c r="AX262" s="138"/>
      <c r="AY262" s="138"/>
      <c r="AZ262" s="138"/>
      <c r="BA262" s="138"/>
      <c r="BB262" s="138"/>
      <c r="BC262" s="138"/>
      <c r="BD262" s="138"/>
      <c r="BE262" s="138"/>
      <c r="BF262" s="138">
        <f t="shared" si="20"/>
        <v>100000000</v>
      </c>
      <c r="BG262" s="138">
        <f t="shared" si="21"/>
        <v>32400000</v>
      </c>
      <c r="BH262" s="138">
        <f t="shared" si="22"/>
        <v>3600000</v>
      </c>
      <c r="BI262" s="149" t="s">
        <v>13</v>
      </c>
    </row>
    <row r="263" spans="1:61" s="151" customFormat="1" ht="84.75" customHeight="1">
      <c r="A263" s="139">
        <v>324</v>
      </c>
      <c r="B263" s="140" t="s">
        <v>1125</v>
      </c>
      <c r="C263" s="139">
        <v>1</v>
      </c>
      <c r="D263" s="140" t="s">
        <v>148</v>
      </c>
      <c r="E263" s="139">
        <v>23</v>
      </c>
      <c r="F263" s="140" t="s">
        <v>1126</v>
      </c>
      <c r="G263" s="139">
        <v>2301</v>
      </c>
      <c r="H263" s="140" t="s">
        <v>1127</v>
      </c>
      <c r="I263" s="139">
        <v>2301</v>
      </c>
      <c r="J263" s="140" t="s">
        <v>1128</v>
      </c>
      <c r="K263" s="140" t="s">
        <v>1129</v>
      </c>
      <c r="L263" s="145">
        <v>2301012</v>
      </c>
      <c r="M263" s="140" t="s">
        <v>1135</v>
      </c>
      <c r="N263" s="139">
        <v>2301079</v>
      </c>
      <c r="O263" s="140" t="s">
        <v>1136</v>
      </c>
      <c r="P263" s="145">
        <v>230101204</v>
      </c>
      <c r="Q263" s="142" t="s">
        <v>1137</v>
      </c>
      <c r="R263" s="145">
        <v>230107902</v>
      </c>
      <c r="S263" s="142" t="s">
        <v>1138</v>
      </c>
      <c r="T263" s="143" t="s">
        <v>157</v>
      </c>
      <c r="U263" s="145">
        <v>15</v>
      </c>
      <c r="V263" s="145"/>
      <c r="W263" s="145">
        <f t="shared" si="26"/>
        <v>15</v>
      </c>
      <c r="X263" s="145">
        <v>0</v>
      </c>
      <c r="Y263" s="146">
        <v>2020003630038</v>
      </c>
      <c r="Z263" s="147" t="s">
        <v>1132</v>
      </c>
      <c r="AA263" s="140" t="s">
        <v>1133</v>
      </c>
      <c r="AB263" s="130"/>
      <c r="AC263" s="130"/>
      <c r="AD263" s="130"/>
      <c r="AE263" s="138"/>
      <c r="AF263" s="138"/>
      <c r="AG263" s="138"/>
      <c r="AH263" s="138"/>
      <c r="AI263" s="138"/>
      <c r="AJ263" s="138"/>
      <c r="AK263" s="138"/>
      <c r="AL263" s="138"/>
      <c r="AM263" s="138"/>
      <c r="AN263" s="138"/>
      <c r="AO263" s="138"/>
      <c r="AP263" s="138"/>
      <c r="AQ263" s="138"/>
      <c r="AR263" s="138"/>
      <c r="AS263" s="138"/>
      <c r="AT263" s="138">
        <f>80000000-49707500+18000000</f>
        <v>48292500</v>
      </c>
      <c r="AU263" s="138"/>
      <c r="AV263" s="138"/>
      <c r="AW263" s="138"/>
      <c r="AX263" s="138"/>
      <c r="AY263" s="138"/>
      <c r="AZ263" s="138"/>
      <c r="BA263" s="138"/>
      <c r="BB263" s="138"/>
      <c r="BC263" s="138"/>
      <c r="BD263" s="138"/>
      <c r="BE263" s="138"/>
      <c r="BF263" s="138">
        <f t="shared" si="20"/>
        <v>48292500</v>
      </c>
      <c r="BG263" s="138">
        <f t="shared" si="21"/>
        <v>0</v>
      </c>
      <c r="BH263" s="138">
        <f t="shared" si="22"/>
        <v>0</v>
      </c>
      <c r="BI263" s="149" t="s">
        <v>13</v>
      </c>
    </row>
    <row r="264" spans="1:61" s="151" customFormat="1" ht="84" customHeight="1">
      <c r="A264" s="139">
        <v>324</v>
      </c>
      <c r="B264" s="140" t="s">
        <v>1125</v>
      </c>
      <c r="C264" s="139">
        <v>1</v>
      </c>
      <c r="D264" s="140" t="s">
        <v>148</v>
      </c>
      <c r="E264" s="139">
        <v>23</v>
      </c>
      <c r="F264" s="140" t="s">
        <v>1126</v>
      </c>
      <c r="G264" s="139">
        <v>2301</v>
      </c>
      <c r="H264" s="140" t="s">
        <v>1127</v>
      </c>
      <c r="I264" s="139">
        <v>2301</v>
      </c>
      <c r="J264" s="140" t="s">
        <v>1128</v>
      </c>
      <c r="K264" s="140" t="s">
        <v>1129</v>
      </c>
      <c r="L264" s="139">
        <v>2301062</v>
      </c>
      <c r="M264" s="140" t="s">
        <v>1139</v>
      </c>
      <c r="N264" s="139">
        <v>2301062</v>
      </c>
      <c r="O264" s="140" t="s">
        <v>1139</v>
      </c>
      <c r="P264" s="145">
        <v>230106201</v>
      </c>
      <c r="Q264" s="142" t="s">
        <v>1140</v>
      </c>
      <c r="R264" s="145">
        <v>230106201</v>
      </c>
      <c r="S264" s="142" t="s">
        <v>1140</v>
      </c>
      <c r="T264" s="143"/>
      <c r="U264" s="145">
        <v>7</v>
      </c>
      <c r="V264" s="145"/>
      <c r="W264" s="145">
        <f t="shared" si="26"/>
        <v>7</v>
      </c>
      <c r="X264" s="145">
        <v>5</v>
      </c>
      <c r="Y264" s="146">
        <v>2020003630038</v>
      </c>
      <c r="Z264" s="147" t="s">
        <v>1132</v>
      </c>
      <c r="AA264" s="140" t="s">
        <v>1133</v>
      </c>
      <c r="AB264" s="130"/>
      <c r="AC264" s="130"/>
      <c r="AD264" s="130"/>
      <c r="AE264" s="138"/>
      <c r="AF264" s="138"/>
      <c r="AG264" s="138"/>
      <c r="AH264" s="138"/>
      <c r="AI264" s="138"/>
      <c r="AJ264" s="138"/>
      <c r="AK264" s="138"/>
      <c r="AL264" s="138"/>
      <c r="AM264" s="138"/>
      <c r="AN264" s="138"/>
      <c r="AO264" s="138"/>
      <c r="AP264" s="138"/>
      <c r="AQ264" s="138"/>
      <c r="AR264" s="138"/>
      <c r="AS264" s="138"/>
      <c r="AT264" s="138">
        <f>50000000-30207500+12000000</f>
        <v>31792500</v>
      </c>
      <c r="AU264" s="138"/>
      <c r="AV264" s="138"/>
      <c r="AW264" s="138"/>
      <c r="AX264" s="138"/>
      <c r="AY264" s="138"/>
      <c r="AZ264" s="138"/>
      <c r="BA264" s="138"/>
      <c r="BB264" s="138"/>
      <c r="BC264" s="138"/>
      <c r="BD264" s="138"/>
      <c r="BE264" s="138"/>
      <c r="BF264" s="138">
        <f t="shared" ref="BF264:BF305" si="27">AB264+AE264+AH264+AK264+AN264+AQ264+AT264+AW264+BC264+AZ264</f>
        <v>31792500</v>
      </c>
      <c r="BG264" s="138">
        <f t="shared" ref="BG264:BG305" si="28">AC264+AF264+AI264+AL264+AO264+AR264+AU264+AX264+BD264+BA264</f>
        <v>0</v>
      </c>
      <c r="BH264" s="138">
        <f t="shared" ref="BH264:BH305" si="29">AD264+AG264+AJ264+AM264+AP264+AS264+AV264+AY264+BE264+BB264</f>
        <v>0</v>
      </c>
      <c r="BI264" s="149" t="s">
        <v>13</v>
      </c>
    </row>
    <row r="265" spans="1:61" s="151" customFormat="1" ht="83.25" customHeight="1">
      <c r="A265" s="139">
        <v>324</v>
      </c>
      <c r="B265" s="140" t="s">
        <v>1125</v>
      </c>
      <c r="C265" s="139">
        <v>1</v>
      </c>
      <c r="D265" s="140" t="s">
        <v>148</v>
      </c>
      <c r="E265" s="139">
        <v>23</v>
      </c>
      <c r="F265" s="140" t="s">
        <v>1126</v>
      </c>
      <c r="G265" s="139">
        <v>2301</v>
      </c>
      <c r="H265" s="140" t="s">
        <v>1127</v>
      </c>
      <c r="I265" s="139">
        <v>2301</v>
      </c>
      <c r="J265" s="140" t="s">
        <v>1128</v>
      </c>
      <c r="K265" s="140" t="s">
        <v>1141</v>
      </c>
      <c r="L265" s="139">
        <v>2301030</v>
      </c>
      <c r="M265" s="140" t="s">
        <v>1142</v>
      </c>
      <c r="N265" s="139">
        <v>2301030</v>
      </c>
      <c r="O265" s="140" t="s">
        <v>1142</v>
      </c>
      <c r="P265" s="145">
        <v>230103000</v>
      </c>
      <c r="Q265" s="142" t="s">
        <v>1143</v>
      </c>
      <c r="R265" s="145">
        <v>230103000</v>
      </c>
      <c r="S265" s="142" t="s">
        <v>1143</v>
      </c>
      <c r="T265" s="143" t="s">
        <v>157</v>
      </c>
      <c r="U265" s="145">
        <v>7000</v>
      </c>
      <c r="V265" s="145"/>
      <c r="W265" s="145">
        <f t="shared" si="26"/>
        <v>7000</v>
      </c>
      <c r="X265" s="145">
        <v>907</v>
      </c>
      <c r="Y265" s="146">
        <v>2020003630139</v>
      </c>
      <c r="Z265" s="147" t="s">
        <v>1144</v>
      </c>
      <c r="AA265" s="140" t="s">
        <v>1145</v>
      </c>
      <c r="AB265" s="130"/>
      <c r="AC265" s="130"/>
      <c r="AD265" s="130"/>
      <c r="AE265" s="138"/>
      <c r="AF265" s="138"/>
      <c r="AG265" s="138"/>
      <c r="AH265" s="138"/>
      <c r="AI265" s="138"/>
      <c r="AJ265" s="138"/>
      <c r="AK265" s="138"/>
      <c r="AL265" s="138"/>
      <c r="AM265" s="138"/>
      <c r="AN265" s="138"/>
      <c r="AO265" s="138"/>
      <c r="AP265" s="138"/>
      <c r="AQ265" s="138"/>
      <c r="AR265" s="138"/>
      <c r="AS265" s="138"/>
      <c r="AT265" s="138">
        <f>115915000+34774500+113000000</f>
        <v>263689500</v>
      </c>
      <c r="AU265" s="138">
        <v>184650000</v>
      </c>
      <c r="AV265" s="138">
        <v>87400000</v>
      </c>
      <c r="AW265" s="138"/>
      <c r="AX265" s="138"/>
      <c r="AY265" s="138"/>
      <c r="AZ265" s="138"/>
      <c r="BA265" s="138"/>
      <c r="BB265" s="138"/>
      <c r="BC265" s="138"/>
      <c r="BD265" s="138"/>
      <c r="BE265" s="138"/>
      <c r="BF265" s="138">
        <f t="shared" si="27"/>
        <v>263689500</v>
      </c>
      <c r="BG265" s="138">
        <f t="shared" si="28"/>
        <v>184650000</v>
      </c>
      <c r="BH265" s="138">
        <f t="shared" si="29"/>
        <v>87400000</v>
      </c>
      <c r="BI265" s="149" t="s">
        <v>13</v>
      </c>
    </row>
    <row r="266" spans="1:61" s="151" customFormat="1" ht="83.25" customHeight="1">
      <c r="A266" s="139">
        <v>324</v>
      </c>
      <c r="B266" s="140" t="s">
        <v>1125</v>
      </c>
      <c r="C266" s="139">
        <v>1</v>
      </c>
      <c r="D266" s="140" t="s">
        <v>148</v>
      </c>
      <c r="E266" s="139">
        <v>23</v>
      </c>
      <c r="F266" s="140" t="s">
        <v>1126</v>
      </c>
      <c r="G266" s="139">
        <v>2301</v>
      </c>
      <c r="H266" s="140" t="s">
        <v>1127</v>
      </c>
      <c r="I266" s="139">
        <v>2301</v>
      </c>
      <c r="J266" s="140" t="s">
        <v>1128</v>
      </c>
      <c r="K266" s="140" t="s">
        <v>1141</v>
      </c>
      <c r="L266" s="139">
        <v>2301015</v>
      </c>
      <c r="M266" s="140" t="s">
        <v>1146</v>
      </c>
      <c r="N266" s="139">
        <v>2301015</v>
      </c>
      <c r="O266" s="140" t="s">
        <v>1146</v>
      </c>
      <c r="P266" s="145">
        <v>230101500</v>
      </c>
      <c r="Q266" s="142" t="s">
        <v>1147</v>
      </c>
      <c r="R266" s="145">
        <v>230101500</v>
      </c>
      <c r="S266" s="142" t="s">
        <v>1147</v>
      </c>
      <c r="T266" s="143" t="s">
        <v>69</v>
      </c>
      <c r="U266" s="145">
        <v>3</v>
      </c>
      <c r="V266" s="145"/>
      <c r="W266" s="145">
        <f t="shared" si="26"/>
        <v>3</v>
      </c>
      <c r="X266" s="145">
        <v>0</v>
      </c>
      <c r="Y266" s="146">
        <v>2020003630139</v>
      </c>
      <c r="Z266" s="147" t="s">
        <v>1144</v>
      </c>
      <c r="AA266" s="140" t="s">
        <v>1145</v>
      </c>
      <c r="AB266" s="130"/>
      <c r="AC266" s="130"/>
      <c r="AD266" s="130"/>
      <c r="AE266" s="138"/>
      <c r="AF266" s="138"/>
      <c r="AG266" s="138"/>
      <c r="AH266" s="138"/>
      <c r="AI266" s="138"/>
      <c r="AJ266" s="138"/>
      <c r="AK266" s="138"/>
      <c r="AL266" s="138"/>
      <c r="AM266" s="138"/>
      <c r="AN266" s="138"/>
      <c r="AO266" s="138"/>
      <c r="AP266" s="138"/>
      <c r="AQ266" s="138"/>
      <c r="AR266" s="138"/>
      <c r="AS266" s="138"/>
      <c r="AT266" s="138">
        <f>18000000+5400000</f>
        <v>23400000</v>
      </c>
      <c r="AU266" s="138">
        <v>18000000</v>
      </c>
      <c r="AV266" s="138">
        <v>7200000</v>
      </c>
      <c r="AW266" s="138"/>
      <c r="AX266" s="138"/>
      <c r="AY266" s="138"/>
      <c r="AZ266" s="138"/>
      <c r="BA266" s="138"/>
      <c r="BB266" s="138"/>
      <c r="BC266" s="138"/>
      <c r="BD266" s="138"/>
      <c r="BE266" s="138"/>
      <c r="BF266" s="138">
        <f t="shared" si="27"/>
        <v>23400000</v>
      </c>
      <c r="BG266" s="138">
        <f t="shared" si="28"/>
        <v>18000000</v>
      </c>
      <c r="BH266" s="138">
        <f t="shared" si="29"/>
        <v>7200000</v>
      </c>
      <c r="BI266" s="149" t="s">
        <v>13</v>
      </c>
    </row>
    <row r="267" spans="1:61" s="151" customFormat="1" ht="83.25" customHeight="1">
      <c r="A267" s="139">
        <v>324</v>
      </c>
      <c r="B267" s="140" t="s">
        <v>1125</v>
      </c>
      <c r="C267" s="139">
        <v>1</v>
      </c>
      <c r="D267" s="140" t="s">
        <v>148</v>
      </c>
      <c r="E267" s="139">
        <v>23</v>
      </c>
      <c r="F267" s="140" t="s">
        <v>1126</v>
      </c>
      <c r="G267" s="139">
        <v>2301</v>
      </c>
      <c r="H267" s="140" t="s">
        <v>1127</v>
      </c>
      <c r="I267" s="139">
        <v>2301</v>
      </c>
      <c r="J267" s="140" t="s">
        <v>1128</v>
      </c>
      <c r="K267" s="140" t="s">
        <v>1141</v>
      </c>
      <c r="L267" s="139">
        <v>2301004</v>
      </c>
      <c r="M267" s="140" t="s">
        <v>253</v>
      </c>
      <c r="N267" s="139">
        <v>2301004</v>
      </c>
      <c r="O267" s="140" t="s">
        <v>253</v>
      </c>
      <c r="P267" s="145">
        <v>230200400</v>
      </c>
      <c r="Q267" s="142" t="s">
        <v>255</v>
      </c>
      <c r="R267" s="145">
        <v>230100400</v>
      </c>
      <c r="S267" s="141" t="s">
        <v>255</v>
      </c>
      <c r="T267" s="143" t="s">
        <v>69</v>
      </c>
      <c r="U267" s="145">
        <v>1</v>
      </c>
      <c r="V267" s="145"/>
      <c r="W267" s="145">
        <f t="shared" si="26"/>
        <v>1</v>
      </c>
      <c r="X267" s="145">
        <v>0.3</v>
      </c>
      <c r="Y267" s="146">
        <v>2020003630139</v>
      </c>
      <c r="Z267" s="147" t="s">
        <v>1144</v>
      </c>
      <c r="AA267" s="140" t="s">
        <v>1145</v>
      </c>
      <c r="AB267" s="130"/>
      <c r="AC267" s="130"/>
      <c r="AD267" s="130"/>
      <c r="AE267" s="138"/>
      <c r="AF267" s="138"/>
      <c r="AG267" s="138"/>
      <c r="AH267" s="138"/>
      <c r="AI267" s="138"/>
      <c r="AJ267" s="138"/>
      <c r="AK267" s="138"/>
      <c r="AL267" s="138"/>
      <c r="AM267" s="138"/>
      <c r="AN267" s="138"/>
      <c r="AO267" s="138"/>
      <c r="AP267" s="138"/>
      <c r="AQ267" s="138"/>
      <c r="AR267" s="138"/>
      <c r="AS267" s="138"/>
      <c r="AT267" s="138">
        <v>18000000</v>
      </c>
      <c r="AU267" s="138">
        <v>14153655</v>
      </c>
      <c r="AV267" s="138">
        <v>8800000</v>
      </c>
      <c r="AW267" s="138"/>
      <c r="AX267" s="138"/>
      <c r="AY267" s="138"/>
      <c r="AZ267" s="138"/>
      <c r="BA267" s="138"/>
      <c r="BB267" s="138"/>
      <c r="BC267" s="138"/>
      <c r="BD267" s="138"/>
      <c r="BE267" s="138"/>
      <c r="BF267" s="138">
        <f t="shared" si="27"/>
        <v>18000000</v>
      </c>
      <c r="BG267" s="138">
        <f t="shared" si="28"/>
        <v>14153655</v>
      </c>
      <c r="BH267" s="138">
        <f t="shared" si="29"/>
        <v>8800000</v>
      </c>
      <c r="BI267" s="149" t="s">
        <v>13</v>
      </c>
    </row>
    <row r="268" spans="1:61" s="151" customFormat="1" ht="83.25" customHeight="1">
      <c r="A268" s="139">
        <v>324</v>
      </c>
      <c r="B268" s="140" t="s">
        <v>1125</v>
      </c>
      <c r="C268" s="139">
        <v>1</v>
      </c>
      <c r="D268" s="140" t="s">
        <v>148</v>
      </c>
      <c r="E268" s="139">
        <v>23</v>
      </c>
      <c r="F268" s="140" t="s">
        <v>1126</v>
      </c>
      <c r="G268" s="139">
        <v>2301</v>
      </c>
      <c r="H268" s="140" t="s">
        <v>1127</v>
      </c>
      <c r="I268" s="139">
        <v>2301</v>
      </c>
      <c r="J268" s="140" t="s">
        <v>1128</v>
      </c>
      <c r="K268" s="140" t="s">
        <v>1141</v>
      </c>
      <c r="L268" s="139">
        <v>2301035</v>
      </c>
      <c r="M268" s="140" t="s">
        <v>1148</v>
      </c>
      <c r="N268" s="139">
        <v>2301035</v>
      </c>
      <c r="O268" s="140" t="s">
        <v>1148</v>
      </c>
      <c r="P268" s="145">
        <v>230103500</v>
      </c>
      <c r="Q268" s="142" t="s">
        <v>1149</v>
      </c>
      <c r="R268" s="145">
        <v>230103500</v>
      </c>
      <c r="S268" s="142" t="s">
        <v>1149</v>
      </c>
      <c r="T268" s="143" t="s">
        <v>157</v>
      </c>
      <c r="U268" s="145">
        <v>40</v>
      </c>
      <c r="V268" s="145"/>
      <c r="W268" s="145">
        <f t="shared" si="26"/>
        <v>40</v>
      </c>
      <c r="X268" s="145">
        <v>8</v>
      </c>
      <c r="Y268" s="146">
        <v>2020003630139</v>
      </c>
      <c r="Z268" s="147" t="s">
        <v>1144</v>
      </c>
      <c r="AA268" s="140" t="s">
        <v>1145</v>
      </c>
      <c r="AB268" s="130"/>
      <c r="AC268" s="130"/>
      <c r="AD268" s="130"/>
      <c r="AE268" s="138"/>
      <c r="AF268" s="138"/>
      <c r="AG268" s="138"/>
      <c r="AH268" s="138"/>
      <c r="AI268" s="138"/>
      <c r="AJ268" s="138"/>
      <c r="AK268" s="138"/>
      <c r="AL268" s="138"/>
      <c r="AM268" s="138"/>
      <c r="AN268" s="138"/>
      <c r="AO268" s="138"/>
      <c r="AP268" s="138"/>
      <c r="AQ268" s="138"/>
      <c r="AR268" s="138"/>
      <c r="AS268" s="138"/>
      <c r="AT268" s="138">
        <f>36000000+10800000</f>
        <v>46800000</v>
      </c>
      <c r="AU268" s="138">
        <v>27400000</v>
      </c>
      <c r="AV268" s="138">
        <v>14350000</v>
      </c>
      <c r="AW268" s="138"/>
      <c r="AX268" s="138"/>
      <c r="AY268" s="138"/>
      <c r="AZ268" s="138"/>
      <c r="BA268" s="138"/>
      <c r="BB268" s="138"/>
      <c r="BC268" s="138"/>
      <c r="BD268" s="138"/>
      <c r="BE268" s="138"/>
      <c r="BF268" s="138">
        <f t="shared" si="27"/>
        <v>46800000</v>
      </c>
      <c r="BG268" s="138">
        <f t="shared" si="28"/>
        <v>27400000</v>
      </c>
      <c r="BH268" s="138">
        <f t="shared" si="29"/>
        <v>14350000</v>
      </c>
      <c r="BI268" s="149" t="s">
        <v>13</v>
      </c>
    </row>
    <row r="269" spans="1:61" s="151" customFormat="1" ht="79.5" customHeight="1">
      <c r="A269" s="139">
        <v>324</v>
      </c>
      <c r="B269" s="140" t="s">
        <v>1125</v>
      </c>
      <c r="C269" s="139">
        <v>1</v>
      </c>
      <c r="D269" s="140" t="s">
        <v>148</v>
      </c>
      <c r="E269" s="139">
        <v>23</v>
      </c>
      <c r="F269" s="140" t="s">
        <v>1126</v>
      </c>
      <c r="G269" s="139">
        <v>2301</v>
      </c>
      <c r="H269" s="140" t="s">
        <v>1127</v>
      </c>
      <c r="I269" s="139">
        <v>2301</v>
      </c>
      <c r="J269" s="140" t="s">
        <v>1128</v>
      </c>
      <c r="K269" s="140" t="s">
        <v>1141</v>
      </c>
      <c r="L269" s="139">
        <v>2301042</v>
      </c>
      <c r="M269" s="140" t="s">
        <v>1150</v>
      </c>
      <c r="N269" s="139">
        <v>2301042</v>
      </c>
      <c r="O269" s="140" t="s">
        <v>1150</v>
      </c>
      <c r="P269" s="145">
        <v>230104201</v>
      </c>
      <c r="Q269" s="142" t="s">
        <v>1151</v>
      </c>
      <c r="R269" s="145">
        <v>230104201</v>
      </c>
      <c r="S269" s="142" t="s">
        <v>1151</v>
      </c>
      <c r="T269" s="143" t="s">
        <v>69</v>
      </c>
      <c r="U269" s="145">
        <v>1</v>
      </c>
      <c r="V269" s="145"/>
      <c r="W269" s="145">
        <f t="shared" si="26"/>
        <v>1</v>
      </c>
      <c r="X269" s="145">
        <v>0</v>
      </c>
      <c r="Y269" s="146">
        <v>2020003630139</v>
      </c>
      <c r="Z269" s="147" t="s">
        <v>1144</v>
      </c>
      <c r="AA269" s="140" t="s">
        <v>1145</v>
      </c>
      <c r="AB269" s="130"/>
      <c r="AC269" s="130"/>
      <c r="AD269" s="130"/>
      <c r="AE269" s="138"/>
      <c r="AF269" s="138"/>
      <c r="AG269" s="138"/>
      <c r="AH269" s="138"/>
      <c r="AI269" s="138"/>
      <c r="AJ269" s="138"/>
      <c r="AK269" s="138"/>
      <c r="AL269" s="138"/>
      <c r="AM269" s="138"/>
      <c r="AN269" s="138"/>
      <c r="AO269" s="138"/>
      <c r="AP269" s="138"/>
      <c r="AQ269" s="138"/>
      <c r="AR269" s="138"/>
      <c r="AS269" s="138"/>
      <c r="AT269" s="138">
        <f>18000000+5400000</f>
        <v>23400000</v>
      </c>
      <c r="AU269" s="138">
        <v>9600000</v>
      </c>
      <c r="AV269" s="138">
        <v>3200000</v>
      </c>
      <c r="AW269" s="138"/>
      <c r="AX269" s="138"/>
      <c r="AY269" s="138"/>
      <c r="AZ269" s="138"/>
      <c r="BA269" s="138"/>
      <c r="BB269" s="138"/>
      <c r="BC269" s="138"/>
      <c r="BD269" s="138"/>
      <c r="BE269" s="138"/>
      <c r="BF269" s="138">
        <f t="shared" si="27"/>
        <v>23400000</v>
      </c>
      <c r="BG269" s="138">
        <f t="shared" si="28"/>
        <v>9600000</v>
      </c>
      <c r="BH269" s="138">
        <f t="shared" si="29"/>
        <v>3200000</v>
      </c>
      <c r="BI269" s="149" t="s">
        <v>13</v>
      </c>
    </row>
    <row r="270" spans="1:61" s="151" customFormat="1" ht="79.5" customHeight="1">
      <c r="A270" s="139">
        <v>324</v>
      </c>
      <c r="B270" s="140" t="s">
        <v>1125</v>
      </c>
      <c r="C270" s="139">
        <v>1</v>
      </c>
      <c r="D270" s="140" t="s">
        <v>148</v>
      </c>
      <c r="E270" s="139">
        <v>23</v>
      </c>
      <c r="F270" s="140" t="s">
        <v>1126</v>
      </c>
      <c r="G270" s="139">
        <v>2302</v>
      </c>
      <c r="H270" s="140" t="s">
        <v>1152</v>
      </c>
      <c r="I270" s="139">
        <v>2302</v>
      </c>
      <c r="J270" s="140" t="s">
        <v>1153</v>
      </c>
      <c r="K270" s="140" t="s">
        <v>1129</v>
      </c>
      <c r="L270" s="139">
        <v>2302022</v>
      </c>
      <c r="M270" s="140" t="s">
        <v>1154</v>
      </c>
      <c r="N270" s="139">
        <v>2302022</v>
      </c>
      <c r="O270" s="140" t="s">
        <v>1154</v>
      </c>
      <c r="P270" s="145">
        <v>230202200</v>
      </c>
      <c r="Q270" s="142" t="s">
        <v>1155</v>
      </c>
      <c r="R270" s="145">
        <v>230202200</v>
      </c>
      <c r="S270" s="142" t="s">
        <v>1155</v>
      </c>
      <c r="T270" s="143" t="s">
        <v>157</v>
      </c>
      <c r="U270" s="145">
        <v>30</v>
      </c>
      <c r="V270" s="145"/>
      <c r="W270" s="145">
        <f t="shared" si="26"/>
        <v>30</v>
      </c>
      <c r="X270" s="145">
        <v>0</v>
      </c>
      <c r="Y270" s="146">
        <v>2020003630039</v>
      </c>
      <c r="Z270" s="147" t="s">
        <v>1156</v>
      </c>
      <c r="AA270" s="140" t="s">
        <v>1157</v>
      </c>
      <c r="AB270" s="130"/>
      <c r="AC270" s="130"/>
      <c r="AD270" s="130"/>
      <c r="AE270" s="138"/>
      <c r="AF270" s="138"/>
      <c r="AG270" s="138"/>
      <c r="AH270" s="138"/>
      <c r="AI270" s="138"/>
      <c r="AJ270" s="138"/>
      <c r="AK270" s="138"/>
      <c r="AL270" s="138"/>
      <c r="AM270" s="138"/>
      <c r="AN270" s="138"/>
      <c r="AO270" s="138"/>
      <c r="AP270" s="138"/>
      <c r="AQ270" s="138"/>
      <c r="AR270" s="138"/>
      <c r="AS270" s="138"/>
      <c r="AT270" s="138">
        <f>36000000+9000000</f>
        <v>45000000</v>
      </c>
      <c r="AU270" s="138">
        <v>30000000</v>
      </c>
      <c r="AV270" s="138">
        <v>12050000</v>
      </c>
      <c r="AW270" s="138"/>
      <c r="AX270" s="138"/>
      <c r="AY270" s="138"/>
      <c r="AZ270" s="138"/>
      <c r="BA270" s="138"/>
      <c r="BB270" s="138"/>
      <c r="BC270" s="138"/>
      <c r="BD270" s="138"/>
      <c r="BE270" s="138"/>
      <c r="BF270" s="138">
        <f t="shared" si="27"/>
        <v>45000000</v>
      </c>
      <c r="BG270" s="138">
        <f t="shared" si="28"/>
        <v>30000000</v>
      </c>
      <c r="BH270" s="138">
        <f t="shared" si="29"/>
        <v>12050000</v>
      </c>
      <c r="BI270" s="149" t="s">
        <v>13</v>
      </c>
    </row>
    <row r="271" spans="1:61" s="151" customFormat="1" ht="79.5" customHeight="1">
      <c r="A271" s="139">
        <v>324</v>
      </c>
      <c r="B271" s="140" t="s">
        <v>1125</v>
      </c>
      <c r="C271" s="139">
        <v>1</v>
      </c>
      <c r="D271" s="140" t="s">
        <v>148</v>
      </c>
      <c r="E271" s="139">
        <v>23</v>
      </c>
      <c r="F271" s="140" t="s">
        <v>1126</v>
      </c>
      <c r="G271" s="139">
        <v>2302</v>
      </c>
      <c r="H271" s="140" t="s">
        <v>1152</v>
      </c>
      <c r="I271" s="139">
        <v>2302</v>
      </c>
      <c r="J271" s="140" t="s">
        <v>1153</v>
      </c>
      <c r="K271" s="140" t="s">
        <v>1141</v>
      </c>
      <c r="L271" s="139">
        <v>2302021</v>
      </c>
      <c r="M271" s="140" t="s">
        <v>1158</v>
      </c>
      <c r="N271" s="139">
        <v>2302021</v>
      </c>
      <c r="O271" s="140" t="s">
        <v>1158</v>
      </c>
      <c r="P271" s="145">
        <v>230202100</v>
      </c>
      <c r="Q271" s="142" t="s">
        <v>1159</v>
      </c>
      <c r="R271" s="145">
        <v>230202100</v>
      </c>
      <c r="S271" s="142" t="s">
        <v>1159</v>
      </c>
      <c r="T271" s="143" t="s">
        <v>157</v>
      </c>
      <c r="U271" s="145">
        <v>10</v>
      </c>
      <c r="V271" s="145"/>
      <c r="W271" s="145">
        <f t="shared" si="26"/>
        <v>10</v>
      </c>
      <c r="X271" s="145">
        <v>3</v>
      </c>
      <c r="Y271" s="146">
        <v>2020003630039</v>
      </c>
      <c r="Z271" s="140" t="s">
        <v>1156</v>
      </c>
      <c r="AA271" s="140" t="s">
        <v>1157</v>
      </c>
      <c r="AB271" s="130"/>
      <c r="AC271" s="130"/>
      <c r="AD271" s="130"/>
      <c r="AE271" s="138"/>
      <c r="AF271" s="138"/>
      <c r="AG271" s="138"/>
      <c r="AH271" s="138"/>
      <c r="AI271" s="138"/>
      <c r="AJ271" s="138"/>
      <c r="AK271" s="138"/>
      <c r="AL271" s="138"/>
      <c r="AM271" s="138"/>
      <c r="AN271" s="138"/>
      <c r="AO271" s="138"/>
      <c r="AP271" s="138"/>
      <c r="AQ271" s="138"/>
      <c r="AR271" s="138"/>
      <c r="AS271" s="138"/>
      <c r="AT271" s="138">
        <f>70000000+21000000+22000000</f>
        <v>113000000</v>
      </c>
      <c r="AU271" s="138">
        <v>69999999</v>
      </c>
      <c r="AV271" s="138">
        <v>35246345</v>
      </c>
      <c r="AW271" s="138"/>
      <c r="AX271" s="138"/>
      <c r="AY271" s="138"/>
      <c r="AZ271" s="138"/>
      <c r="BA271" s="138"/>
      <c r="BB271" s="138"/>
      <c r="BC271" s="138"/>
      <c r="BD271" s="138"/>
      <c r="BE271" s="138"/>
      <c r="BF271" s="138">
        <f t="shared" si="27"/>
        <v>113000000</v>
      </c>
      <c r="BG271" s="138">
        <f t="shared" si="28"/>
        <v>69999999</v>
      </c>
      <c r="BH271" s="138">
        <f t="shared" si="29"/>
        <v>35246345</v>
      </c>
      <c r="BI271" s="149" t="s">
        <v>13</v>
      </c>
    </row>
    <row r="272" spans="1:61" s="151" customFormat="1" ht="79.5" customHeight="1">
      <c r="A272" s="139">
        <v>324</v>
      </c>
      <c r="B272" s="322" t="s">
        <v>1125</v>
      </c>
      <c r="C272" s="323">
        <v>1</v>
      </c>
      <c r="D272" s="140" t="s">
        <v>148</v>
      </c>
      <c r="E272" s="323">
        <v>23</v>
      </c>
      <c r="F272" s="322" t="s">
        <v>1126</v>
      </c>
      <c r="G272" s="323">
        <v>2302</v>
      </c>
      <c r="H272" s="322" t="s">
        <v>1152</v>
      </c>
      <c r="I272" s="323">
        <v>2302</v>
      </c>
      <c r="J272" s="322" t="s">
        <v>1153</v>
      </c>
      <c r="K272" s="322" t="s">
        <v>1160</v>
      </c>
      <c r="L272" s="323">
        <v>2302058</v>
      </c>
      <c r="M272" s="322" t="s">
        <v>1161</v>
      </c>
      <c r="N272" s="323">
        <v>2302058</v>
      </c>
      <c r="O272" s="322" t="s">
        <v>1161</v>
      </c>
      <c r="P272" s="324">
        <v>230205800</v>
      </c>
      <c r="Q272" s="325" t="s">
        <v>1162</v>
      </c>
      <c r="R272" s="324">
        <v>230205800</v>
      </c>
      <c r="S272" s="325" t="s">
        <v>1162</v>
      </c>
      <c r="T272" s="326" t="s">
        <v>157</v>
      </c>
      <c r="U272" s="324">
        <v>400</v>
      </c>
      <c r="V272" s="324"/>
      <c r="W272" s="145">
        <f t="shared" si="26"/>
        <v>400</v>
      </c>
      <c r="X272" s="324">
        <v>33</v>
      </c>
      <c r="Y272" s="327">
        <v>2020003630039</v>
      </c>
      <c r="Z272" s="328" t="s">
        <v>1156</v>
      </c>
      <c r="AA272" s="322" t="s">
        <v>1157</v>
      </c>
      <c r="AB272" s="329"/>
      <c r="AC272" s="329"/>
      <c r="AD272" s="329"/>
      <c r="AE272" s="330"/>
      <c r="AF272" s="330"/>
      <c r="AG272" s="330"/>
      <c r="AH272" s="330"/>
      <c r="AI272" s="330"/>
      <c r="AJ272" s="330"/>
      <c r="AK272" s="330"/>
      <c r="AL272" s="330"/>
      <c r="AM272" s="330"/>
      <c r="AN272" s="330"/>
      <c r="AO272" s="330"/>
      <c r="AP272" s="330"/>
      <c r="AQ272" s="330"/>
      <c r="AR272" s="330"/>
      <c r="AS272" s="330"/>
      <c r="AT272" s="138">
        <f>20000000+5400000</f>
        <v>25400000</v>
      </c>
      <c r="AU272" s="330">
        <v>16500000</v>
      </c>
      <c r="AV272" s="330">
        <v>4453655</v>
      </c>
      <c r="AW272" s="330"/>
      <c r="AX272" s="330"/>
      <c r="AY272" s="330"/>
      <c r="AZ272" s="330"/>
      <c r="BA272" s="330"/>
      <c r="BB272" s="330"/>
      <c r="BC272" s="330"/>
      <c r="BD272" s="330"/>
      <c r="BE272" s="330"/>
      <c r="BF272" s="138">
        <f t="shared" si="27"/>
        <v>25400000</v>
      </c>
      <c r="BG272" s="138">
        <f t="shared" si="28"/>
        <v>16500000</v>
      </c>
      <c r="BH272" s="138">
        <f t="shared" si="29"/>
        <v>4453655</v>
      </c>
      <c r="BI272" s="331" t="s">
        <v>13</v>
      </c>
    </row>
    <row r="273" spans="1:62" s="151" customFormat="1" ht="79.5" customHeight="1">
      <c r="A273" s="332">
        <v>324</v>
      </c>
      <c r="B273" s="333" t="s">
        <v>1125</v>
      </c>
      <c r="C273" s="334">
        <v>1</v>
      </c>
      <c r="D273" s="140" t="s">
        <v>148</v>
      </c>
      <c r="E273" s="334">
        <v>23</v>
      </c>
      <c r="F273" s="333" t="s">
        <v>1126</v>
      </c>
      <c r="G273" s="334">
        <v>2302</v>
      </c>
      <c r="H273" s="333" t="s">
        <v>1152</v>
      </c>
      <c r="I273" s="334">
        <v>2302</v>
      </c>
      <c r="J273" s="333" t="s">
        <v>1153</v>
      </c>
      <c r="K273" s="333" t="s">
        <v>1160</v>
      </c>
      <c r="L273" s="334">
        <v>2302068</v>
      </c>
      <c r="M273" s="333" t="s">
        <v>1163</v>
      </c>
      <c r="N273" s="334">
        <v>2302068</v>
      </c>
      <c r="O273" s="333" t="s">
        <v>1163</v>
      </c>
      <c r="P273" s="335">
        <v>230206800</v>
      </c>
      <c r="Q273" s="336" t="s">
        <v>1164</v>
      </c>
      <c r="R273" s="335">
        <v>230206800</v>
      </c>
      <c r="S273" s="336" t="s">
        <v>1164</v>
      </c>
      <c r="T273" s="337" t="s">
        <v>157</v>
      </c>
      <c r="U273" s="335">
        <v>80</v>
      </c>
      <c r="V273" s="335"/>
      <c r="W273" s="145">
        <f t="shared" si="26"/>
        <v>80</v>
      </c>
      <c r="X273" s="335">
        <v>30</v>
      </c>
      <c r="Y273" s="338">
        <v>2020003630039</v>
      </c>
      <c r="Z273" s="339" t="s">
        <v>1156</v>
      </c>
      <c r="AA273" s="333" t="s">
        <v>1157</v>
      </c>
      <c r="AB273" s="340"/>
      <c r="AC273" s="340"/>
      <c r="AD273" s="340"/>
      <c r="AE273" s="341"/>
      <c r="AF273" s="341"/>
      <c r="AG273" s="341"/>
      <c r="AH273" s="341"/>
      <c r="AI273" s="341"/>
      <c r="AJ273" s="341"/>
      <c r="AK273" s="341"/>
      <c r="AL273" s="341"/>
      <c r="AM273" s="341"/>
      <c r="AN273" s="341"/>
      <c r="AO273" s="341"/>
      <c r="AP273" s="341"/>
      <c r="AQ273" s="341"/>
      <c r="AR273" s="341"/>
      <c r="AS273" s="341"/>
      <c r="AT273" s="138">
        <f>20000000+6000000</f>
        <v>26000000</v>
      </c>
      <c r="AU273" s="341">
        <v>20000000</v>
      </c>
      <c r="AV273" s="341">
        <v>8500000</v>
      </c>
      <c r="AW273" s="341"/>
      <c r="AX273" s="341"/>
      <c r="AY273" s="341"/>
      <c r="AZ273" s="341"/>
      <c r="BA273" s="341"/>
      <c r="BB273" s="341"/>
      <c r="BC273" s="341"/>
      <c r="BD273" s="341"/>
      <c r="BE273" s="341"/>
      <c r="BF273" s="138">
        <f t="shared" si="27"/>
        <v>26000000</v>
      </c>
      <c r="BG273" s="138">
        <f t="shared" si="28"/>
        <v>20000000</v>
      </c>
      <c r="BH273" s="138">
        <f t="shared" si="29"/>
        <v>8500000</v>
      </c>
      <c r="BI273" s="342" t="s">
        <v>13</v>
      </c>
    </row>
    <row r="274" spans="1:62" s="151" customFormat="1" ht="51">
      <c r="A274" s="332">
        <v>324</v>
      </c>
      <c r="B274" s="333" t="s">
        <v>1125</v>
      </c>
      <c r="C274" s="334">
        <v>2</v>
      </c>
      <c r="D274" s="333" t="s">
        <v>199</v>
      </c>
      <c r="E274" s="334">
        <v>39</v>
      </c>
      <c r="F274" s="333" t="s">
        <v>745</v>
      </c>
      <c r="G274" s="334" t="s">
        <v>1165</v>
      </c>
      <c r="H274" s="333" t="s">
        <v>1166</v>
      </c>
      <c r="I274" s="334" t="s">
        <v>1165</v>
      </c>
      <c r="J274" s="333" t="s">
        <v>1167</v>
      </c>
      <c r="K274" s="333" t="s">
        <v>1168</v>
      </c>
      <c r="L274" s="334">
        <v>3903005</v>
      </c>
      <c r="M274" s="333" t="s">
        <v>1169</v>
      </c>
      <c r="N274" s="334">
        <v>3903005</v>
      </c>
      <c r="O274" s="333" t="s">
        <v>1169</v>
      </c>
      <c r="P274" s="343" t="s">
        <v>1170</v>
      </c>
      <c r="Q274" s="336" t="s">
        <v>1171</v>
      </c>
      <c r="R274" s="343" t="s">
        <v>1170</v>
      </c>
      <c r="S274" s="336" t="s">
        <v>1171</v>
      </c>
      <c r="T274" s="337" t="s">
        <v>69</v>
      </c>
      <c r="U274" s="335">
        <v>1</v>
      </c>
      <c r="V274" s="335"/>
      <c r="W274" s="335">
        <f>+U274+V274</f>
        <v>1</v>
      </c>
      <c r="X274" s="335">
        <v>0</v>
      </c>
      <c r="Y274" s="338">
        <v>2020003630140</v>
      </c>
      <c r="Z274" s="344" t="s">
        <v>1172</v>
      </c>
      <c r="AA274" s="344" t="s">
        <v>1173</v>
      </c>
      <c r="AB274" s="340"/>
      <c r="AC274" s="340"/>
      <c r="AD274" s="340"/>
      <c r="AE274" s="341"/>
      <c r="AF274" s="341"/>
      <c r="AG274" s="341"/>
      <c r="AH274" s="341"/>
      <c r="AI274" s="341"/>
      <c r="AJ274" s="341"/>
      <c r="AK274" s="341"/>
      <c r="AL274" s="341"/>
      <c r="AM274" s="341"/>
      <c r="AN274" s="341"/>
      <c r="AO274" s="341"/>
      <c r="AP274" s="341"/>
      <c r="AQ274" s="341"/>
      <c r="AR274" s="341"/>
      <c r="AS274" s="341"/>
      <c r="AT274" s="138">
        <v>7573173</v>
      </c>
      <c r="AU274" s="341"/>
      <c r="AV274" s="341"/>
      <c r="AW274" s="341"/>
      <c r="AX274" s="341"/>
      <c r="AY274" s="341"/>
      <c r="AZ274" s="341"/>
      <c r="BA274" s="341"/>
      <c r="BB274" s="341"/>
      <c r="BC274" s="341"/>
      <c r="BD274" s="341"/>
      <c r="BE274" s="341"/>
      <c r="BF274" s="138">
        <f t="shared" si="27"/>
        <v>7573173</v>
      </c>
      <c r="BG274" s="138">
        <f t="shared" si="28"/>
        <v>0</v>
      </c>
      <c r="BH274" s="138">
        <f t="shared" si="29"/>
        <v>0</v>
      </c>
      <c r="BI274" s="342" t="s">
        <v>13</v>
      </c>
    </row>
    <row r="275" spans="1:62" s="151" customFormat="1" ht="51">
      <c r="A275" s="332">
        <v>324</v>
      </c>
      <c r="B275" s="333" t="s">
        <v>1125</v>
      </c>
      <c r="C275" s="334">
        <v>2</v>
      </c>
      <c r="D275" s="333" t="s">
        <v>199</v>
      </c>
      <c r="E275" s="334">
        <v>39</v>
      </c>
      <c r="F275" s="333" t="s">
        <v>745</v>
      </c>
      <c r="G275" s="334" t="s">
        <v>1165</v>
      </c>
      <c r="H275" s="333" t="s">
        <v>1166</v>
      </c>
      <c r="I275" s="334" t="s">
        <v>1165</v>
      </c>
      <c r="J275" s="333" t="s">
        <v>1167</v>
      </c>
      <c r="K275" s="333" t="s">
        <v>1168</v>
      </c>
      <c r="L275" s="334">
        <v>3903005</v>
      </c>
      <c r="M275" s="333" t="s">
        <v>1169</v>
      </c>
      <c r="N275" s="334">
        <v>3903005</v>
      </c>
      <c r="O275" s="333" t="s">
        <v>1169</v>
      </c>
      <c r="P275" s="343" t="s">
        <v>1174</v>
      </c>
      <c r="Q275" s="336" t="s">
        <v>1175</v>
      </c>
      <c r="R275" s="343" t="s">
        <v>1174</v>
      </c>
      <c r="S275" s="336" t="s">
        <v>1175</v>
      </c>
      <c r="T275" s="337" t="s">
        <v>157</v>
      </c>
      <c r="U275" s="335">
        <v>80</v>
      </c>
      <c r="V275" s="335"/>
      <c r="W275" s="335">
        <f>+U275+V275</f>
        <v>80</v>
      </c>
      <c r="X275" s="335">
        <v>0</v>
      </c>
      <c r="Y275" s="338">
        <v>2020003630140</v>
      </c>
      <c r="Z275" s="339" t="s">
        <v>1172</v>
      </c>
      <c r="AA275" s="333" t="s">
        <v>1173</v>
      </c>
      <c r="AB275" s="340"/>
      <c r="AC275" s="340"/>
      <c r="AD275" s="340"/>
      <c r="AE275" s="341"/>
      <c r="AF275" s="341"/>
      <c r="AG275" s="341"/>
      <c r="AH275" s="341"/>
      <c r="AI275" s="341"/>
      <c r="AJ275" s="341"/>
      <c r="AK275" s="341"/>
      <c r="AL275" s="341"/>
      <c r="AM275" s="341"/>
      <c r="AN275" s="341"/>
      <c r="AO275" s="341"/>
      <c r="AP275" s="341"/>
      <c r="AQ275" s="341"/>
      <c r="AR275" s="341"/>
      <c r="AS275" s="341"/>
      <c r="AT275" s="138">
        <f>7573173+12000000</f>
        <v>19573173</v>
      </c>
      <c r="AU275" s="341">
        <v>17173173</v>
      </c>
      <c r="AV275" s="341">
        <v>3900000</v>
      </c>
      <c r="AW275" s="341"/>
      <c r="AX275" s="341"/>
      <c r="AY275" s="341"/>
      <c r="AZ275" s="341"/>
      <c r="BA275" s="341"/>
      <c r="BB275" s="341"/>
      <c r="BC275" s="341"/>
      <c r="BD275" s="341"/>
      <c r="BE275" s="341"/>
      <c r="BF275" s="138">
        <f t="shared" si="27"/>
        <v>19573173</v>
      </c>
      <c r="BG275" s="138">
        <f t="shared" si="28"/>
        <v>17173173</v>
      </c>
      <c r="BH275" s="138">
        <f t="shared" si="29"/>
        <v>3900000</v>
      </c>
      <c r="BI275" s="342" t="s">
        <v>13</v>
      </c>
    </row>
    <row r="276" spans="1:62" s="151" customFormat="1" ht="51">
      <c r="A276" s="332">
        <v>324</v>
      </c>
      <c r="B276" s="333" t="s">
        <v>1125</v>
      </c>
      <c r="C276" s="334">
        <v>2</v>
      </c>
      <c r="D276" s="333" t="s">
        <v>199</v>
      </c>
      <c r="E276" s="334">
        <v>39</v>
      </c>
      <c r="F276" s="333" t="s">
        <v>745</v>
      </c>
      <c r="G276" s="334" t="s">
        <v>1165</v>
      </c>
      <c r="H276" s="333" t="s">
        <v>1166</v>
      </c>
      <c r="I276" s="334" t="s">
        <v>1165</v>
      </c>
      <c r="J276" s="333" t="s">
        <v>1167</v>
      </c>
      <c r="K276" s="333" t="s">
        <v>1168</v>
      </c>
      <c r="L276" s="334">
        <v>3903005</v>
      </c>
      <c r="M276" s="333" t="s">
        <v>1169</v>
      </c>
      <c r="N276" s="334">
        <v>3903005</v>
      </c>
      <c r="O276" s="333" t="s">
        <v>1169</v>
      </c>
      <c r="P276" s="343" t="s">
        <v>1176</v>
      </c>
      <c r="Q276" s="336" t="s">
        <v>1177</v>
      </c>
      <c r="R276" s="343" t="s">
        <v>1176</v>
      </c>
      <c r="S276" s="336" t="s">
        <v>1177</v>
      </c>
      <c r="T276" s="337" t="s">
        <v>157</v>
      </c>
      <c r="U276" s="335">
        <v>80</v>
      </c>
      <c r="V276" s="335"/>
      <c r="W276" s="335">
        <f>+U276+V276</f>
        <v>80</v>
      </c>
      <c r="X276" s="335">
        <v>0</v>
      </c>
      <c r="Y276" s="338">
        <v>2020003630140</v>
      </c>
      <c r="Z276" s="339" t="s">
        <v>1172</v>
      </c>
      <c r="AA276" s="333" t="s">
        <v>1173</v>
      </c>
      <c r="AB276" s="340"/>
      <c r="AC276" s="340"/>
      <c r="AD276" s="340"/>
      <c r="AE276" s="341"/>
      <c r="AF276" s="341"/>
      <c r="AG276" s="341"/>
      <c r="AH276" s="341"/>
      <c r="AI276" s="341"/>
      <c r="AJ276" s="341"/>
      <c r="AK276" s="341"/>
      <c r="AL276" s="341"/>
      <c r="AM276" s="341"/>
      <c r="AN276" s="341"/>
      <c r="AO276" s="341"/>
      <c r="AP276" s="341"/>
      <c r="AQ276" s="341"/>
      <c r="AR276" s="138"/>
      <c r="AS276" s="138"/>
      <c r="AT276" s="345">
        <f>7573172+12000000</f>
        <v>19573172</v>
      </c>
      <c r="AU276" s="138">
        <v>5573173</v>
      </c>
      <c r="AV276" s="138"/>
      <c r="AW276" s="341"/>
      <c r="AX276" s="341"/>
      <c r="AY276" s="341"/>
      <c r="AZ276" s="341"/>
      <c r="BA276" s="341"/>
      <c r="BB276" s="341"/>
      <c r="BC276" s="341"/>
      <c r="BD276" s="341"/>
      <c r="BE276" s="341"/>
      <c r="BF276" s="138">
        <f t="shared" si="27"/>
        <v>19573172</v>
      </c>
      <c r="BG276" s="138">
        <f t="shared" si="28"/>
        <v>5573173</v>
      </c>
      <c r="BH276" s="138">
        <f t="shared" si="29"/>
        <v>0</v>
      </c>
      <c r="BI276" s="342" t="s">
        <v>13</v>
      </c>
    </row>
    <row r="277" spans="1:62" s="151" customFormat="1" ht="51">
      <c r="A277" s="332">
        <v>324</v>
      </c>
      <c r="B277" s="333" t="s">
        <v>1125</v>
      </c>
      <c r="C277" s="334">
        <v>2</v>
      </c>
      <c r="D277" s="333" t="s">
        <v>199</v>
      </c>
      <c r="E277" s="334">
        <v>39</v>
      </c>
      <c r="F277" s="333" t="s">
        <v>745</v>
      </c>
      <c r="G277" s="334">
        <v>3904</v>
      </c>
      <c r="H277" s="333" t="s">
        <v>1178</v>
      </c>
      <c r="I277" s="334">
        <v>3904</v>
      </c>
      <c r="J277" s="333" t="s">
        <v>747</v>
      </c>
      <c r="K277" s="333" t="s">
        <v>1179</v>
      </c>
      <c r="L277" s="334">
        <v>3904018</v>
      </c>
      <c r="M277" s="333" t="s">
        <v>1180</v>
      </c>
      <c r="N277" s="334">
        <v>3904018</v>
      </c>
      <c r="O277" s="333" t="s">
        <v>1180</v>
      </c>
      <c r="P277" s="343">
        <v>390401809</v>
      </c>
      <c r="Q277" s="336" t="s">
        <v>1181</v>
      </c>
      <c r="R277" s="343">
        <v>390401809</v>
      </c>
      <c r="S277" s="336" t="s">
        <v>1181</v>
      </c>
      <c r="T277" s="337" t="s">
        <v>157</v>
      </c>
      <c r="U277" s="335">
        <v>7</v>
      </c>
      <c r="V277" s="335"/>
      <c r="W277" s="335">
        <f>+U277+V277</f>
        <v>7</v>
      </c>
      <c r="X277" s="335">
        <v>0</v>
      </c>
      <c r="Y277" s="338">
        <v>2020003630040</v>
      </c>
      <c r="Z277" s="339" t="s">
        <v>1182</v>
      </c>
      <c r="AA277" s="333" t="s">
        <v>1183</v>
      </c>
      <c r="AB277" s="340"/>
      <c r="AC277" s="340"/>
      <c r="AD277" s="340"/>
      <c r="AE277" s="341"/>
      <c r="AF277" s="341"/>
      <c r="AG277" s="341"/>
      <c r="AH277" s="341"/>
      <c r="AI277" s="341"/>
      <c r="AJ277" s="341"/>
      <c r="AK277" s="341"/>
      <c r="AL277" s="341"/>
      <c r="AM277" s="341"/>
      <c r="AN277" s="341"/>
      <c r="AO277" s="341"/>
      <c r="AP277" s="341"/>
      <c r="AQ277" s="341"/>
      <c r="AR277" s="138"/>
      <c r="AS277" s="138"/>
      <c r="AT277" s="346">
        <f>18000000+5400000+5000000</f>
        <v>28400000</v>
      </c>
      <c r="AU277" s="138">
        <v>9900000</v>
      </c>
      <c r="AV277" s="138"/>
      <c r="AW277" s="341"/>
      <c r="AX277" s="341"/>
      <c r="AY277" s="341"/>
      <c r="AZ277" s="341"/>
      <c r="BA277" s="341"/>
      <c r="BB277" s="341"/>
      <c r="BC277" s="341"/>
      <c r="BD277" s="341"/>
      <c r="BE277" s="341"/>
      <c r="BF277" s="138">
        <f t="shared" si="27"/>
        <v>28400000</v>
      </c>
      <c r="BG277" s="138">
        <f t="shared" si="28"/>
        <v>9900000</v>
      </c>
      <c r="BH277" s="138">
        <f t="shared" si="29"/>
        <v>0</v>
      </c>
      <c r="BI277" s="342" t="s">
        <v>13</v>
      </c>
    </row>
    <row r="278" spans="1:62" s="151" customFormat="1" ht="83.25" customHeight="1">
      <c r="A278" s="332">
        <v>324</v>
      </c>
      <c r="B278" s="333" t="s">
        <v>1125</v>
      </c>
      <c r="C278" s="334">
        <v>4</v>
      </c>
      <c r="D278" s="333" t="s">
        <v>59</v>
      </c>
      <c r="E278" s="334">
        <v>23</v>
      </c>
      <c r="F278" s="333" t="s">
        <v>1126</v>
      </c>
      <c r="G278" s="334">
        <v>2302</v>
      </c>
      <c r="H278" s="333" t="s">
        <v>1152</v>
      </c>
      <c r="I278" s="334">
        <v>2302</v>
      </c>
      <c r="J278" s="333" t="s">
        <v>1153</v>
      </c>
      <c r="K278" s="333" t="s">
        <v>1184</v>
      </c>
      <c r="L278" s="334">
        <v>2302003</v>
      </c>
      <c r="M278" s="333" t="s">
        <v>1185</v>
      </c>
      <c r="N278" s="334">
        <v>2302003</v>
      </c>
      <c r="O278" s="333" t="s">
        <v>1185</v>
      </c>
      <c r="P278" s="343">
        <v>230200300</v>
      </c>
      <c r="Q278" s="336" t="s">
        <v>1186</v>
      </c>
      <c r="R278" s="343">
        <v>230200300</v>
      </c>
      <c r="S278" s="336" t="s">
        <v>1186</v>
      </c>
      <c r="T278" s="337" t="s">
        <v>157</v>
      </c>
      <c r="U278" s="335">
        <v>3</v>
      </c>
      <c r="V278" s="335"/>
      <c r="W278" s="335">
        <f t="shared" ref="W278:W289" si="30">U278+V278</f>
        <v>3</v>
      </c>
      <c r="X278" s="335">
        <v>0</v>
      </c>
      <c r="Y278" s="338">
        <v>2020003630141</v>
      </c>
      <c r="Z278" s="339" t="s">
        <v>1187</v>
      </c>
      <c r="AA278" s="333" t="s">
        <v>1188</v>
      </c>
      <c r="AB278" s="340"/>
      <c r="AC278" s="340"/>
      <c r="AD278" s="340"/>
      <c r="AE278" s="341"/>
      <c r="AF278" s="341"/>
      <c r="AG278" s="341"/>
      <c r="AH278" s="341"/>
      <c r="AI278" s="341"/>
      <c r="AJ278" s="341"/>
      <c r="AK278" s="341"/>
      <c r="AL278" s="341"/>
      <c r="AM278" s="341"/>
      <c r="AN278" s="341"/>
      <c r="AO278" s="341"/>
      <c r="AP278" s="341"/>
      <c r="AQ278" s="341"/>
      <c r="AR278" s="341"/>
      <c r="AS278" s="341"/>
      <c r="AT278" s="341">
        <f>120000000+36000000</f>
        <v>156000000</v>
      </c>
      <c r="AU278" s="341"/>
      <c r="AV278" s="341"/>
      <c r="AW278" s="341"/>
      <c r="AX278" s="341"/>
      <c r="AY278" s="341"/>
      <c r="AZ278" s="341"/>
      <c r="BA278" s="341"/>
      <c r="BB278" s="341"/>
      <c r="BC278" s="341"/>
      <c r="BD278" s="341"/>
      <c r="BE278" s="341"/>
      <c r="BF278" s="138">
        <f t="shared" si="27"/>
        <v>156000000</v>
      </c>
      <c r="BG278" s="138">
        <f t="shared" si="28"/>
        <v>0</v>
      </c>
      <c r="BH278" s="138">
        <f t="shared" si="29"/>
        <v>0</v>
      </c>
      <c r="BI278" s="342" t="s">
        <v>13</v>
      </c>
    </row>
    <row r="279" spans="1:62" s="151" customFormat="1" ht="83.25" customHeight="1">
      <c r="A279" s="332">
        <v>324</v>
      </c>
      <c r="B279" s="333" t="s">
        <v>1125</v>
      </c>
      <c r="C279" s="334">
        <v>4</v>
      </c>
      <c r="D279" s="333" t="s">
        <v>59</v>
      </c>
      <c r="E279" s="334">
        <v>23</v>
      </c>
      <c r="F279" s="333" t="s">
        <v>1126</v>
      </c>
      <c r="G279" s="334">
        <v>2302</v>
      </c>
      <c r="H279" s="333" t="s">
        <v>1152</v>
      </c>
      <c r="I279" s="334">
        <v>2302</v>
      </c>
      <c r="J279" s="333" t="s">
        <v>1153</v>
      </c>
      <c r="K279" s="333" t="s">
        <v>1184</v>
      </c>
      <c r="L279" s="334">
        <v>2302033</v>
      </c>
      <c r="M279" s="333" t="s">
        <v>1189</v>
      </c>
      <c r="N279" s="334">
        <v>2302033</v>
      </c>
      <c r="O279" s="333" t="s">
        <v>1189</v>
      </c>
      <c r="P279" s="343">
        <v>230203300</v>
      </c>
      <c r="Q279" s="336" t="s">
        <v>1190</v>
      </c>
      <c r="R279" s="343">
        <v>230203300</v>
      </c>
      <c r="S279" s="336" t="s">
        <v>1190</v>
      </c>
      <c r="T279" s="337" t="s">
        <v>69</v>
      </c>
      <c r="U279" s="335">
        <v>100</v>
      </c>
      <c r="V279" s="335"/>
      <c r="W279" s="335">
        <f t="shared" si="30"/>
        <v>100</v>
      </c>
      <c r="X279" s="335">
        <v>24</v>
      </c>
      <c r="Y279" s="338">
        <v>2020003630141</v>
      </c>
      <c r="Z279" s="339" t="s">
        <v>1187</v>
      </c>
      <c r="AA279" s="333" t="s">
        <v>1188</v>
      </c>
      <c r="AB279" s="340"/>
      <c r="AC279" s="340"/>
      <c r="AD279" s="340"/>
      <c r="AE279" s="341"/>
      <c r="AF279" s="341"/>
      <c r="AG279" s="341"/>
      <c r="AH279" s="341"/>
      <c r="AI279" s="341"/>
      <c r="AJ279" s="341"/>
      <c r="AK279" s="341"/>
      <c r="AL279" s="341"/>
      <c r="AM279" s="341"/>
      <c r="AN279" s="341"/>
      <c r="AO279" s="341"/>
      <c r="AP279" s="341"/>
      <c r="AQ279" s="341"/>
      <c r="AR279" s="341"/>
      <c r="AS279" s="341"/>
      <c r="AT279" s="341">
        <f>50000000+15000000</f>
        <v>65000000</v>
      </c>
      <c r="AU279" s="341">
        <v>20600000</v>
      </c>
      <c r="AV279" s="341">
        <v>12800000</v>
      </c>
      <c r="AW279" s="341"/>
      <c r="AX279" s="341"/>
      <c r="AY279" s="341"/>
      <c r="AZ279" s="341"/>
      <c r="BA279" s="341"/>
      <c r="BB279" s="341"/>
      <c r="BC279" s="341"/>
      <c r="BD279" s="341"/>
      <c r="BE279" s="341"/>
      <c r="BF279" s="138">
        <f t="shared" si="27"/>
        <v>65000000</v>
      </c>
      <c r="BG279" s="138">
        <f t="shared" si="28"/>
        <v>20600000</v>
      </c>
      <c r="BH279" s="138">
        <f t="shared" si="29"/>
        <v>12800000</v>
      </c>
      <c r="BI279" s="342" t="s">
        <v>13</v>
      </c>
    </row>
    <row r="280" spans="1:62" s="151" customFormat="1" ht="83.25" customHeight="1">
      <c r="A280" s="332">
        <v>324</v>
      </c>
      <c r="B280" s="333" t="s">
        <v>1125</v>
      </c>
      <c r="C280" s="334">
        <v>4</v>
      </c>
      <c r="D280" s="333" t="s">
        <v>59</v>
      </c>
      <c r="E280" s="334">
        <v>23</v>
      </c>
      <c r="F280" s="333" t="s">
        <v>1126</v>
      </c>
      <c r="G280" s="334">
        <v>2302</v>
      </c>
      <c r="H280" s="333" t="s">
        <v>1152</v>
      </c>
      <c r="I280" s="334">
        <v>2302</v>
      </c>
      <c r="J280" s="333" t="s">
        <v>1153</v>
      </c>
      <c r="K280" s="333" t="s">
        <v>1184</v>
      </c>
      <c r="L280" s="334">
        <v>2302066</v>
      </c>
      <c r="M280" s="333" t="s">
        <v>1191</v>
      </c>
      <c r="N280" s="334">
        <v>2302066</v>
      </c>
      <c r="O280" s="333" t="s">
        <v>1191</v>
      </c>
      <c r="P280" s="343">
        <v>230206600</v>
      </c>
      <c r="Q280" s="336" t="s">
        <v>1192</v>
      </c>
      <c r="R280" s="343">
        <v>230206600</v>
      </c>
      <c r="S280" s="336" t="s">
        <v>1192</v>
      </c>
      <c r="T280" s="337" t="s">
        <v>157</v>
      </c>
      <c r="U280" s="335">
        <v>60</v>
      </c>
      <c r="V280" s="335"/>
      <c r="W280" s="335">
        <f t="shared" si="30"/>
        <v>60</v>
      </c>
      <c r="X280" s="335">
        <v>24</v>
      </c>
      <c r="Y280" s="338">
        <v>2020003630141</v>
      </c>
      <c r="Z280" s="339" t="s">
        <v>1187</v>
      </c>
      <c r="AA280" s="333" t="s">
        <v>1188</v>
      </c>
      <c r="AB280" s="340"/>
      <c r="AC280" s="340"/>
      <c r="AD280" s="340"/>
      <c r="AE280" s="341"/>
      <c r="AF280" s="341"/>
      <c r="AG280" s="341"/>
      <c r="AH280" s="341"/>
      <c r="AI280" s="341"/>
      <c r="AJ280" s="341"/>
      <c r="AK280" s="341"/>
      <c r="AL280" s="341"/>
      <c r="AM280" s="341"/>
      <c r="AN280" s="341"/>
      <c r="AO280" s="341"/>
      <c r="AP280" s="341"/>
      <c r="AQ280" s="341"/>
      <c r="AR280" s="341"/>
      <c r="AS280" s="341"/>
      <c r="AT280" s="341">
        <f>60000000+18000000</f>
        <v>78000000</v>
      </c>
      <c r="AU280" s="341">
        <v>21000000</v>
      </c>
      <c r="AV280" s="341">
        <v>3200000</v>
      </c>
      <c r="AW280" s="341"/>
      <c r="AX280" s="341"/>
      <c r="AY280" s="341"/>
      <c r="AZ280" s="341"/>
      <c r="BA280" s="341"/>
      <c r="BB280" s="341"/>
      <c r="BC280" s="341"/>
      <c r="BD280" s="341"/>
      <c r="BE280" s="341"/>
      <c r="BF280" s="138">
        <f t="shared" si="27"/>
        <v>78000000</v>
      </c>
      <c r="BG280" s="138">
        <f t="shared" si="28"/>
        <v>21000000</v>
      </c>
      <c r="BH280" s="138">
        <f t="shared" si="29"/>
        <v>3200000</v>
      </c>
      <c r="BI280" s="342" t="s">
        <v>13</v>
      </c>
      <c r="BJ280" s="150"/>
    </row>
    <row r="281" spans="1:62" s="151" customFormat="1" ht="83.25" customHeight="1">
      <c r="A281" s="332">
        <v>324</v>
      </c>
      <c r="B281" s="333" t="s">
        <v>1125</v>
      </c>
      <c r="C281" s="334">
        <v>4</v>
      </c>
      <c r="D281" s="333" t="s">
        <v>59</v>
      </c>
      <c r="E281" s="334">
        <v>23</v>
      </c>
      <c r="F281" s="333" t="s">
        <v>1126</v>
      </c>
      <c r="G281" s="334">
        <v>2302</v>
      </c>
      <c r="H281" s="333" t="s">
        <v>1152</v>
      </c>
      <c r="I281" s="334">
        <v>2302</v>
      </c>
      <c r="J281" s="333" t="s">
        <v>1153</v>
      </c>
      <c r="K281" s="333" t="s">
        <v>1184</v>
      </c>
      <c r="L281" s="334">
        <v>2302004</v>
      </c>
      <c r="M281" s="333" t="s">
        <v>1193</v>
      </c>
      <c r="N281" s="334">
        <v>2302004</v>
      </c>
      <c r="O281" s="333" t="s">
        <v>1193</v>
      </c>
      <c r="P281" s="343">
        <v>230200403</v>
      </c>
      <c r="Q281" s="336" t="s">
        <v>1194</v>
      </c>
      <c r="R281" s="343">
        <v>230200403</v>
      </c>
      <c r="S281" s="336" t="s">
        <v>1194</v>
      </c>
      <c r="T281" s="337" t="s">
        <v>69</v>
      </c>
      <c r="U281" s="335">
        <v>1</v>
      </c>
      <c r="V281" s="335"/>
      <c r="W281" s="335">
        <f t="shared" si="30"/>
        <v>1</v>
      </c>
      <c r="X281" s="335">
        <v>0.2</v>
      </c>
      <c r="Y281" s="338">
        <v>2020003630141</v>
      </c>
      <c r="Z281" s="339" t="s">
        <v>1187</v>
      </c>
      <c r="AA281" s="333" t="s">
        <v>1188</v>
      </c>
      <c r="AB281" s="340"/>
      <c r="AC281" s="340"/>
      <c r="AD281" s="340"/>
      <c r="AE281" s="341"/>
      <c r="AF281" s="341"/>
      <c r="AG281" s="341"/>
      <c r="AH281" s="341"/>
      <c r="AI281" s="341"/>
      <c r="AJ281" s="341"/>
      <c r="AK281" s="341"/>
      <c r="AL281" s="341"/>
      <c r="AM281" s="341"/>
      <c r="AN281" s="341"/>
      <c r="AO281" s="341"/>
      <c r="AP281" s="341"/>
      <c r="AQ281" s="341"/>
      <c r="AR281" s="341"/>
      <c r="AS281" s="341"/>
      <c r="AT281" s="341">
        <v>25000000</v>
      </c>
      <c r="AU281" s="341">
        <v>14200000</v>
      </c>
      <c r="AV281" s="341"/>
      <c r="AW281" s="341"/>
      <c r="AX281" s="341"/>
      <c r="AY281" s="341"/>
      <c r="AZ281" s="341"/>
      <c r="BA281" s="341"/>
      <c r="BB281" s="341"/>
      <c r="BC281" s="341"/>
      <c r="BD281" s="341"/>
      <c r="BE281" s="341"/>
      <c r="BF281" s="138">
        <f t="shared" si="27"/>
        <v>25000000</v>
      </c>
      <c r="BG281" s="138">
        <f t="shared" si="28"/>
        <v>14200000</v>
      </c>
      <c r="BH281" s="138">
        <f t="shared" si="29"/>
        <v>0</v>
      </c>
      <c r="BI281" s="342" t="s">
        <v>13</v>
      </c>
      <c r="BJ281" s="347"/>
    </row>
    <row r="282" spans="1:62" s="151" customFormat="1" ht="83.25" customHeight="1">
      <c r="A282" s="332">
        <v>324</v>
      </c>
      <c r="B282" s="333" t="s">
        <v>1125</v>
      </c>
      <c r="C282" s="334">
        <v>4</v>
      </c>
      <c r="D282" s="333" t="s">
        <v>59</v>
      </c>
      <c r="E282" s="334">
        <v>23</v>
      </c>
      <c r="F282" s="333" t="s">
        <v>1126</v>
      </c>
      <c r="G282" s="334">
        <v>2302</v>
      </c>
      <c r="H282" s="333" t="s">
        <v>1152</v>
      </c>
      <c r="I282" s="334">
        <v>2302</v>
      </c>
      <c r="J282" s="333" t="s">
        <v>1153</v>
      </c>
      <c r="K282" s="333" t="s">
        <v>1184</v>
      </c>
      <c r="L282" s="343">
        <v>2302007</v>
      </c>
      <c r="M282" s="333" t="s">
        <v>1195</v>
      </c>
      <c r="N282" s="334">
        <v>2302007</v>
      </c>
      <c r="O282" s="333" t="s">
        <v>1195</v>
      </c>
      <c r="P282" s="343">
        <v>230200701</v>
      </c>
      <c r="Q282" s="344" t="s">
        <v>1196</v>
      </c>
      <c r="R282" s="343">
        <v>230200701</v>
      </c>
      <c r="S282" s="336" t="s">
        <v>1196</v>
      </c>
      <c r="T282" s="337" t="s">
        <v>69</v>
      </c>
      <c r="U282" s="335">
        <v>1</v>
      </c>
      <c r="V282" s="335"/>
      <c r="W282" s="335">
        <f t="shared" si="30"/>
        <v>1</v>
      </c>
      <c r="X282" s="335">
        <v>0.3</v>
      </c>
      <c r="Y282" s="338">
        <v>2020003630141</v>
      </c>
      <c r="Z282" s="339" t="s">
        <v>1187</v>
      </c>
      <c r="AA282" s="333" t="s">
        <v>1188</v>
      </c>
      <c r="AB282" s="340"/>
      <c r="AC282" s="340"/>
      <c r="AD282" s="340"/>
      <c r="AE282" s="341"/>
      <c r="AF282" s="341"/>
      <c r="AG282" s="341"/>
      <c r="AH282" s="341"/>
      <c r="AI282" s="341"/>
      <c r="AJ282" s="341"/>
      <c r="AK282" s="341"/>
      <c r="AL282" s="341"/>
      <c r="AM282" s="341"/>
      <c r="AN282" s="341"/>
      <c r="AO282" s="341"/>
      <c r="AP282" s="341"/>
      <c r="AQ282" s="341"/>
      <c r="AR282" s="341"/>
      <c r="AS282" s="341"/>
      <c r="AT282" s="341">
        <v>25000000</v>
      </c>
      <c r="AU282" s="341">
        <v>23000000</v>
      </c>
      <c r="AV282" s="341">
        <v>23000000</v>
      </c>
      <c r="AW282" s="341"/>
      <c r="AX282" s="341"/>
      <c r="AY282" s="341"/>
      <c r="AZ282" s="341"/>
      <c r="BA282" s="341"/>
      <c r="BB282" s="341"/>
      <c r="BC282" s="341"/>
      <c r="BD282" s="341"/>
      <c r="BE282" s="341"/>
      <c r="BF282" s="138">
        <f t="shared" si="27"/>
        <v>25000000</v>
      </c>
      <c r="BG282" s="138">
        <f t="shared" si="28"/>
        <v>23000000</v>
      </c>
      <c r="BH282" s="138">
        <f t="shared" si="29"/>
        <v>23000000</v>
      </c>
      <c r="BI282" s="342" t="s">
        <v>13</v>
      </c>
    </row>
    <row r="283" spans="1:62" s="151" customFormat="1" ht="83.25" customHeight="1">
      <c r="A283" s="332">
        <v>324</v>
      </c>
      <c r="B283" s="333" t="s">
        <v>1125</v>
      </c>
      <c r="C283" s="334">
        <v>4</v>
      </c>
      <c r="D283" s="333" t="s">
        <v>59</v>
      </c>
      <c r="E283" s="334">
        <v>23</v>
      </c>
      <c r="F283" s="333" t="s">
        <v>1126</v>
      </c>
      <c r="G283" s="334">
        <v>2302</v>
      </c>
      <c r="H283" s="333" t="s">
        <v>1152</v>
      </c>
      <c r="I283" s="334">
        <v>2302</v>
      </c>
      <c r="J283" s="333" t="s">
        <v>1153</v>
      </c>
      <c r="K283" s="333" t="s">
        <v>1184</v>
      </c>
      <c r="L283" s="334">
        <v>2302083</v>
      </c>
      <c r="M283" s="333" t="s">
        <v>101</v>
      </c>
      <c r="N283" s="334">
        <v>2302083</v>
      </c>
      <c r="O283" s="333" t="s">
        <v>101</v>
      </c>
      <c r="P283" s="343">
        <v>230208300</v>
      </c>
      <c r="Q283" s="336" t="s">
        <v>539</v>
      </c>
      <c r="R283" s="343">
        <v>230208300</v>
      </c>
      <c r="S283" s="336" t="s">
        <v>539</v>
      </c>
      <c r="T283" s="337" t="s">
        <v>69</v>
      </c>
      <c r="U283" s="335">
        <v>1</v>
      </c>
      <c r="V283" s="335"/>
      <c r="W283" s="335">
        <f t="shared" si="30"/>
        <v>1</v>
      </c>
      <c r="X283" s="335">
        <v>0.3</v>
      </c>
      <c r="Y283" s="338">
        <v>2020003630141</v>
      </c>
      <c r="Z283" s="339" t="s">
        <v>1187</v>
      </c>
      <c r="AA283" s="333" t="s">
        <v>1188</v>
      </c>
      <c r="AB283" s="348"/>
      <c r="AC283" s="348"/>
      <c r="AD283" s="348"/>
      <c r="AE283" s="349"/>
      <c r="AF283" s="349"/>
      <c r="AG283" s="349"/>
      <c r="AH283" s="349"/>
      <c r="AI283" s="349"/>
      <c r="AJ283" s="349"/>
      <c r="AK283" s="349"/>
      <c r="AL283" s="349"/>
      <c r="AM283" s="349"/>
      <c r="AN283" s="349"/>
      <c r="AO283" s="349"/>
      <c r="AP283" s="349"/>
      <c r="AQ283" s="349"/>
      <c r="AR283" s="349"/>
      <c r="AS283" s="349"/>
      <c r="AT283" s="349">
        <v>18000000</v>
      </c>
      <c r="AU283" s="349">
        <v>15750000</v>
      </c>
      <c r="AV283" s="349">
        <v>3400000</v>
      </c>
      <c r="AW283" s="349"/>
      <c r="AX283" s="349"/>
      <c r="AY283" s="349"/>
      <c r="AZ283" s="349"/>
      <c r="BA283" s="349"/>
      <c r="BB283" s="349"/>
      <c r="BC283" s="349"/>
      <c r="BD283" s="349"/>
      <c r="BE283" s="349"/>
      <c r="BF283" s="138">
        <f t="shared" si="27"/>
        <v>18000000</v>
      </c>
      <c r="BG283" s="138">
        <f t="shared" si="28"/>
        <v>15750000</v>
      </c>
      <c r="BH283" s="138">
        <f t="shared" si="29"/>
        <v>3400000</v>
      </c>
      <c r="BI283" s="350" t="s">
        <v>13</v>
      </c>
      <c r="BJ283" s="150"/>
    </row>
    <row r="284" spans="1:62" s="151" customFormat="1" ht="90" customHeight="1">
      <c r="A284" s="139">
        <v>319</v>
      </c>
      <c r="B284" s="140" t="s">
        <v>1197</v>
      </c>
      <c r="C284" s="139">
        <v>1</v>
      </c>
      <c r="D284" s="140" t="s">
        <v>148</v>
      </c>
      <c r="E284" s="139">
        <v>43</v>
      </c>
      <c r="F284" s="140" t="s">
        <v>189</v>
      </c>
      <c r="G284" s="139">
        <v>4301</v>
      </c>
      <c r="H284" s="140" t="s">
        <v>190</v>
      </c>
      <c r="I284" s="139">
        <v>4301</v>
      </c>
      <c r="J284" s="140" t="s">
        <v>191</v>
      </c>
      <c r="K284" s="142" t="s">
        <v>1198</v>
      </c>
      <c r="L284" s="139">
        <v>4301007</v>
      </c>
      <c r="M284" s="140" t="s">
        <v>1199</v>
      </c>
      <c r="N284" s="139">
        <v>4301007</v>
      </c>
      <c r="O284" s="140" t="s">
        <v>1199</v>
      </c>
      <c r="P284" s="139">
        <v>430100701</v>
      </c>
      <c r="Q284" s="142" t="s">
        <v>1200</v>
      </c>
      <c r="R284" s="139">
        <v>430100701</v>
      </c>
      <c r="S284" s="142" t="s">
        <v>1200</v>
      </c>
      <c r="T284" s="299" t="s">
        <v>69</v>
      </c>
      <c r="U284" s="145">
        <v>12</v>
      </c>
      <c r="V284" s="145"/>
      <c r="W284" s="145">
        <f t="shared" si="30"/>
        <v>12</v>
      </c>
      <c r="X284" s="145">
        <v>12</v>
      </c>
      <c r="Y284" s="146">
        <v>2020003630009</v>
      </c>
      <c r="Z284" s="147" t="s">
        <v>1201</v>
      </c>
      <c r="AA284" s="140" t="s">
        <v>1202</v>
      </c>
      <c r="AB284" s="130">
        <f>180000000-130000000+14438423</f>
        <v>64438423</v>
      </c>
      <c r="AC284" s="130">
        <v>52038423</v>
      </c>
      <c r="AD284" s="130">
        <v>14100000</v>
      </c>
      <c r="AE284" s="136">
        <f>90000000+32638555.31</f>
        <v>122638555.31</v>
      </c>
      <c r="AF284" s="136">
        <v>29850000</v>
      </c>
      <c r="AG284" s="136">
        <v>5700000</v>
      </c>
      <c r="AH284" s="130"/>
      <c r="AI284" s="130"/>
      <c r="AJ284" s="130"/>
      <c r="AK284" s="130"/>
      <c r="AL284" s="130"/>
      <c r="AM284" s="130"/>
      <c r="AN284" s="130"/>
      <c r="AO284" s="130"/>
      <c r="AP284" s="130"/>
      <c r="AQ284" s="130"/>
      <c r="AR284" s="130"/>
      <c r="AS284" s="130"/>
      <c r="AT284" s="136"/>
      <c r="AU284" s="136"/>
      <c r="AV284" s="136"/>
      <c r="AW284" s="136">
        <f>3572323.73+5666988.9+20941076.97+687251349+3784602.21+91483765.3</f>
        <v>812700106.11000001</v>
      </c>
      <c r="AX284" s="136">
        <v>32311577</v>
      </c>
      <c r="AY284" s="136">
        <v>8050000</v>
      </c>
      <c r="AZ284" s="136"/>
      <c r="BA284" s="136"/>
      <c r="BB284" s="136"/>
      <c r="BC284" s="130">
        <v>430000000</v>
      </c>
      <c r="BD284" s="130"/>
      <c r="BE284" s="130"/>
      <c r="BF284" s="138">
        <f t="shared" si="27"/>
        <v>1429777084.4200001</v>
      </c>
      <c r="BG284" s="138">
        <f t="shared" si="28"/>
        <v>114200000</v>
      </c>
      <c r="BH284" s="138">
        <f t="shared" si="29"/>
        <v>27850000</v>
      </c>
      <c r="BI284" s="149" t="s">
        <v>4</v>
      </c>
    </row>
    <row r="285" spans="1:62" s="151" customFormat="1" ht="88.5" customHeight="1">
      <c r="A285" s="139">
        <v>319</v>
      </c>
      <c r="B285" s="140" t="s">
        <v>1197</v>
      </c>
      <c r="C285" s="139">
        <v>1</v>
      </c>
      <c r="D285" s="140" t="s">
        <v>148</v>
      </c>
      <c r="E285" s="139">
        <v>43</v>
      </c>
      <c r="F285" s="140" t="s">
        <v>189</v>
      </c>
      <c r="G285" s="139">
        <v>4301</v>
      </c>
      <c r="H285" s="140" t="s">
        <v>190</v>
      </c>
      <c r="I285" s="139">
        <v>4301</v>
      </c>
      <c r="J285" s="140" t="s">
        <v>191</v>
      </c>
      <c r="K285" s="142" t="s">
        <v>1198</v>
      </c>
      <c r="L285" s="139">
        <v>4301037</v>
      </c>
      <c r="M285" s="140" t="s">
        <v>1203</v>
      </c>
      <c r="N285" s="139">
        <v>4301037</v>
      </c>
      <c r="O285" s="140" t="s">
        <v>1203</v>
      </c>
      <c r="P285" s="139">
        <v>430103701</v>
      </c>
      <c r="Q285" s="142" t="s">
        <v>1204</v>
      </c>
      <c r="R285" s="139">
        <v>430103701</v>
      </c>
      <c r="S285" s="142" t="s">
        <v>1204</v>
      </c>
      <c r="T285" s="145" t="s">
        <v>69</v>
      </c>
      <c r="U285" s="145">
        <v>12</v>
      </c>
      <c r="V285" s="145"/>
      <c r="W285" s="145">
        <f t="shared" si="30"/>
        <v>12</v>
      </c>
      <c r="X285" s="145">
        <v>12</v>
      </c>
      <c r="Y285" s="146">
        <v>2020003630009</v>
      </c>
      <c r="Z285" s="147" t="s">
        <v>1201</v>
      </c>
      <c r="AA285" s="140" t="s">
        <v>1202</v>
      </c>
      <c r="AB285" s="138">
        <f>20000000-20000000</f>
        <v>0</v>
      </c>
      <c r="AC285" s="138"/>
      <c r="AD285" s="138"/>
      <c r="AE285" s="136">
        <v>166500000</v>
      </c>
      <c r="AF285" s="136">
        <v>9400000</v>
      </c>
      <c r="AG285" s="136">
        <v>2350000</v>
      </c>
      <c r="AH285" s="130"/>
      <c r="AI285" s="130"/>
      <c r="AJ285" s="130"/>
      <c r="AK285" s="130"/>
      <c r="AL285" s="130"/>
      <c r="AM285" s="130"/>
      <c r="AN285" s="130"/>
      <c r="AO285" s="130"/>
      <c r="AP285" s="130"/>
      <c r="AQ285" s="130"/>
      <c r="AR285" s="130"/>
      <c r="AS285" s="130"/>
      <c r="AT285" s="136">
        <v>0</v>
      </c>
      <c r="AU285" s="136"/>
      <c r="AV285" s="136"/>
      <c r="AW285" s="136"/>
      <c r="AX285" s="136"/>
      <c r="AY285" s="136"/>
      <c r="AZ285" s="136"/>
      <c r="BA285" s="136"/>
      <c r="BB285" s="136"/>
      <c r="BC285" s="136">
        <v>90000000</v>
      </c>
      <c r="BD285" s="136"/>
      <c r="BE285" s="136"/>
      <c r="BF285" s="138">
        <f t="shared" si="27"/>
        <v>256500000</v>
      </c>
      <c r="BG285" s="138">
        <f t="shared" si="28"/>
        <v>9400000</v>
      </c>
      <c r="BH285" s="138">
        <f t="shared" si="29"/>
        <v>2350000</v>
      </c>
      <c r="BI285" s="149" t="s">
        <v>4</v>
      </c>
    </row>
    <row r="286" spans="1:62" s="151" customFormat="1" ht="88.5" customHeight="1">
      <c r="A286" s="139">
        <v>319</v>
      </c>
      <c r="B286" s="140" t="s">
        <v>1197</v>
      </c>
      <c r="C286" s="139">
        <v>1</v>
      </c>
      <c r="D286" s="140" t="s">
        <v>148</v>
      </c>
      <c r="E286" s="139">
        <v>43</v>
      </c>
      <c r="F286" s="140" t="s">
        <v>189</v>
      </c>
      <c r="G286" s="139">
        <v>4301</v>
      </c>
      <c r="H286" s="140" t="s">
        <v>190</v>
      </c>
      <c r="I286" s="139">
        <v>4301</v>
      </c>
      <c r="J286" s="140" t="s">
        <v>191</v>
      </c>
      <c r="K286" s="142" t="s">
        <v>1198</v>
      </c>
      <c r="L286" s="139">
        <v>4301037</v>
      </c>
      <c r="M286" s="140" t="s">
        <v>1203</v>
      </c>
      <c r="N286" s="139">
        <v>4301037</v>
      </c>
      <c r="O286" s="140" t="s">
        <v>1203</v>
      </c>
      <c r="P286" s="139" t="s">
        <v>1205</v>
      </c>
      <c r="Q286" s="142" t="s">
        <v>1206</v>
      </c>
      <c r="R286" s="139" t="s">
        <v>1205</v>
      </c>
      <c r="S286" s="142" t="s">
        <v>1206</v>
      </c>
      <c r="T286" s="145" t="s">
        <v>69</v>
      </c>
      <c r="U286" s="145">
        <v>12</v>
      </c>
      <c r="V286" s="145"/>
      <c r="W286" s="145">
        <f t="shared" si="30"/>
        <v>12</v>
      </c>
      <c r="X286" s="145">
        <v>12</v>
      </c>
      <c r="Y286" s="146">
        <v>2020003630009</v>
      </c>
      <c r="Z286" s="147" t="s">
        <v>1201</v>
      </c>
      <c r="AA286" s="140" t="s">
        <v>1202</v>
      </c>
      <c r="AB286" s="130">
        <f>530000000-330000000</f>
        <v>200000000</v>
      </c>
      <c r="AC286" s="130"/>
      <c r="AD286" s="130"/>
      <c r="AE286" s="136">
        <f>80000000+50000000+14405547.65</f>
        <v>144405547.65000001</v>
      </c>
      <c r="AF286" s="136">
        <v>18205547.649999999</v>
      </c>
      <c r="AG286" s="136">
        <v>5650000</v>
      </c>
      <c r="AH286" s="130"/>
      <c r="AI286" s="130"/>
      <c r="AJ286" s="130"/>
      <c r="AK286" s="130"/>
      <c r="AL286" s="130"/>
      <c r="AM286" s="130"/>
      <c r="AN286" s="130"/>
      <c r="AO286" s="130"/>
      <c r="AP286" s="130"/>
      <c r="AQ286" s="130"/>
      <c r="AR286" s="130"/>
      <c r="AS286" s="130"/>
      <c r="AT286" s="136"/>
      <c r="AU286" s="136"/>
      <c r="AV286" s="136"/>
      <c r="AW286" s="136">
        <f>80364707+20000000+1750133.5+27919685.35+130000000+11183925.89+110159020.07+33164220.2</f>
        <v>414541692.00999999</v>
      </c>
      <c r="AX286" s="136">
        <v>171169452.35000002</v>
      </c>
      <c r="AY286" s="136">
        <v>31600000</v>
      </c>
      <c r="AZ286" s="136"/>
      <c r="BA286" s="136"/>
      <c r="BB286" s="136"/>
      <c r="BC286" s="130">
        <f>480000000+195000000+5000000</f>
        <v>680000000</v>
      </c>
      <c r="BD286" s="130">
        <v>195000000</v>
      </c>
      <c r="BE286" s="130">
        <v>92750000</v>
      </c>
      <c r="BF286" s="138">
        <f t="shared" si="27"/>
        <v>1438947239.6599998</v>
      </c>
      <c r="BG286" s="138">
        <f t="shared" si="28"/>
        <v>384375000</v>
      </c>
      <c r="BH286" s="138">
        <f t="shared" si="29"/>
        <v>130000000</v>
      </c>
      <c r="BI286" s="149" t="s">
        <v>4</v>
      </c>
    </row>
    <row r="287" spans="1:62" s="151" customFormat="1" ht="89.25">
      <c r="A287" s="139">
        <v>319</v>
      </c>
      <c r="B287" s="140" t="s">
        <v>1197</v>
      </c>
      <c r="C287" s="139">
        <v>1</v>
      </c>
      <c r="D287" s="140" t="s">
        <v>148</v>
      </c>
      <c r="E287" s="139">
        <v>43</v>
      </c>
      <c r="F287" s="140" t="s">
        <v>189</v>
      </c>
      <c r="G287" s="139">
        <v>4301</v>
      </c>
      <c r="H287" s="140" t="s">
        <v>190</v>
      </c>
      <c r="I287" s="139">
        <v>4301</v>
      </c>
      <c r="J287" s="140" t="s">
        <v>191</v>
      </c>
      <c r="K287" s="142" t="s">
        <v>1198</v>
      </c>
      <c r="L287" s="145" t="s">
        <v>61</v>
      </c>
      <c r="M287" s="140" t="s">
        <v>1207</v>
      </c>
      <c r="N287" s="139">
        <v>4301006</v>
      </c>
      <c r="O287" s="140" t="s">
        <v>1208</v>
      </c>
      <c r="P287" s="145" t="s">
        <v>61</v>
      </c>
      <c r="Q287" s="142" t="s">
        <v>1209</v>
      </c>
      <c r="R287" s="139">
        <v>430100600</v>
      </c>
      <c r="S287" s="142" t="s">
        <v>1210</v>
      </c>
      <c r="T287" s="299" t="s">
        <v>69</v>
      </c>
      <c r="U287" s="145">
        <v>1</v>
      </c>
      <c r="V287" s="145"/>
      <c r="W287" s="145">
        <f t="shared" si="30"/>
        <v>1</v>
      </c>
      <c r="X287" s="145">
        <v>0.2</v>
      </c>
      <c r="Y287" s="146">
        <v>2020003630009</v>
      </c>
      <c r="Z287" s="147" t="s">
        <v>1201</v>
      </c>
      <c r="AA287" s="140" t="s">
        <v>1202</v>
      </c>
      <c r="AB287" s="130">
        <v>0</v>
      </c>
      <c r="AC287" s="130"/>
      <c r="AD287" s="130"/>
      <c r="AE287" s="131">
        <f>100000000-50000000</f>
        <v>50000000</v>
      </c>
      <c r="AF287" s="131">
        <v>29000000</v>
      </c>
      <c r="AG287" s="131">
        <v>8000000</v>
      </c>
      <c r="AH287" s="130"/>
      <c r="AI287" s="130"/>
      <c r="AJ287" s="130"/>
      <c r="AK287" s="130"/>
      <c r="AL287" s="130"/>
      <c r="AM287" s="130"/>
      <c r="AN287" s="130"/>
      <c r="AO287" s="130"/>
      <c r="AP287" s="130"/>
      <c r="AQ287" s="130"/>
      <c r="AR287" s="130"/>
      <c r="AS287" s="130"/>
      <c r="AT287" s="148"/>
      <c r="AU287" s="148"/>
      <c r="AV287" s="148"/>
      <c r="AW287" s="130">
        <v>26000000</v>
      </c>
      <c r="AX287" s="131"/>
      <c r="AY287" s="131"/>
      <c r="AZ287" s="131"/>
      <c r="BA287" s="131"/>
      <c r="BB287" s="131"/>
      <c r="BC287" s="148">
        <v>0</v>
      </c>
      <c r="BD287" s="148"/>
      <c r="BE287" s="148"/>
      <c r="BF287" s="138">
        <f t="shared" si="27"/>
        <v>76000000</v>
      </c>
      <c r="BG287" s="138">
        <f t="shared" si="28"/>
        <v>29000000</v>
      </c>
      <c r="BH287" s="138">
        <f t="shared" si="29"/>
        <v>8000000</v>
      </c>
      <c r="BI287" s="149" t="s">
        <v>4</v>
      </c>
    </row>
    <row r="288" spans="1:62" s="151" customFormat="1" ht="83.25" customHeight="1">
      <c r="A288" s="139">
        <v>319</v>
      </c>
      <c r="B288" s="140" t="s">
        <v>1197</v>
      </c>
      <c r="C288" s="139">
        <v>1</v>
      </c>
      <c r="D288" s="140" t="s">
        <v>148</v>
      </c>
      <c r="E288" s="139">
        <v>43</v>
      </c>
      <c r="F288" s="140" t="s">
        <v>189</v>
      </c>
      <c r="G288" s="139">
        <v>4302</v>
      </c>
      <c r="H288" s="140" t="s">
        <v>1211</v>
      </c>
      <c r="I288" s="139">
        <v>4302</v>
      </c>
      <c r="J288" s="140" t="s">
        <v>1212</v>
      </c>
      <c r="K288" s="141" t="s">
        <v>1213</v>
      </c>
      <c r="L288" s="351">
        <v>4302075</v>
      </c>
      <c r="M288" s="140" t="s">
        <v>1214</v>
      </c>
      <c r="N288" s="351">
        <v>4302075</v>
      </c>
      <c r="O288" s="140" t="s">
        <v>1214</v>
      </c>
      <c r="P288" s="145">
        <v>430207500</v>
      </c>
      <c r="Q288" s="142" t="s">
        <v>1215</v>
      </c>
      <c r="R288" s="145">
        <v>430207500</v>
      </c>
      <c r="S288" s="142" t="s">
        <v>1215</v>
      </c>
      <c r="T288" s="299" t="s">
        <v>69</v>
      </c>
      <c r="U288" s="145">
        <v>25</v>
      </c>
      <c r="V288" s="145"/>
      <c r="W288" s="145">
        <f t="shared" si="30"/>
        <v>25</v>
      </c>
      <c r="X288" s="145">
        <v>6</v>
      </c>
      <c r="Y288" s="146">
        <v>2020003630010</v>
      </c>
      <c r="Z288" s="147" t="s">
        <v>1216</v>
      </c>
      <c r="AA288" s="147" t="s">
        <v>1217</v>
      </c>
      <c r="AB288" s="130">
        <f>2970000000-1413227407+1201555130.82</f>
        <v>2758327723.8199997</v>
      </c>
      <c r="AC288" s="130">
        <v>807701900</v>
      </c>
      <c r="AD288" s="130">
        <v>156741490</v>
      </c>
      <c r="AE288" s="294">
        <f>325298207+52474</f>
        <v>325350681</v>
      </c>
      <c r="AF288" s="294">
        <v>121600000</v>
      </c>
      <c r="AG288" s="294">
        <v>43800000</v>
      </c>
      <c r="AH288" s="130"/>
      <c r="AI288" s="130"/>
      <c r="AJ288" s="130"/>
      <c r="AK288" s="130"/>
      <c r="AL288" s="130"/>
      <c r="AM288" s="130"/>
      <c r="AN288" s="130"/>
      <c r="AO288" s="130"/>
      <c r="AP288" s="130"/>
      <c r="AQ288" s="130"/>
      <c r="AR288" s="130"/>
      <c r="AS288" s="130"/>
      <c r="AT288" s="294"/>
      <c r="AU288" s="294"/>
      <c r="AV288" s="294"/>
      <c r="AW288" s="294">
        <f>490692292+8814969.38+44629899.8+30226+60868817+482545+25482941+32139051.54</f>
        <v>663140741.71999991</v>
      </c>
      <c r="AX288" s="294">
        <v>77701728</v>
      </c>
      <c r="AY288" s="294">
        <v>65101728</v>
      </c>
      <c r="AZ288" s="294"/>
      <c r="BA288" s="294"/>
      <c r="BB288" s="294"/>
      <c r="BC288" s="130">
        <v>0</v>
      </c>
      <c r="BD288" s="130"/>
      <c r="BE288" s="130"/>
      <c r="BF288" s="138">
        <f>AB288+AE288+AH288+AK288+AN288+AQ288+AT288+AW288+BC288+AZ288</f>
        <v>3746819146.5399995</v>
      </c>
      <c r="BG288" s="138">
        <f t="shared" si="28"/>
        <v>1007003628</v>
      </c>
      <c r="BH288" s="138">
        <f t="shared" si="29"/>
        <v>265643218</v>
      </c>
      <c r="BI288" s="149" t="s">
        <v>4</v>
      </c>
    </row>
    <row r="289" spans="1:62" s="151" customFormat="1" ht="84.75" customHeight="1">
      <c r="A289" s="139">
        <v>319</v>
      </c>
      <c r="B289" s="140" t="s">
        <v>1197</v>
      </c>
      <c r="C289" s="139">
        <v>1</v>
      </c>
      <c r="D289" s="140" t="s">
        <v>148</v>
      </c>
      <c r="E289" s="139">
        <v>43</v>
      </c>
      <c r="F289" s="140" t="s">
        <v>189</v>
      </c>
      <c r="G289" s="139">
        <v>4302</v>
      </c>
      <c r="H289" s="140" t="s">
        <v>1211</v>
      </c>
      <c r="I289" s="139">
        <v>4302</v>
      </c>
      <c r="J289" s="140" t="s">
        <v>1212</v>
      </c>
      <c r="K289" s="141" t="s">
        <v>1213</v>
      </c>
      <c r="L289" s="351">
        <v>4302075</v>
      </c>
      <c r="M289" s="140" t="s">
        <v>1214</v>
      </c>
      <c r="N289" s="351">
        <v>4302004</v>
      </c>
      <c r="O289" s="140" t="s">
        <v>1218</v>
      </c>
      <c r="P289" s="145" t="s">
        <v>61</v>
      </c>
      <c r="Q289" s="142" t="s">
        <v>1219</v>
      </c>
      <c r="R289" s="292">
        <v>430200401</v>
      </c>
      <c r="S289" s="142" t="s">
        <v>1220</v>
      </c>
      <c r="T289" s="299" t="s">
        <v>69</v>
      </c>
      <c r="U289" s="145">
        <v>1</v>
      </c>
      <c r="V289" s="145"/>
      <c r="W289" s="145">
        <f t="shared" si="30"/>
        <v>1</v>
      </c>
      <c r="X289" s="145">
        <v>0.1</v>
      </c>
      <c r="Y289" s="146">
        <v>2020003630013</v>
      </c>
      <c r="Z289" s="147" t="s">
        <v>1221</v>
      </c>
      <c r="AA289" s="140" t="s">
        <v>1222</v>
      </c>
      <c r="AB289" s="130">
        <f>50000000+1413227407+130000000+330000000+20000000+181953667</f>
        <v>2125181074</v>
      </c>
      <c r="AC289" s="130">
        <v>663815855</v>
      </c>
      <c r="AD289" s="130">
        <v>2800000</v>
      </c>
      <c r="AE289" s="294">
        <v>135184145</v>
      </c>
      <c r="AF289" s="294">
        <v>135184145</v>
      </c>
      <c r="AG289" s="294"/>
      <c r="AH289" s="130"/>
      <c r="AI289" s="130"/>
      <c r="AJ289" s="130"/>
      <c r="AK289" s="130"/>
      <c r="AL289" s="130"/>
      <c r="AM289" s="130"/>
      <c r="AN289" s="130"/>
      <c r="AO289" s="130"/>
      <c r="AP289" s="130"/>
      <c r="AQ289" s="130"/>
      <c r="AR289" s="130"/>
      <c r="AS289" s="130"/>
      <c r="AT289" s="138"/>
      <c r="AU289" s="138"/>
      <c r="AV289" s="138"/>
      <c r="AW289" s="138">
        <f>86652613+15000000</f>
        <v>101652613</v>
      </c>
      <c r="AX289" s="138">
        <v>15000000</v>
      </c>
      <c r="AY289" s="138"/>
      <c r="AZ289" s="138"/>
      <c r="BA289" s="138"/>
      <c r="BB289" s="138"/>
      <c r="BC289" s="130">
        <v>0</v>
      </c>
      <c r="BD289" s="130"/>
      <c r="BE289" s="130"/>
      <c r="BF289" s="138">
        <f t="shared" si="27"/>
        <v>2362017832</v>
      </c>
      <c r="BG289" s="138">
        <f t="shared" si="28"/>
        <v>814000000</v>
      </c>
      <c r="BH289" s="138">
        <f t="shared" si="29"/>
        <v>2800000</v>
      </c>
      <c r="BI289" s="149" t="s">
        <v>4</v>
      </c>
    </row>
    <row r="290" spans="1:62" s="151" customFormat="1" ht="132.75" customHeight="1">
      <c r="A290" s="139">
        <v>320</v>
      </c>
      <c r="B290" s="140" t="s">
        <v>1223</v>
      </c>
      <c r="C290" s="139">
        <v>1</v>
      </c>
      <c r="D290" s="140" t="s">
        <v>148</v>
      </c>
      <c r="E290" s="139">
        <v>43</v>
      </c>
      <c r="F290" s="140" t="s">
        <v>189</v>
      </c>
      <c r="G290" s="139">
        <v>4301</v>
      </c>
      <c r="H290" s="140" t="s">
        <v>190</v>
      </c>
      <c r="I290" s="139">
        <v>4301</v>
      </c>
      <c r="J290" s="140" t="s">
        <v>191</v>
      </c>
      <c r="K290" s="140" t="s">
        <v>192</v>
      </c>
      <c r="L290" s="145" t="s">
        <v>61</v>
      </c>
      <c r="M290" s="134" t="s">
        <v>1224</v>
      </c>
      <c r="N290" s="139">
        <v>4301004</v>
      </c>
      <c r="O290" s="134" t="s">
        <v>194</v>
      </c>
      <c r="P290" s="145" t="s">
        <v>61</v>
      </c>
      <c r="Q290" s="142" t="s">
        <v>1225</v>
      </c>
      <c r="R290" s="137">
        <v>430100401</v>
      </c>
      <c r="S290" s="134" t="s">
        <v>196</v>
      </c>
      <c r="T290" s="143" t="s">
        <v>157</v>
      </c>
      <c r="U290" s="145">
        <v>3</v>
      </c>
      <c r="V290" s="145"/>
      <c r="W290" s="145">
        <f>+U290+V290</f>
        <v>3</v>
      </c>
      <c r="X290" s="145">
        <v>0</v>
      </c>
      <c r="Y290" s="146">
        <v>2020003630142</v>
      </c>
      <c r="Z290" s="147" t="s">
        <v>1226</v>
      </c>
      <c r="AA290" s="134" t="s">
        <v>1227</v>
      </c>
      <c r="AB290" s="131">
        <f>1500000000-130000000</f>
        <v>1370000000</v>
      </c>
      <c r="AC290" s="131">
        <v>228365000</v>
      </c>
      <c r="AD290" s="131">
        <v>62293958</v>
      </c>
      <c r="AE290" s="130"/>
      <c r="AF290" s="130"/>
      <c r="AG290" s="130"/>
      <c r="AH290" s="130"/>
      <c r="AI290" s="130"/>
      <c r="AJ290" s="130"/>
      <c r="AK290" s="130"/>
      <c r="AL290" s="130"/>
      <c r="AM290" s="130"/>
      <c r="AN290" s="130"/>
      <c r="AO290" s="130"/>
      <c r="AP290" s="130"/>
      <c r="AQ290" s="130"/>
      <c r="AR290" s="130"/>
      <c r="AS290" s="130"/>
      <c r="AT290" s="148"/>
      <c r="AU290" s="148"/>
      <c r="AV290" s="148"/>
      <c r="AW290" s="136"/>
      <c r="AX290" s="136"/>
      <c r="AY290" s="136"/>
      <c r="AZ290" s="136"/>
      <c r="BA290" s="136"/>
      <c r="BB290" s="136"/>
      <c r="BC290" s="130"/>
      <c r="BD290" s="130"/>
      <c r="BE290" s="130"/>
      <c r="BF290" s="138">
        <f t="shared" si="27"/>
        <v>1370000000</v>
      </c>
      <c r="BG290" s="138">
        <f t="shared" si="28"/>
        <v>228365000</v>
      </c>
      <c r="BH290" s="138">
        <f t="shared" si="29"/>
        <v>62293958</v>
      </c>
      <c r="BI290" s="149" t="s">
        <v>3</v>
      </c>
    </row>
    <row r="291" spans="1:62" s="151" customFormat="1" ht="51">
      <c r="A291" s="139">
        <v>320</v>
      </c>
      <c r="B291" s="140" t="s">
        <v>1223</v>
      </c>
      <c r="C291" s="139">
        <v>1</v>
      </c>
      <c r="D291" s="140" t="s">
        <v>148</v>
      </c>
      <c r="E291" s="139">
        <v>22</v>
      </c>
      <c r="F291" s="140" t="s">
        <v>160</v>
      </c>
      <c r="G291" s="139">
        <v>2201</v>
      </c>
      <c r="H291" s="140" t="s">
        <v>297</v>
      </c>
      <c r="I291" s="139">
        <v>2201</v>
      </c>
      <c r="J291" s="140" t="s">
        <v>162</v>
      </c>
      <c r="K291" s="140" t="s">
        <v>163</v>
      </c>
      <c r="L291" s="145" t="s">
        <v>61</v>
      </c>
      <c r="M291" s="140" t="s">
        <v>665</v>
      </c>
      <c r="N291" s="137">
        <v>2201062</v>
      </c>
      <c r="O291" s="140" t="s">
        <v>165</v>
      </c>
      <c r="P291" s="145" t="s">
        <v>61</v>
      </c>
      <c r="Q291" s="142" t="s">
        <v>166</v>
      </c>
      <c r="R291" s="139">
        <v>220106200</v>
      </c>
      <c r="S291" s="141" t="s">
        <v>167</v>
      </c>
      <c r="T291" s="143" t="s">
        <v>157</v>
      </c>
      <c r="U291" s="139">
        <v>15</v>
      </c>
      <c r="V291" s="139"/>
      <c r="W291" s="145">
        <f t="shared" ref="W291:W301" si="31">+U291+V291</f>
        <v>15</v>
      </c>
      <c r="X291" s="145">
        <v>0</v>
      </c>
      <c r="Y291" s="146">
        <v>2020003630143</v>
      </c>
      <c r="Z291" s="147" t="s">
        <v>1228</v>
      </c>
      <c r="AA291" s="134" t="s">
        <v>1229</v>
      </c>
      <c r="AB291" s="138">
        <v>1138923248</v>
      </c>
      <c r="AC291" s="138">
        <v>250044000</v>
      </c>
      <c r="AD291" s="138">
        <v>61786792</v>
      </c>
      <c r="AE291" s="130"/>
      <c r="AF291" s="130"/>
      <c r="AG291" s="130"/>
      <c r="AH291" s="130"/>
      <c r="AI291" s="130"/>
      <c r="AJ291" s="130"/>
      <c r="AK291" s="130"/>
      <c r="AL291" s="130"/>
      <c r="AM291" s="130"/>
      <c r="AN291" s="130"/>
      <c r="AO291" s="130"/>
      <c r="AP291" s="130"/>
      <c r="AQ291" s="130"/>
      <c r="AR291" s="130"/>
      <c r="AS291" s="130"/>
      <c r="AT291" s="148"/>
      <c r="AU291" s="148"/>
      <c r="AV291" s="148"/>
      <c r="AW291" s="130"/>
      <c r="AX291" s="130"/>
      <c r="AY291" s="130"/>
      <c r="AZ291" s="130"/>
      <c r="BA291" s="130"/>
      <c r="BB291" s="130"/>
      <c r="BC291" s="273"/>
      <c r="BD291" s="273"/>
      <c r="BE291" s="273"/>
      <c r="BF291" s="138">
        <f t="shared" si="27"/>
        <v>1138923248</v>
      </c>
      <c r="BG291" s="138">
        <f t="shared" si="28"/>
        <v>250044000</v>
      </c>
      <c r="BH291" s="138">
        <f t="shared" si="29"/>
        <v>61786792</v>
      </c>
      <c r="BI291" s="149" t="s">
        <v>3</v>
      </c>
    </row>
    <row r="292" spans="1:62" s="151" customFormat="1" ht="38.25">
      <c r="A292" s="139">
        <v>320</v>
      </c>
      <c r="B292" s="140" t="s">
        <v>1223</v>
      </c>
      <c r="C292" s="139">
        <v>3</v>
      </c>
      <c r="D292" s="140" t="s">
        <v>211</v>
      </c>
      <c r="E292" s="139">
        <v>24</v>
      </c>
      <c r="F292" s="140" t="s">
        <v>212</v>
      </c>
      <c r="G292" s="139">
        <v>2402</v>
      </c>
      <c r="H292" s="140" t="s">
        <v>213</v>
      </c>
      <c r="I292" s="139">
        <v>2402</v>
      </c>
      <c r="J292" s="140" t="s">
        <v>214</v>
      </c>
      <c r="K292" s="134" t="s">
        <v>1230</v>
      </c>
      <c r="L292" s="145" t="s">
        <v>61</v>
      </c>
      <c r="M292" s="140" t="s">
        <v>222</v>
      </c>
      <c r="N292" s="137">
        <v>2402041</v>
      </c>
      <c r="O292" s="140" t="s">
        <v>223</v>
      </c>
      <c r="P292" s="145" t="s">
        <v>61</v>
      </c>
      <c r="Q292" s="142" t="s">
        <v>224</v>
      </c>
      <c r="R292" s="137">
        <v>240204100</v>
      </c>
      <c r="S292" s="134" t="s">
        <v>225</v>
      </c>
      <c r="T292" s="143" t="s">
        <v>69</v>
      </c>
      <c r="U292" s="132">
        <v>70.379000000000005</v>
      </c>
      <c r="V292" s="132"/>
      <c r="W292" s="145">
        <f t="shared" si="31"/>
        <v>70.379000000000005</v>
      </c>
      <c r="X292" s="145">
        <v>0</v>
      </c>
      <c r="Y292" s="146">
        <v>2020003630144</v>
      </c>
      <c r="Z292" s="147" t="s">
        <v>1231</v>
      </c>
      <c r="AA292" s="140" t="s">
        <v>1232</v>
      </c>
      <c r="AB292" s="130"/>
      <c r="AC292" s="130"/>
      <c r="AD292" s="130"/>
      <c r="AE292" s="130"/>
      <c r="AF292" s="130"/>
      <c r="AG292" s="130"/>
      <c r="AH292" s="130"/>
      <c r="AI292" s="130"/>
      <c r="AJ292" s="130"/>
      <c r="AK292" s="130"/>
      <c r="AL292" s="130"/>
      <c r="AM292" s="130"/>
      <c r="AN292" s="130"/>
      <c r="AO292" s="130"/>
      <c r="AP292" s="130"/>
      <c r="AQ292" s="130"/>
      <c r="AR292" s="130"/>
      <c r="AS292" s="130"/>
      <c r="AT292" s="148"/>
      <c r="AU292" s="148"/>
      <c r="AV292" s="148"/>
      <c r="AW292" s="136">
        <f>520000000</f>
        <v>520000000</v>
      </c>
      <c r="AX292" s="136">
        <v>88475000</v>
      </c>
      <c r="AY292" s="136">
        <v>23837000</v>
      </c>
      <c r="AZ292" s="136"/>
      <c r="BA292" s="136"/>
      <c r="BB292" s="136"/>
      <c r="BC292" s="130"/>
      <c r="BD292" s="130"/>
      <c r="BE292" s="130"/>
      <c r="BF292" s="138">
        <f t="shared" si="27"/>
        <v>520000000</v>
      </c>
      <c r="BG292" s="138">
        <f t="shared" si="28"/>
        <v>88475000</v>
      </c>
      <c r="BH292" s="138">
        <f t="shared" si="29"/>
        <v>23837000</v>
      </c>
      <c r="BI292" s="149" t="s">
        <v>3</v>
      </c>
    </row>
    <row r="293" spans="1:62" s="151" customFormat="1" ht="85.5" customHeight="1">
      <c r="A293" s="139">
        <v>320</v>
      </c>
      <c r="B293" s="140" t="s">
        <v>1223</v>
      </c>
      <c r="C293" s="139">
        <v>3</v>
      </c>
      <c r="D293" s="140" t="s">
        <v>211</v>
      </c>
      <c r="E293" s="139">
        <v>40</v>
      </c>
      <c r="F293" s="140" t="s">
        <v>240</v>
      </c>
      <c r="G293" s="139">
        <v>4001</v>
      </c>
      <c r="H293" s="140" t="s">
        <v>241</v>
      </c>
      <c r="I293" s="139">
        <v>4001</v>
      </c>
      <c r="J293" s="140" t="s">
        <v>242</v>
      </c>
      <c r="K293" s="140" t="s">
        <v>243</v>
      </c>
      <c r="L293" s="275">
        <v>4001001</v>
      </c>
      <c r="M293" s="140" t="s">
        <v>1233</v>
      </c>
      <c r="N293" s="352">
        <v>4001001</v>
      </c>
      <c r="O293" s="140" t="s">
        <v>1233</v>
      </c>
      <c r="P293" s="145" t="s">
        <v>1234</v>
      </c>
      <c r="Q293" s="142" t="s">
        <v>1235</v>
      </c>
      <c r="R293" s="145" t="s">
        <v>1234</v>
      </c>
      <c r="S293" s="142" t="s">
        <v>1235</v>
      </c>
      <c r="T293" s="143" t="s">
        <v>157</v>
      </c>
      <c r="U293" s="145">
        <v>3</v>
      </c>
      <c r="V293" s="145"/>
      <c r="W293" s="145">
        <f t="shared" si="31"/>
        <v>3</v>
      </c>
      <c r="X293" s="145">
        <v>0</v>
      </c>
      <c r="Y293" s="146">
        <v>2020003630145</v>
      </c>
      <c r="Z293" s="147" t="s">
        <v>1236</v>
      </c>
      <c r="AA293" s="140" t="s">
        <v>1237</v>
      </c>
      <c r="AB293" s="138"/>
      <c r="AC293" s="138"/>
      <c r="AD293" s="138"/>
      <c r="AE293" s="130"/>
      <c r="AF293" s="130"/>
      <c r="AG293" s="130"/>
      <c r="AH293" s="130"/>
      <c r="AI293" s="130"/>
      <c r="AJ293" s="130"/>
      <c r="AK293" s="130"/>
      <c r="AL293" s="130"/>
      <c r="AM293" s="130"/>
      <c r="AN293" s="130"/>
      <c r="AO293" s="130"/>
      <c r="AP293" s="130"/>
      <c r="AQ293" s="130"/>
      <c r="AR293" s="130"/>
      <c r="AS293" s="130"/>
      <c r="AT293" s="148"/>
      <c r="AU293" s="148"/>
      <c r="AV293" s="148"/>
      <c r="AW293" s="130">
        <f>25000000+60000000</f>
        <v>85000000</v>
      </c>
      <c r="AX293" s="130">
        <v>30280000</v>
      </c>
      <c r="AY293" s="130">
        <v>7570000</v>
      </c>
      <c r="AZ293" s="130"/>
      <c r="BA293" s="130"/>
      <c r="BB293" s="130"/>
      <c r="BC293" s="273"/>
      <c r="BD293" s="273"/>
      <c r="BE293" s="273"/>
      <c r="BF293" s="138">
        <f t="shared" si="27"/>
        <v>85000000</v>
      </c>
      <c r="BG293" s="138">
        <f t="shared" si="28"/>
        <v>30280000</v>
      </c>
      <c r="BH293" s="138">
        <f t="shared" si="29"/>
        <v>7570000</v>
      </c>
      <c r="BI293" s="149" t="s">
        <v>3</v>
      </c>
    </row>
    <row r="294" spans="1:62" s="151" customFormat="1" ht="85.5" customHeight="1">
      <c r="A294" s="139">
        <v>320</v>
      </c>
      <c r="B294" s="140" t="s">
        <v>1223</v>
      </c>
      <c r="C294" s="139">
        <v>3</v>
      </c>
      <c r="D294" s="140" t="s">
        <v>211</v>
      </c>
      <c r="E294" s="139">
        <v>40</v>
      </c>
      <c r="F294" s="140" t="s">
        <v>240</v>
      </c>
      <c r="G294" s="139">
        <v>4001</v>
      </c>
      <c r="H294" s="140" t="s">
        <v>241</v>
      </c>
      <c r="I294" s="139">
        <v>4001</v>
      </c>
      <c r="J294" s="140" t="s">
        <v>242</v>
      </c>
      <c r="K294" s="140" t="s">
        <v>1238</v>
      </c>
      <c r="L294" s="275">
        <v>4001017</v>
      </c>
      <c r="M294" s="140" t="s">
        <v>1239</v>
      </c>
      <c r="N294" s="352">
        <v>4001017</v>
      </c>
      <c r="O294" s="140" t="s">
        <v>1239</v>
      </c>
      <c r="P294" s="145" t="s">
        <v>1240</v>
      </c>
      <c r="Q294" s="142" t="s">
        <v>1241</v>
      </c>
      <c r="R294" s="145" t="s">
        <v>1240</v>
      </c>
      <c r="S294" s="142" t="s">
        <v>1241</v>
      </c>
      <c r="T294" s="145" t="s">
        <v>157</v>
      </c>
      <c r="U294" s="145">
        <v>25</v>
      </c>
      <c r="V294" s="145">
        <v>50</v>
      </c>
      <c r="W294" s="145">
        <f t="shared" si="31"/>
        <v>75</v>
      </c>
      <c r="X294" s="145">
        <v>0</v>
      </c>
      <c r="Y294" s="146">
        <v>2020003630145</v>
      </c>
      <c r="Z294" s="147" t="s">
        <v>1236</v>
      </c>
      <c r="AA294" s="140" t="s">
        <v>1237</v>
      </c>
      <c r="AB294" s="138">
        <f>170000000-168500000</f>
        <v>1500000</v>
      </c>
      <c r="AC294" s="138">
        <v>1500000</v>
      </c>
      <c r="AD294" s="138">
        <v>1000000</v>
      </c>
      <c r="AE294" s="130"/>
      <c r="AF294" s="130"/>
      <c r="AG294" s="130"/>
      <c r="AH294" s="130"/>
      <c r="AI294" s="130"/>
      <c r="AJ294" s="130"/>
      <c r="AK294" s="130"/>
      <c r="AL294" s="130"/>
      <c r="AM294" s="130"/>
      <c r="AN294" s="130"/>
      <c r="AO294" s="130"/>
      <c r="AP294" s="130"/>
      <c r="AQ294" s="130"/>
      <c r="AR294" s="130"/>
      <c r="AS294" s="130"/>
      <c r="AT294" s="148"/>
      <c r="AU294" s="148"/>
      <c r="AV294" s="148"/>
      <c r="AW294" s="138">
        <v>200000000</v>
      </c>
      <c r="AX294" s="138">
        <v>28980000</v>
      </c>
      <c r="AY294" s="138">
        <v>3800000</v>
      </c>
      <c r="AZ294" s="138"/>
      <c r="BA294" s="138"/>
      <c r="BB294" s="138"/>
      <c r="BC294" s="273"/>
      <c r="BD294" s="273"/>
      <c r="BE294" s="273"/>
      <c r="BF294" s="138">
        <f t="shared" si="27"/>
        <v>201500000</v>
      </c>
      <c r="BG294" s="138">
        <f t="shared" si="28"/>
        <v>30480000</v>
      </c>
      <c r="BH294" s="138">
        <f t="shared" si="29"/>
        <v>4800000</v>
      </c>
      <c r="BI294" s="149" t="s">
        <v>3</v>
      </c>
    </row>
    <row r="295" spans="1:62" s="151" customFormat="1" ht="85.5" customHeight="1">
      <c r="A295" s="139">
        <v>320</v>
      </c>
      <c r="B295" s="140" t="s">
        <v>1223</v>
      </c>
      <c r="C295" s="139">
        <v>3</v>
      </c>
      <c r="D295" s="140" t="s">
        <v>211</v>
      </c>
      <c r="E295" s="139">
        <v>40</v>
      </c>
      <c r="F295" s="140" t="s">
        <v>240</v>
      </c>
      <c r="G295" s="139">
        <v>4001</v>
      </c>
      <c r="H295" s="140" t="s">
        <v>241</v>
      </c>
      <c r="I295" s="139">
        <v>4001</v>
      </c>
      <c r="J295" s="140" t="s">
        <v>242</v>
      </c>
      <c r="K295" s="140" t="s">
        <v>243</v>
      </c>
      <c r="L295" s="275">
        <v>4001018</v>
      </c>
      <c r="M295" s="140" t="s">
        <v>1242</v>
      </c>
      <c r="N295" s="352">
        <v>4001018</v>
      </c>
      <c r="O295" s="140" t="s">
        <v>1242</v>
      </c>
      <c r="P295" s="145" t="s">
        <v>1243</v>
      </c>
      <c r="Q295" s="142" t="s">
        <v>1244</v>
      </c>
      <c r="R295" s="145" t="s">
        <v>1243</v>
      </c>
      <c r="S295" s="142" t="s">
        <v>1244</v>
      </c>
      <c r="T295" s="145" t="s">
        <v>157</v>
      </c>
      <c r="U295" s="145">
        <v>75</v>
      </c>
      <c r="V295" s="145">
        <v>98</v>
      </c>
      <c r="W295" s="145">
        <f t="shared" si="31"/>
        <v>173</v>
      </c>
      <c r="X295" s="145">
        <v>0</v>
      </c>
      <c r="Y295" s="146">
        <v>2020003630145</v>
      </c>
      <c r="Z295" s="147" t="s">
        <v>1236</v>
      </c>
      <c r="AA295" s="140" t="s">
        <v>1237</v>
      </c>
      <c r="AB295" s="138">
        <f>350000000-38000000</f>
        <v>312000000</v>
      </c>
      <c r="AC295" s="138">
        <v>42160000</v>
      </c>
      <c r="AD295" s="138">
        <v>8900000</v>
      </c>
      <c r="AE295" s="130"/>
      <c r="AF295" s="130"/>
      <c r="AG295" s="130"/>
      <c r="AH295" s="130"/>
      <c r="AI295" s="130"/>
      <c r="AJ295" s="130"/>
      <c r="AK295" s="130"/>
      <c r="AL295" s="130"/>
      <c r="AM295" s="130"/>
      <c r="AN295" s="130"/>
      <c r="AO295" s="130"/>
      <c r="AP295" s="130"/>
      <c r="AQ295" s="130"/>
      <c r="AR295" s="130"/>
      <c r="AS295" s="130"/>
      <c r="AT295" s="148"/>
      <c r="AU295" s="148"/>
      <c r="AV295" s="148"/>
      <c r="AW295" s="130">
        <v>25000000</v>
      </c>
      <c r="AX295" s="130"/>
      <c r="AY295" s="130"/>
      <c r="AZ295" s="130"/>
      <c r="BA295" s="130"/>
      <c r="BB295" s="130"/>
      <c r="BC295" s="273"/>
      <c r="BD295" s="273"/>
      <c r="BE295" s="273"/>
      <c r="BF295" s="138">
        <f t="shared" si="27"/>
        <v>337000000</v>
      </c>
      <c r="BG295" s="138">
        <f t="shared" si="28"/>
        <v>42160000</v>
      </c>
      <c r="BH295" s="138">
        <f t="shared" si="29"/>
        <v>8900000</v>
      </c>
      <c r="BI295" s="149" t="s">
        <v>3</v>
      </c>
    </row>
    <row r="296" spans="1:62" s="151" customFormat="1" ht="85.5" customHeight="1">
      <c r="A296" s="139">
        <v>320</v>
      </c>
      <c r="B296" s="140" t="s">
        <v>1223</v>
      </c>
      <c r="C296" s="139">
        <v>3</v>
      </c>
      <c r="D296" s="140" t="s">
        <v>211</v>
      </c>
      <c r="E296" s="139">
        <v>40</v>
      </c>
      <c r="F296" s="140" t="s">
        <v>240</v>
      </c>
      <c r="G296" s="139">
        <v>4001</v>
      </c>
      <c r="H296" s="140" t="s">
        <v>241</v>
      </c>
      <c r="I296" s="139">
        <v>4001</v>
      </c>
      <c r="J296" s="140" t="s">
        <v>242</v>
      </c>
      <c r="K296" s="140" t="s">
        <v>243</v>
      </c>
      <c r="L296" s="275">
        <v>4001030</v>
      </c>
      <c r="M296" s="140" t="s">
        <v>1245</v>
      </c>
      <c r="N296" s="352">
        <v>4001030</v>
      </c>
      <c r="O296" s="140" t="s">
        <v>1245</v>
      </c>
      <c r="P296" s="145" t="s">
        <v>1246</v>
      </c>
      <c r="Q296" s="142" t="s">
        <v>267</v>
      </c>
      <c r="R296" s="145" t="s">
        <v>1246</v>
      </c>
      <c r="S296" s="142" t="s">
        <v>267</v>
      </c>
      <c r="T296" s="143" t="s">
        <v>157</v>
      </c>
      <c r="U296" s="145">
        <v>3</v>
      </c>
      <c r="V296" s="145"/>
      <c r="W296" s="145">
        <f t="shared" si="31"/>
        <v>3</v>
      </c>
      <c r="X296" s="145">
        <v>0</v>
      </c>
      <c r="Y296" s="146">
        <v>2020003630145</v>
      </c>
      <c r="Z296" s="147" t="s">
        <v>1236</v>
      </c>
      <c r="AA296" s="140" t="s">
        <v>1237</v>
      </c>
      <c r="AB296" s="138"/>
      <c r="AC296" s="138"/>
      <c r="AD296" s="138"/>
      <c r="AE296" s="130"/>
      <c r="AF296" s="130"/>
      <c r="AG296" s="130"/>
      <c r="AH296" s="130"/>
      <c r="AI296" s="130"/>
      <c r="AJ296" s="130"/>
      <c r="AK296" s="130"/>
      <c r="AL296" s="130"/>
      <c r="AM296" s="130"/>
      <c r="AN296" s="130"/>
      <c r="AO296" s="130"/>
      <c r="AP296" s="130"/>
      <c r="AQ296" s="130"/>
      <c r="AR296" s="130"/>
      <c r="AS296" s="130"/>
      <c r="AT296" s="136"/>
      <c r="AU296" s="136"/>
      <c r="AV296" s="136"/>
      <c r="AW296" s="130">
        <v>10000000</v>
      </c>
      <c r="AX296" s="130"/>
      <c r="AY296" s="130"/>
      <c r="AZ296" s="130"/>
      <c r="BA296" s="130"/>
      <c r="BB296" s="130"/>
      <c r="BC296" s="273"/>
      <c r="BD296" s="273"/>
      <c r="BE296" s="273"/>
      <c r="BF296" s="138">
        <f t="shared" si="27"/>
        <v>10000000</v>
      </c>
      <c r="BG296" s="138">
        <f t="shared" si="28"/>
        <v>0</v>
      </c>
      <c r="BH296" s="138">
        <f t="shared" si="29"/>
        <v>0</v>
      </c>
      <c r="BI296" s="149" t="s">
        <v>3</v>
      </c>
    </row>
    <row r="297" spans="1:62" s="151" customFormat="1" ht="85.5" customHeight="1">
      <c r="A297" s="139">
        <v>320</v>
      </c>
      <c r="B297" s="140" t="s">
        <v>1223</v>
      </c>
      <c r="C297" s="139">
        <v>3</v>
      </c>
      <c r="D297" s="140" t="s">
        <v>211</v>
      </c>
      <c r="E297" s="139">
        <v>40</v>
      </c>
      <c r="F297" s="140" t="s">
        <v>240</v>
      </c>
      <c r="G297" s="139">
        <v>4001</v>
      </c>
      <c r="H297" s="140" t="s">
        <v>241</v>
      </c>
      <c r="I297" s="139">
        <v>4001</v>
      </c>
      <c r="J297" s="140" t="s">
        <v>242</v>
      </c>
      <c r="K297" s="140" t="s">
        <v>243</v>
      </c>
      <c r="L297" s="275">
        <v>4001031</v>
      </c>
      <c r="M297" s="140" t="s">
        <v>1247</v>
      </c>
      <c r="N297" s="352">
        <v>4001031</v>
      </c>
      <c r="O297" s="140" t="s">
        <v>1247</v>
      </c>
      <c r="P297" s="145">
        <v>400103103</v>
      </c>
      <c r="Q297" s="142" t="s">
        <v>1248</v>
      </c>
      <c r="R297" s="145">
        <v>400103103</v>
      </c>
      <c r="S297" s="142" t="s">
        <v>1248</v>
      </c>
      <c r="T297" s="143" t="s">
        <v>157</v>
      </c>
      <c r="U297" s="145">
        <v>8</v>
      </c>
      <c r="V297" s="145">
        <v>8</v>
      </c>
      <c r="W297" s="145">
        <f t="shared" si="31"/>
        <v>16</v>
      </c>
      <c r="X297" s="145">
        <v>0</v>
      </c>
      <c r="Y297" s="146">
        <v>2020003630145</v>
      </c>
      <c r="Z297" s="147" t="s">
        <v>1236</v>
      </c>
      <c r="AA297" s="140" t="s">
        <v>1237</v>
      </c>
      <c r="AB297" s="138"/>
      <c r="AC297" s="138"/>
      <c r="AD297" s="138"/>
      <c r="AE297" s="130"/>
      <c r="AF297" s="130"/>
      <c r="AG297" s="130"/>
      <c r="AH297" s="130"/>
      <c r="AI297" s="130"/>
      <c r="AJ297" s="130"/>
      <c r="AK297" s="130"/>
      <c r="AL297" s="130"/>
      <c r="AM297" s="130"/>
      <c r="AN297" s="130"/>
      <c r="AO297" s="130"/>
      <c r="AP297" s="130"/>
      <c r="AQ297" s="130"/>
      <c r="AR297" s="130"/>
      <c r="AS297" s="130"/>
      <c r="AT297" s="136"/>
      <c r="AU297" s="136"/>
      <c r="AV297" s="136"/>
      <c r="AW297" s="130">
        <v>35000000</v>
      </c>
      <c r="AX297" s="130">
        <v>10000000</v>
      </c>
      <c r="AY297" s="130">
        <v>2500000</v>
      </c>
      <c r="AZ297" s="130"/>
      <c r="BA297" s="130"/>
      <c r="BB297" s="130"/>
      <c r="BC297" s="273"/>
      <c r="BD297" s="273"/>
      <c r="BE297" s="273"/>
      <c r="BF297" s="138">
        <f t="shared" si="27"/>
        <v>35000000</v>
      </c>
      <c r="BG297" s="138">
        <f t="shared" si="28"/>
        <v>10000000</v>
      </c>
      <c r="BH297" s="138">
        <f t="shared" si="29"/>
        <v>2500000</v>
      </c>
      <c r="BI297" s="149" t="s">
        <v>3</v>
      </c>
    </row>
    <row r="298" spans="1:62" s="151" customFormat="1" ht="85.5" customHeight="1">
      <c r="A298" s="139">
        <v>320</v>
      </c>
      <c r="B298" s="140" t="s">
        <v>1223</v>
      </c>
      <c r="C298" s="139">
        <v>3</v>
      </c>
      <c r="D298" s="140" t="s">
        <v>211</v>
      </c>
      <c r="E298" s="139">
        <v>40</v>
      </c>
      <c r="F298" s="140" t="s">
        <v>240</v>
      </c>
      <c r="G298" s="139">
        <v>4001</v>
      </c>
      <c r="H298" s="140" t="s">
        <v>241</v>
      </c>
      <c r="I298" s="139">
        <v>4001</v>
      </c>
      <c r="J298" s="140" t="s">
        <v>242</v>
      </c>
      <c r="K298" s="140" t="s">
        <v>1238</v>
      </c>
      <c r="L298" s="275" t="s">
        <v>1249</v>
      </c>
      <c r="M298" s="140" t="s">
        <v>1250</v>
      </c>
      <c r="N298" s="352" t="s">
        <v>1249</v>
      </c>
      <c r="O298" s="140" t="s">
        <v>1250</v>
      </c>
      <c r="P298" s="145" t="s">
        <v>1251</v>
      </c>
      <c r="Q298" s="142" t="s">
        <v>1250</v>
      </c>
      <c r="R298" s="145" t="s">
        <v>1251</v>
      </c>
      <c r="S298" s="142" t="s">
        <v>1250</v>
      </c>
      <c r="T298" s="143" t="s">
        <v>157</v>
      </c>
      <c r="U298" s="145">
        <v>30</v>
      </c>
      <c r="V298" s="145">
        <v>35</v>
      </c>
      <c r="W298" s="145">
        <f t="shared" si="31"/>
        <v>65</v>
      </c>
      <c r="X298" s="145">
        <v>0</v>
      </c>
      <c r="Y298" s="146">
        <v>2020003630145</v>
      </c>
      <c r="Z298" s="147" t="s">
        <v>1236</v>
      </c>
      <c r="AA298" s="140" t="s">
        <v>1237</v>
      </c>
      <c r="AB298" s="138"/>
      <c r="AC298" s="138"/>
      <c r="AD298" s="138"/>
      <c r="AE298" s="130"/>
      <c r="AF298" s="130"/>
      <c r="AG298" s="130"/>
      <c r="AH298" s="130"/>
      <c r="AI298" s="130"/>
      <c r="AJ298" s="130"/>
      <c r="AK298" s="130"/>
      <c r="AL298" s="130"/>
      <c r="AM298" s="130"/>
      <c r="AN298" s="130"/>
      <c r="AO298" s="130"/>
      <c r="AP298" s="130"/>
      <c r="AQ298" s="130"/>
      <c r="AR298" s="130"/>
      <c r="AS298" s="130"/>
      <c r="AT298" s="136"/>
      <c r="AU298" s="136"/>
      <c r="AV298" s="136"/>
      <c r="AW298" s="130">
        <v>35000000</v>
      </c>
      <c r="AX298" s="130"/>
      <c r="AY298" s="130"/>
      <c r="AZ298" s="130"/>
      <c r="BA298" s="130"/>
      <c r="BB298" s="130"/>
      <c r="BC298" s="273"/>
      <c r="BD298" s="273"/>
      <c r="BE298" s="273"/>
      <c r="BF298" s="138">
        <f t="shared" si="27"/>
        <v>35000000</v>
      </c>
      <c r="BG298" s="138">
        <f t="shared" si="28"/>
        <v>0</v>
      </c>
      <c r="BH298" s="138">
        <f t="shared" si="29"/>
        <v>0</v>
      </c>
      <c r="BI298" s="149" t="s">
        <v>3</v>
      </c>
    </row>
    <row r="299" spans="1:62" s="151" customFormat="1" ht="85.5" customHeight="1">
      <c r="A299" s="139">
        <v>320</v>
      </c>
      <c r="B299" s="140" t="s">
        <v>1223</v>
      </c>
      <c r="C299" s="139">
        <v>3</v>
      </c>
      <c r="D299" s="140" t="s">
        <v>211</v>
      </c>
      <c r="E299" s="139">
        <v>40</v>
      </c>
      <c r="F299" s="140" t="s">
        <v>240</v>
      </c>
      <c r="G299" s="139">
        <v>4001</v>
      </c>
      <c r="H299" s="140" t="s">
        <v>241</v>
      </c>
      <c r="I299" s="139">
        <v>4001</v>
      </c>
      <c r="J299" s="140" t="s">
        <v>242</v>
      </c>
      <c r="K299" s="140" t="s">
        <v>243</v>
      </c>
      <c r="L299" s="275" t="s">
        <v>1252</v>
      </c>
      <c r="M299" s="140" t="s">
        <v>246</v>
      </c>
      <c r="N299" s="352" t="s">
        <v>1252</v>
      </c>
      <c r="O299" s="140" t="s">
        <v>246</v>
      </c>
      <c r="P299" s="145">
        <v>400101500</v>
      </c>
      <c r="Q299" s="142" t="s">
        <v>246</v>
      </c>
      <c r="R299" s="145">
        <v>400101500</v>
      </c>
      <c r="S299" s="142" t="s">
        <v>246</v>
      </c>
      <c r="T299" s="143" t="s">
        <v>157</v>
      </c>
      <c r="U299" s="139">
        <v>120</v>
      </c>
      <c r="V299" s="139"/>
      <c r="W299" s="145">
        <f t="shared" si="31"/>
        <v>120</v>
      </c>
      <c r="X299" s="145">
        <v>0</v>
      </c>
      <c r="Y299" s="146">
        <v>2020003630145</v>
      </c>
      <c r="Z299" s="147" t="s">
        <v>1236</v>
      </c>
      <c r="AA299" s="140" t="s">
        <v>1237</v>
      </c>
      <c r="AB299" s="138">
        <v>206500000</v>
      </c>
      <c r="AC299" s="138">
        <v>36010000</v>
      </c>
      <c r="AD299" s="138">
        <v>8418750</v>
      </c>
      <c r="AE299" s="130"/>
      <c r="AF299" s="130"/>
      <c r="AG299" s="130"/>
      <c r="AH299" s="130"/>
      <c r="AI299" s="130"/>
      <c r="AJ299" s="130"/>
      <c r="AK299" s="130"/>
      <c r="AL299" s="130"/>
      <c r="AM299" s="130"/>
      <c r="AN299" s="130"/>
      <c r="AO299" s="130"/>
      <c r="AP299" s="130"/>
      <c r="AQ299" s="130"/>
      <c r="AR299" s="130"/>
      <c r="AS299" s="130"/>
      <c r="AT299" s="136"/>
      <c r="AU299" s="136"/>
      <c r="AV299" s="136"/>
      <c r="AW299" s="130">
        <f>260000000-260000000</f>
        <v>0</v>
      </c>
      <c r="AX299" s="130"/>
      <c r="AY299" s="130"/>
      <c r="AZ299" s="130"/>
      <c r="BA299" s="130"/>
      <c r="BB299" s="130"/>
      <c r="BC299" s="273"/>
      <c r="BD299" s="273"/>
      <c r="BE299" s="273"/>
      <c r="BF299" s="138">
        <f t="shared" si="27"/>
        <v>206500000</v>
      </c>
      <c r="BG299" s="138">
        <f t="shared" si="28"/>
        <v>36010000</v>
      </c>
      <c r="BH299" s="138">
        <f t="shared" si="29"/>
        <v>8418750</v>
      </c>
      <c r="BI299" s="149" t="s">
        <v>3</v>
      </c>
    </row>
    <row r="300" spans="1:62" s="151" customFormat="1" ht="93" customHeight="1">
      <c r="A300" s="139">
        <v>320</v>
      </c>
      <c r="B300" s="140" t="s">
        <v>147</v>
      </c>
      <c r="C300" s="139">
        <v>3</v>
      </c>
      <c r="D300" s="140" t="s">
        <v>211</v>
      </c>
      <c r="E300" s="139">
        <v>40</v>
      </c>
      <c r="F300" s="140" t="s">
        <v>240</v>
      </c>
      <c r="G300" s="139">
        <v>4003</v>
      </c>
      <c r="H300" s="140" t="s">
        <v>249</v>
      </c>
      <c r="I300" s="139">
        <v>4003</v>
      </c>
      <c r="J300" s="140" t="s">
        <v>250</v>
      </c>
      <c r="K300" s="134" t="s">
        <v>251</v>
      </c>
      <c r="L300" s="137">
        <v>4003025</v>
      </c>
      <c r="M300" s="134" t="s">
        <v>262</v>
      </c>
      <c r="N300" s="137">
        <v>4003025</v>
      </c>
      <c r="O300" s="134" t="s">
        <v>262</v>
      </c>
      <c r="P300" s="132">
        <v>400302500</v>
      </c>
      <c r="Q300" s="279" t="s">
        <v>263</v>
      </c>
      <c r="R300" s="132">
        <v>400302500</v>
      </c>
      <c r="S300" s="279" t="s">
        <v>263</v>
      </c>
      <c r="T300" s="143" t="s">
        <v>157</v>
      </c>
      <c r="U300" s="132">
        <v>3</v>
      </c>
      <c r="V300" s="134"/>
      <c r="W300" s="145">
        <f t="shared" ref="W300" si="32">U300+V300</f>
        <v>3</v>
      </c>
      <c r="X300" s="145">
        <v>0</v>
      </c>
      <c r="Y300" s="146">
        <v>2023003630001</v>
      </c>
      <c r="Z300" s="142" t="s">
        <v>1519</v>
      </c>
      <c r="AA300" s="140" t="s">
        <v>258</v>
      </c>
      <c r="AB300" s="130">
        <v>130000000</v>
      </c>
      <c r="AC300" s="130"/>
      <c r="AD300" s="130"/>
      <c r="AE300" s="130"/>
      <c r="AF300" s="130"/>
      <c r="AG300" s="130"/>
      <c r="AH300" s="130"/>
      <c r="AI300" s="130"/>
      <c r="AJ300" s="130"/>
      <c r="AK300" s="130"/>
      <c r="AL300" s="130"/>
      <c r="AM300" s="130"/>
      <c r="AN300" s="130"/>
      <c r="AO300" s="130"/>
      <c r="AP300" s="130"/>
      <c r="AQ300" s="130"/>
      <c r="AR300" s="130"/>
      <c r="AS300" s="130"/>
      <c r="AT300" s="135"/>
      <c r="AU300" s="135"/>
      <c r="AV300" s="135"/>
      <c r="AW300" s="136"/>
      <c r="AX300" s="136"/>
      <c r="AY300" s="136"/>
      <c r="AZ300" s="136"/>
      <c r="BA300" s="136"/>
      <c r="BB300" s="136"/>
      <c r="BC300" s="130"/>
      <c r="BD300" s="130"/>
      <c r="BE300" s="130"/>
      <c r="BF300" s="138">
        <f t="shared" si="27"/>
        <v>130000000</v>
      </c>
      <c r="BG300" s="138">
        <f t="shared" si="28"/>
        <v>0</v>
      </c>
      <c r="BH300" s="138">
        <f t="shared" si="29"/>
        <v>0</v>
      </c>
      <c r="BI300" s="141" t="s">
        <v>10</v>
      </c>
      <c r="BJ300" s="138"/>
    </row>
    <row r="301" spans="1:62" s="151" customFormat="1" ht="63.75">
      <c r="A301" s="139">
        <v>320</v>
      </c>
      <c r="B301" s="140" t="s">
        <v>1223</v>
      </c>
      <c r="C301" s="139">
        <v>4</v>
      </c>
      <c r="D301" s="140" t="s">
        <v>59</v>
      </c>
      <c r="E301" s="139">
        <v>45</v>
      </c>
      <c r="F301" s="261" t="s">
        <v>60</v>
      </c>
      <c r="G301" s="139" t="s">
        <v>61</v>
      </c>
      <c r="H301" s="140" t="s">
        <v>1253</v>
      </c>
      <c r="I301" s="139">
        <v>4599</v>
      </c>
      <c r="J301" s="140" t="s">
        <v>63</v>
      </c>
      <c r="K301" s="140" t="s">
        <v>64</v>
      </c>
      <c r="L301" s="275" t="s">
        <v>61</v>
      </c>
      <c r="M301" s="140" t="s">
        <v>272</v>
      </c>
      <c r="N301" s="137" t="s">
        <v>273</v>
      </c>
      <c r="O301" s="140" t="s">
        <v>167</v>
      </c>
      <c r="P301" s="145" t="s">
        <v>61</v>
      </c>
      <c r="Q301" s="140" t="s">
        <v>1254</v>
      </c>
      <c r="R301" s="137">
        <v>459901600</v>
      </c>
      <c r="S301" s="141" t="s">
        <v>167</v>
      </c>
      <c r="T301" s="143" t="s">
        <v>157</v>
      </c>
      <c r="U301" s="139">
        <v>4</v>
      </c>
      <c r="V301" s="139"/>
      <c r="W301" s="145">
        <f t="shared" si="31"/>
        <v>4</v>
      </c>
      <c r="X301" s="145">
        <v>0</v>
      </c>
      <c r="Y301" s="146">
        <v>2022003630006</v>
      </c>
      <c r="Z301" s="147" t="s">
        <v>1255</v>
      </c>
      <c r="AA301" s="142" t="s">
        <v>276</v>
      </c>
      <c r="AB301" s="138"/>
      <c r="AC301" s="138"/>
      <c r="AD301" s="138"/>
      <c r="AE301" s="138"/>
      <c r="AF301" s="138"/>
      <c r="AG301" s="138"/>
      <c r="AH301" s="138"/>
      <c r="AI301" s="138"/>
      <c r="AJ301" s="138"/>
      <c r="AK301" s="138"/>
      <c r="AL301" s="138"/>
      <c r="AM301" s="138"/>
      <c r="AN301" s="138"/>
      <c r="AO301" s="138"/>
      <c r="AP301" s="138"/>
      <c r="AQ301" s="138"/>
      <c r="AR301" s="138"/>
      <c r="AS301" s="138"/>
      <c r="AT301" s="148"/>
      <c r="AU301" s="148"/>
      <c r="AV301" s="148"/>
      <c r="AW301" s="130">
        <v>386000000</v>
      </c>
      <c r="AX301" s="130">
        <v>63015000</v>
      </c>
      <c r="AY301" s="130">
        <v>18192000</v>
      </c>
      <c r="AZ301" s="130"/>
      <c r="BA301" s="130"/>
      <c r="BB301" s="130"/>
      <c r="BC301" s="138"/>
      <c r="BD301" s="138"/>
      <c r="BE301" s="138"/>
      <c r="BF301" s="138">
        <f t="shared" si="27"/>
        <v>386000000</v>
      </c>
      <c r="BG301" s="138">
        <f t="shared" si="28"/>
        <v>63015000</v>
      </c>
      <c r="BH301" s="138">
        <f t="shared" si="29"/>
        <v>18192000</v>
      </c>
      <c r="BI301" s="149" t="s">
        <v>3</v>
      </c>
    </row>
    <row r="302" spans="1:62" s="151" customFormat="1" ht="78" customHeight="1">
      <c r="A302" s="139">
        <v>321</v>
      </c>
      <c r="B302" s="140" t="s">
        <v>1256</v>
      </c>
      <c r="C302" s="139">
        <v>3</v>
      </c>
      <c r="D302" s="140" t="s">
        <v>211</v>
      </c>
      <c r="E302" s="139">
        <v>24</v>
      </c>
      <c r="F302" s="140" t="s">
        <v>212</v>
      </c>
      <c r="G302" s="139">
        <v>2409</v>
      </c>
      <c r="H302" s="141" t="s">
        <v>1257</v>
      </c>
      <c r="I302" s="139">
        <v>2409</v>
      </c>
      <c r="J302" s="141" t="s">
        <v>1258</v>
      </c>
      <c r="K302" s="142" t="s">
        <v>1259</v>
      </c>
      <c r="L302" s="145" t="s">
        <v>61</v>
      </c>
      <c r="M302" s="140" t="s">
        <v>1260</v>
      </c>
      <c r="N302" s="139">
        <v>2409009</v>
      </c>
      <c r="O302" s="140" t="s">
        <v>1261</v>
      </c>
      <c r="P302" s="145" t="s">
        <v>61</v>
      </c>
      <c r="Q302" s="142" t="s">
        <v>1262</v>
      </c>
      <c r="R302" s="139">
        <v>240900900</v>
      </c>
      <c r="S302" s="142" t="s">
        <v>1263</v>
      </c>
      <c r="T302" s="145" t="s">
        <v>69</v>
      </c>
      <c r="U302" s="145">
        <v>1</v>
      </c>
      <c r="V302" s="145"/>
      <c r="W302" s="145">
        <f>U302+V302</f>
        <v>1</v>
      </c>
      <c r="X302" s="145">
        <v>0.06</v>
      </c>
      <c r="Y302" s="146">
        <v>2020003630149</v>
      </c>
      <c r="Z302" s="147" t="s">
        <v>1264</v>
      </c>
      <c r="AA302" s="140" t="s">
        <v>1265</v>
      </c>
      <c r="AB302" s="130"/>
      <c r="AC302" s="130"/>
      <c r="AD302" s="130"/>
      <c r="AE302" s="130"/>
      <c r="AF302" s="130"/>
      <c r="AG302" s="130"/>
      <c r="AH302" s="130"/>
      <c r="AI302" s="130"/>
      <c r="AJ302" s="130"/>
      <c r="AK302" s="130"/>
      <c r="AL302" s="130"/>
      <c r="AM302" s="130"/>
      <c r="AN302" s="130"/>
      <c r="AO302" s="130"/>
      <c r="AP302" s="130"/>
      <c r="AQ302" s="130"/>
      <c r="AR302" s="130"/>
      <c r="AS302" s="130"/>
      <c r="AT302" s="148"/>
      <c r="AU302" s="148"/>
      <c r="AV302" s="148"/>
      <c r="AW302" s="138">
        <v>26791548</v>
      </c>
      <c r="AX302" s="138">
        <v>7000000</v>
      </c>
      <c r="AY302" s="138">
        <v>1750000</v>
      </c>
      <c r="AZ302" s="138"/>
      <c r="BA302" s="138"/>
      <c r="BB302" s="138"/>
      <c r="BC302" s="130"/>
      <c r="BD302" s="130"/>
      <c r="BE302" s="130"/>
      <c r="BF302" s="138">
        <f t="shared" si="27"/>
        <v>26791548</v>
      </c>
      <c r="BG302" s="138">
        <f t="shared" si="28"/>
        <v>7000000</v>
      </c>
      <c r="BH302" s="138">
        <f t="shared" si="29"/>
        <v>1750000</v>
      </c>
      <c r="BI302" s="149" t="s">
        <v>1</v>
      </c>
      <c r="BJ302" s="150"/>
    </row>
    <row r="303" spans="1:62" s="151" customFormat="1" ht="78" customHeight="1">
      <c r="A303" s="139">
        <v>321</v>
      </c>
      <c r="B303" s="140" t="s">
        <v>1256</v>
      </c>
      <c r="C303" s="139">
        <v>3</v>
      </c>
      <c r="D303" s="140" t="s">
        <v>211</v>
      </c>
      <c r="E303" s="139">
        <v>24</v>
      </c>
      <c r="F303" s="140" t="s">
        <v>212</v>
      </c>
      <c r="G303" s="139">
        <v>2409</v>
      </c>
      <c r="H303" s="141" t="s">
        <v>1257</v>
      </c>
      <c r="I303" s="139">
        <v>2409</v>
      </c>
      <c r="J303" s="141" t="s">
        <v>1258</v>
      </c>
      <c r="K303" s="142" t="s">
        <v>1259</v>
      </c>
      <c r="L303" s="145" t="s">
        <v>61</v>
      </c>
      <c r="M303" s="140" t="s">
        <v>1266</v>
      </c>
      <c r="N303" s="139">
        <v>2409022</v>
      </c>
      <c r="O303" s="140" t="s">
        <v>1267</v>
      </c>
      <c r="P303" s="145" t="s">
        <v>61</v>
      </c>
      <c r="Q303" s="142" t="s">
        <v>1268</v>
      </c>
      <c r="R303" s="139">
        <v>240902202</v>
      </c>
      <c r="S303" s="142" t="s">
        <v>1269</v>
      </c>
      <c r="T303" s="145" t="s">
        <v>69</v>
      </c>
      <c r="U303" s="145">
        <v>1</v>
      </c>
      <c r="V303" s="145"/>
      <c r="W303" s="145">
        <f>U303+V303</f>
        <v>1</v>
      </c>
      <c r="X303" s="145">
        <v>0.5</v>
      </c>
      <c r="Y303" s="146">
        <v>2020003630149</v>
      </c>
      <c r="Z303" s="147" t="s">
        <v>1264</v>
      </c>
      <c r="AA303" s="140" t="s">
        <v>1265</v>
      </c>
      <c r="AB303" s="130"/>
      <c r="AC303" s="130"/>
      <c r="AD303" s="130"/>
      <c r="AE303" s="130"/>
      <c r="AF303" s="130"/>
      <c r="AG303" s="130"/>
      <c r="AH303" s="130"/>
      <c r="AI303" s="130"/>
      <c r="AJ303" s="130"/>
      <c r="AK303" s="130"/>
      <c r="AL303" s="130"/>
      <c r="AM303" s="130"/>
      <c r="AN303" s="130"/>
      <c r="AO303" s="130"/>
      <c r="AP303" s="130"/>
      <c r="AQ303" s="130"/>
      <c r="AR303" s="130"/>
      <c r="AS303" s="130"/>
      <c r="AT303" s="148"/>
      <c r="AU303" s="148"/>
      <c r="AV303" s="148"/>
      <c r="AW303" s="138">
        <f>15750567+10499433</f>
        <v>26250000</v>
      </c>
      <c r="AX303" s="138">
        <v>26250000</v>
      </c>
      <c r="AY303" s="138">
        <v>12250000</v>
      </c>
      <c r="AZ303" s="138"/>
      <c r="BA303" s="138"/>
      <c r="BB303" s="138"/>
      <c r="BC303" s="130"/>
      <c r="BD303" s="130"/>
      <c r="BE303" s="130"/>
      <c r="BF303" s="138">
        <f t="shared" ref="BF303:BF304" si="33">AB303+AE303+AH303+AK303+AN303+AQ303+AT303+AW303+BC303+AZ303</f>
        <v>26250000</v>
      </c>
      <c r="BG303" s="138">
        <f t="shared" ref="BG303:BG304" si="34">AC303+AF303+AI303+AL303+AO303+AR303+AU303+AX303+BD303+BA303</f>
        <v>26250000</v>
      </c>
      <c r="BH303" s="138">
        <f t="shared" ref="BH303:BH304" si="35">AD303+AG303+AJ303+AM303+AP303+AS303+AV303+AY303+BE303+BB303</f>
        <v>12250000</v>
      </c>
      <c r="BI303" s="149" t="s">
        <v>1</v>
      </c>
    </row>
    <row r="304" spans="1:62" s="151" customFormat="1" ht="78" customHeight="1">
      <c r="A304" s="139">
        <v>321</v>
      </c>
      <c r="B304" s="140" t="s">
        <v>1256</v>
      </c>
      <c r="C304" s="139">
        <v>3</v>
      </c>
      <c r="D304" s="140" t="s">
        <v>211</v>
      </c>
      <c r="E304" s="139">
        <v>24</v>
      </c>
      <c r="F304" s="140" t="s">
        <v>212</v>
      </c>
      <c r="G304" s="139">
        <v>2409</v>
      </c>
      <c r="H304" s="141" t="s">
        <v>1257</v>
      </c>
      <c r="I304" s="139">
        <v>2409</v>
      </c>
      <c r="J304" s="141" t="s">
        <v>1258</v>
      </c>
      <c r="K304" s="142" t="s">
        <v>1259</v>
      </c>
      <c r="L304" s="145" t="s">
        <v>61</v>
      </c>
      <c r="M304" s="140" t="s">
        <v>1270</v>
      </c>
      <c r="N304" s="139">
        <v>2409014</v>
      </c>
      <c r="O304" s="140" t="s">
        <v>253</v>
      </c>
      <c r="P304" s="145" t="s">
        <v>61</v>
      </c>
      <c r="Q304" s="142" t="s">
        <v>1271</v>
      </c>
      <c r="R304" s="139">
        <v>240901400</v>
      </c>
      <c r="S304" s="142" t="s">
        <v>1272</v>
      </c>
      <c r="T304" s="145" t="s">
        <v>69</v>
      </c>
      <c r="U304" s="145">
        <v>1</v>
      </c>
      <c r="V304" s="145"/>
      <c r="W304" s="145">
        <f>U304+V304</f>
        <v>1</v>
      </c>
      <c r="X304" s="145">
        <v>0.5</v>
      </c>
      <c r="Y304" s="146">
        <v>2020003630149</v>
      </c>
      <c r="Z304" s="147" t="s">
        <v>1264</v>
      </c>
      <c r="AA304" s="140" t="s">
        <v>1265</v>
      </c>
      <c r="AB304" s="130"/>
      <c r="AC304" s="130"/>
      <c r="AD304" s="130"/>
      <c r="AE304" s="130"/>
      <c r="AF304" s="130"/>
      <c r="AG304" s="130"/>
      <c r="AH304" s="130"/>
      <c r="AI304" s="130"/>
      <c r="AJ304" s="130"/>
      <c r="AK304" s="130"/>
      <c r="AL304" s="130"/>
      <c r="AM304" s="130"/>
      <c r="AN304" s="130"/>
      <c r="AO304" s="130"/>
      <c r="AP304" s="130"/>
      <c r="AQ304" s="130"/>
      <c r="AR304" s="130"/>
      <c r="AS304" s="130"/>
      <c r="AT304" s="148"/>
      <c r="AU304" s="148"/>
      <c r="AV304" s="148"/>
      <c r="AW304" s="138">
        <f>26250000-10499433</f>
        <v>15750567</v>
      </c>
      <c r="AX304" s="138">
        <v>15750000</v>
      </c>
      <c r="AY304" s="138">
        <v>8750000</v>
      </c>
      <c r="AZ304" s="138"/>
      <c r="BA304" s="138"/>
      <c r="BB304" s="138"/>
      <c r="BC304" s="130"/>
      <c r="BD304" s="130"/>
      <c r="BE304" s="130"/>
      <c r="BF304" s="138">
        <f t="shared" si="33"/>
        <v>15750567</v>
      </c>
      <c r="BG304" s="138">
        <f t="shared" si="34"/>
        <v>15750000</v>
      </c>
      <c r="BH304" s="138">
        <f t="shared" si="35"/>
        <v>8750000</v>
      </c>
      <c r="BI304" s="149" t="s">
        <v>1</v>
      </c>
    </row>
    <row r="305" spans="1:61" s="151" customFormat="1" ht="78" customHeight="1">
      <c r="A305" s="152">
        <v>321</v>
      </c>
      <c r="B305" s="153" t="s">
        <v>1256</v>
      </c>
      <c r="C305" s="152">
        <v>3</v>
      </c>
      <c r="D305" s="153" t="s">
        <v>211</v>
      </c>
      <c r="E305" s="152">
        <v>24</v>
      </c>
      <c r="F305" s="153" t="s">
        <v>212</v>
      </c>
      <c r="G305" s="152">
        <v>2409</v>
      </c>
      <c r="H305" s="153" t="s">
        <v>1257</v>
      </c>
      <c r="I305" s="152">
        <v>2409</v>
      </c>
      <c r="J305" s="153" t="s">
        <v>1258</v>
      </c>
      <c r="K305" s="154" t="s">
        <v>1259</v>
      </c>
      <c r="L305" s="155" t="s">
        <v>61</v>
      </c>
      <c r="M305" s="153" t="s">
        <v>1273</v>
      </c>
      <c r="N305" s="152">
        <v>2409039</v>
      </c>
      <c r="O305" s="153" t="s">
        <v>1274</v>
      </c>
      <c r="P305" s="155" t="s">
        <v>61</v>
      </c>
      <c r="Q305" s="154" t="s">
        <v>1275</v>
      </c>
      <c r="R305" s="152">
        <v>240903905</v>
      </c>
      <c r="S305" s="154" t="s">
        <v>1276</v>
      </c>
      <c r="T305" s="155" t="s">
        <v>69</v>
      </c>
      <c r="U305" s="155">
        <v>1</v>
      </c>
      <c r="V305" s="155"/>
      <c r="W305" s="155">
        <f>U305+V305</f>
        <v>1</v>
      </c>
      <c r="X305" s="155">
        <v>0.06</v>
      </c>
      <c r="Y305" s="156">
        <v>2020003630149</v>
      </c>
      <c r="Z305" s="157" t="s">
        <v>1264</v>
      </c>
      <c r="AA305" s="153" t="s">
        <v>1265</v>
      </c>
      <c r="AB305" s="158"/>
      <c r="AC305" s="158"/>
      <c r="AD305" s="158"/>
      <c r="AE305" s="158"/>
      <c r="AF305" s="158"/>
      <c r="AG305" s="158"/>
      <c r="AH305" s="158"/>
      <c r="AI305" s="158"/>
      <c r="AJ305" s="158"/>
      <c r="AK305" s="158"/>
      <c r="AL305" s="158"/>
      <c r="AM305" s="158"/>
      <c r="AN305" s="158"/>
      <c r="AO305" s="158"/>
      <c r="AP305" s="158"/>
      <c r="AQ305" s="158"/>
      <c r="AR305" s="158"/>
      <c r="AS305" s="158"/>
      <c r="AT305" s="159"/>
      <c r="AU305" s="159"/>
      <c r="AV305" s="159"/>
      <c r="AW305" s="160">
        <v>50140535</v>
      </c>
      <c r="AX305" s="160">
        <v>12000000</v>
      </c>
      <c r="AY305" s="160">
        <v>3000000</v>
      </c>
      <c r="AZ305" s="160"/>
      <c r="BA305" s="160"/>
      <c r="BB305" s="160"/>
      <c r="BC305" s="158"/>
      <c r="BD305" s="158"/>
      <c r="BE305" s="158"/>
      <c r="BF305" s="138">
        <f t="shared" si="27"/>
        <v>50140535</v>
      </c>
      <c r="BG305" s="138">
        <f t="shared" si="28"/>
        <v>12000000</v>
      </c>
      <c r="BH305" s="138">
        <f t="shared" si="29"/>
        <v>3000000</v>
      </c>
      <c r="BI305" s="161" t="s">
        <v>1</v>
      </c>
    </row>
    <row r="306" spans="1:61" s="150" customFormat="1" ht="30.75" customHeight="1">
      <c r="A306" s="162" t="s">
        <v>1277</v>
      </c>
      <c r="B306" s="353"/>
      <c r="C306" s="354"/>
      <c r="D306" s="355"/>
      <c r="E306" s="356"/>
      <c r="F306" s="355"/>
      <c r="G306" s="356"/>
      <c r="H306" s="353"/>
      <c r="I306" s="353"/>
      <c r="J306" s="353"/>
      <c r="K306" s="355"/>
      <c r="L306" s="356"/>
      <c r="M306" s="355"/>
      <c r="N306" s="357"/>
      <c r="O306" s="355"/>
      <c r="P306" s="355"/>
      <c r="Q306" s="353"/>
      <c r="R306" s="356"/>
      <c r="S306" s="353"/>
      <c r="T306" s="358"/>
      <c r="U306" s="356"/>
      <c r="V306" s="356"/>
      <c r="W306" s="356"/>
      <c r="X306" s="356"/>
      <c r="Y306" s="359"/>
      <c r="Z306" s="353"/>
      <c r="AA306" s="353"/>
      <c r="AB306" s="163">
        <f t="shared" ref="AB306:BH306" si="36">SUBTOTAL(9,AB6:AB305)</f>
        <v>27006039708.389999</v>
      </c>
      <c r="AC306" s="163">
        <f t="shared" si="36"/>
        <v>4450793439.4300003</v>
      </c>
      <c r="AD306" s="163">
        <f t="shared" si="36"/>
        <v>1505601096.4300001</v>
      </c>
      <c r="AE306" s="163">
        <f t="shared" si="36"/>
        <v>6157720800.3299999</v>
      </c>
      <c r="AF306" s="163">
        <f t="shared" si="36"/>
        <v>3149301051.6500001</v>
      </c>
      <c r="AG306" s="163">
        <f t="shared" si="36"/>
        <v>136297609</v>
      </c>
      <c r="AH306" s="163">
        <f t="shared" si="36"/>
        <v>7896965616.3899994</v>
      </c>
      <c r="AI306" s="163">
        <f t="shared" si="36"/>
        <v>3432728191.0999999</v>
      </c>
      <c r="AJ306" s="163">
        <f t="shared" si="36"/>
        <v>347136000</v>
      </c>
      <c r="AK306" s="163">
        <f t="shared" si="36"/>
        <v>40120770457.75</v>
      </c>
      <c r="AL306" s="163">
        <f t="shared" si="36"/>
        <v>35150576446</v>
      </c>
      <c r="AM306" s="163">
        <f t="shared" si="36"/>
        <v>7918561831.1400003</v>
      </c>
      <c r="AN306" s="163">
        <f t="shared" si="36"/>
        <v>187146608586.22998</v>
      </c>
      <c r="AO306" s="163">
        <f t="shared" si="36"/>
        <v>41201225150.620003</v>
      </c>
      <c r="AP306" s="163">
        <f t="shared" si="36"/>
        <v>39850816546</v>
      </c>
      <c r="AQ306" s="163">
        <f t="shared" si="36"/>
        <v>3720411051.8400002</v>
      </c>
      <c r="AR306" s="163">
        <f t="shared" si="36"/>
        <v>3701358406</v>
      </c>
      <c r="AS306" s="163">
        <f t="shared" si="36"/>
        <v>0</v>
      </c>
      <c r="AT306" s="163">
        <f t="shared" si="36"/>
        <v>38144099622</v>
      </c>
      <c r="AU306" s="163">
        <f t="shared" si="36"/>
        <v>15201036269.970001</v>
      </c>
      <c r="AV306" s="163">
        <f t="shared" si="36"/>
        <v>3511582120.9700003</v>
      </c>
      <c r="AW306" s="163">
        <f t="shared" si="36"/>
        <v>15090033114.699999</v>
      </c>
      <c r="AX306" s="163">
        <f t="shared" si="36"/>
        <v>2400672398.6999998</v>
      </c>
      <c r="AY306" s="163">
        <f t="shared" si="36"/>
        <v>543067462.86000001</v>
      </c>
      <c r="AZ306" s="163">
        <f t="shared" si="36"/>
        <v>34750000000</v>
      </c>
      <c r="BA306" s="163">
        <f t="shared" si="36"/>
        <v>4077257730</v>
      </c>
      <c r="BB306" s="163">
        <f t="shared" si="36"/>
        <v>0</v>
      </c>
      <c r="BC306" s="163">
        <f t="shared" si="36"/>
        <v>59894502356.460007</v>
      </c>
      <c r="BD306" s="163">
        <f t="shared" si="36"/>
        <v>7418489698.4399996</v>
      </c>
      <c r="BE306" s="163">
        <f t="shared" si="36"/>
        <v>229368296</v>
      </c>
      <c r="BF306" s="163">
        <f>SUBTOTAL(9,BF5:BF305)</f>
        <v>419927151314.0899</v>
      </c>
      <c r="BG306" s="163">
        <f t="shared" si="36"/>
        <v>120183438781.91</v>
      </c>
      <c r="BH306" s="163">
        <f t="shared" si="36"/>
        <v>54042430962.400002</v>
      </c>
      <c r="BI306" s="360"/>
    </row>
  </sheetData>
  <sortState ref="A7:XET295">
    <sortCondition ref="A7:A295"/>
  </sortState>
  <mergeCells count="52">
    <mergeCell ref="P6:P7"/>
    <mergeCell ref="S6:S7"/>
    <mergeCell ref="BI5:BI7"/>
    <mergeCell ref="T6:T7"/>
    <mergeCell ref="U6:U7"/>
    <mergeCell ref="V6:V7"/>
    <mergeCell ref="AA6:AA7"/>
    <mergeCell ref="BF5:BH6"/>
    <mergeCell ref="Y6:Y7"/>
    <mergeCell ref="Z6:Z7"/>
    <mergeCell ref="AN6:AP6"/>
    <mergeCell ref="BC6:BE6"/>
    <mergeCell ref="AZ6:BB6"/>
    <mergeCell ref="AW6:AY6"/>
    <mergeCell ref="AT6:AV6"/>
    <mergeCell ref="AB6:AD6"/>
    <mergeCell ref="C1:BE1"/>
    <mergeCell ref="A5:B5"/>
    <mergeCell ref="C5:D5"/>
    <mergeCell ref="E5:F5"/>
    <mergeCell ref="Y5:AA5"/>
    <mergeCell ref="P5:S5"/>
    <mergeCell ref="G5:K5"/>
    <mergeCell ref="L5:O5"/>
    <mergeCell ref="T5:W5"/>
    <mergeCell ref="AB5:BE5"/>
    <mergeCell ref="C4:BE4"/>
    <mergeCell ref="C2:BE2"/>
    <mergeCell ref="C3:BE3"/>
    <mergeCell ref="AK6:AM6"/>
    <mergeCell ref="AQ6:AS6"/>
    <mergeCell ref="W6:W7"/>
    <mergeCell ref="X6:X7"/>
    <mergeCell ref="Q6:Q7"/>
    <mergeCell ref="AE6:AG6"/>
    <mergeCell ref="AH6:AJ6"/>
    <mergeCell ref="A6:A7"/>
    <mergeCell ref="R6:R7"/>
    <mergeCell ref="M6:M7"/>
    <mergeCell ref="B6:B7"/>
    <mergeCell ref="D6:D7"/>
    <mergeCell ref="E6:E7"/>
    <mergeCell ref="F6:F7"/>
    <mergeCell ref="G6:G7"/>
    <mergeCell ref="H6:H7"/>
    <mergeCell ref="I6:I7"/>
    <mergeCell ref="J6:J7"/>
    <mergeCell ref="C6:C7"/>
    <mergeCell ref="K6:K7"/>
    <mergeCell ref="L6:L7"/>
    <mergeCell ref="N6:N7"/>
    <mergeCell ref="O6:O7"/>
  </mergeCells>
  <conditionalFormatting sqref="P128">
    <cfRule type="duplicateValues" dxfId="547" priority="365"/>
  </conditionalFormatting>
  <conditionalFormatting sqref="P128">
    <cfRule type="duplicateValues" dxfId="546" priority="366"/>
  </conditionalFormatting>
  <conditionalFormatting sqref="P129">
    <cfRule type="duplicateValues" dxfId="545" priority="363"/>
  </conditionalFormatting>
  <conditionalFormatting sqref="P129">
    <cfRule type="duplicateValues" dxfId="544" priority="364"/>
  </conditionalFormatting>
  <conditionalFormatting sqref="R128">
    <cfRule type="duplicateValues" dxfId="543" priority="361"/>
  </conditionalFormatting>
  <conditionalFormatting sqref="R128">
    <cfRule type="duplicateValues" dxfId="542" priority="362"/>
  </conditionalFormatting>
  <conditionalFormatting sqref="R129">
    <cfRule type="duplicateValues" dxfId="541" priority="359"/>
  </conditionalFormatting>
  <conditionalFormatting sqref="R129">
    <cfRule type="duplicateValues" dxfId="540" priority="360"/>
  </conditionalFormatting>
  <conditionalFormatting sqref="R176">
    <cfRule type="duplicateValues" dxfId="539" priority="353"/>
  </conditionalFormatting>
  <conditionalFormatting sqref="R176">
    <cfRule type="duplicateValues" dxfId="538" priority="354"/>
  </conditionalFormatting>
  <conditionalFormatting sqref="P176">
    <cfRule type="duplicateValues" dxfId="537" priority="351"/>
  </conditionalFormatting>
  <conditionalFormatting sqref="P176">
    <cfRule type="duplicateValues" dxfId="536" priority="352"/>
  </conditionalFormatting>
  <conditionalFormatting sqref="R194">
    <cfRule type="duplicateValues" dxfId="535" priority="349"/>
  </conditionalFormatting>
  <conditionalFormatting sqref="R195">
    <cfRule type="duplicateValues" dxfId="534" priority="348"/>
  </conditionalFormatting>
  <conditionalFormatting sqref="R197">
    <cfRule type="duplicateValues" dxfId="533" priority="347"/>
  </conditionalFormatting>
  <conditionalFormatting sqref="R198">
    <cfRule type="duplicateValues" dxfId="532" priority="344"/>
  </conditionalFormatting>
  <conditionalFormatting sqref="R198">
    <cfRule type="duplicateValues" dxfId="531" priority="345"/>
  </conditionalFormatting>
  <conditionalFormatting sqref="R198">
    <cfRule type="duplicateValues" dxfId="530" priority="346"/>
  </conditionalFormatting>
  <conditionalFormatting sqref="R196">
    <cfRule type="duplicateValues" dxfId="529" priority="350"/>
  </conditionalFormatting>
  <conditionalFormatting sqref="P194">
    <cfRule type="duplicateValues" dxfId="528" priority="329"/>
  </conditionalFormatting>
  <conditionalFormatting sqref="P195">
    <cfRule type="duplicateValues" dxfId="527" priority="328"/>
  </conditionalFormatting>
  <conditionalFormatting sqref="P196">
    <cfRule type="duplicateValues" dxfId="526" priority="327"/>
  </conditionalFormatting>
  <conditionalFormatting sqref="P197">
    <cfRule type="duplicateValues" dxfId="525" priority="326"/>
  </conditionalFormatting>
  <conditionalFormatting sqref="P198">
    <cfRule type="duplicateValues" dxfId="524" priority="323"/>
  </conditionalFormatting>
  <conditionalFormatting sqref="P198">
    <cfRule type="duplicateValues" dxfId="523" priority="324"/>
  </conditionalFormatting>
  <conditionalFormatting sqref="P198">
    <cfRule type="duplicateValues" dxfId="522" priority="325"/>
  </conditionalFormatting>
  <conditionalFormatting sqref="R202">
    <cfRule type="duplicateValues" dxfId="521" priority="41"/>
  </conditionalFormatting>
  <conditionalFormatting sqref="R202">
    <cfRule type="duplicateValues" dxfId="520" priority="42"/>
  </conditionalFormatting>
  <conditionalFormatting sqref="R203">
    <cfRule type="duplicateValues" dxfId="519" priority="39"/>
  </conditionalFormatting>
  <conditionalFormatting sqref="R203">
    <cfRule type="duplicateValues" dxfId="518" priority="40"/>
  </conditionalFormatting>
  <conditionalFormatting sqref="R204">
    <cfRule type="duplicateValues" dxfId="517" priority="37"/>
  </conditionalFormatting>
  <conditionalFormatting sqref="R204">
    <cfRule type="duplicateValues" dxfId="516" priority="38"/>
  </conditionalFormatting>
  <conditionalFormatting sqref="R209">
    <cfRule type="duplicateValues" dxfId="515" priority="35"/>
  </conditionalFormatting>
  <conditionalFormatting sqref="R209">
    <cfRule type="duplicateValues" dxfId="514" priority="36"/>
  </conditionalFormatting>
  <conditionalFormatting sqref="R210">
    <cfRule type="duplicateValues" dxfId="513" priority="33"/>
  </conditionalFormatting>
  <conditionalFormatting sqref="R210">
    <cfRule type="duplicateValues" dxfId="512" priority="34"/>
  </conditionalFormatting>
  <conditionalFormatting sqref="R211">
    <cfRule type="duplicateValues" dxfId="511" priority="31"/>
  </conditionalFormatting>
  <conditionalFormatting sqref="R211">
    <cfRule type="duplicateValues" dxfId="510" priority="32"/>
  </conditionalFormatting>
  <conditionalFormatting sqref="R212">
    <cfRule type="duplicateValues" dxfId="509" priority="29"/>
  </conditionalFormatting>
  <conditionalFormatting sqref="R212">
    <cfRule type="duplicateValues" dxfId="508" priority="30"/>
  </conditionalFormatting>
  <conditionalFormatting sqref="P202">
    <cfRule type="duplicateValues" dxfId="507" priority="27"/>
  </conditionalFormatting>
  <conditionalFormatting sqref="P202">
    <cfRule type="duplicateValues" dxfId="506" priority="28"/>
  </conditionalFormatting>
  <conditionalFormatting sqref="P203">
    <cfRule type="duplicateValues" dxfId="505" priority="25"/>
  </conditionalFormatting>
  <conditionalFormatting sqref="P203">
    <cfRule type="duplicateValues" dxfId="504" priority="26"/>
  </conditionalFormatting>
  <conditionalFormatting sqref="P204">
    <cfRule type="duplicateValues" dxfId="503" priority="23"/>
  </conditionalFormatting>
  <conditionalFormatting sqref="P204">
    <cfRule type="duplicateValues" dxfId="502" priority="24"/>
  </conditionalFormatting>
  <conditionalFormatting sqref="P209">
    <cfRule type="duplicateValues" dxfId="501" priority="21"/>
  </conditionalFormatting>
  <conditionalFormatting sqref="P209">
    <cfRule type="duplicateValues" dxfId="500" priority="22"/>
  </conditionalFormatting>
  <conditionalFormatting sqref="P210">
    <cfRule type="duplicateValues" dxfId="499" priority="19"/>
  </conditionalFormatting>
  <conditionalFormatting sqref="P210">
    <cfRule type="duplicateValues" dxfId="498" priority="20"/>
  </conditionalFormatting>
  <conditionalFormatting sqref="P211">
    <cfRule type="duplicateValues" dxfId="497" priority="17"/>
  </conditionalFormatting>
  <conditionalFormatting sqref="P211">
    <cfRule type="duplicateValues" dxfId="496" priority="18"/>
  </conditionalFormatting>
  <conditionalFormatting sqref="P212">
    <cfRule type="duplicateValues" dxfId="495" priority="15"/>
  </conditionalFormatting>
  <conditionalFormatting sqref="P212">
    <cfRule type="duplicateValues" dxfId="494" priority="16"/>
  </conditionalFormatting>
  <conditionalFormatting sqref="R236">
    <cfRule type="duplicateValues" dxfId="493" priority="14"/>
  </conditionalFormatting>
  <conditionalFormatting sqref="R244">
    <cfRule type="duplicateValues" dxfId="492" priority="12"/>
  </conditionalFormatting>
  <conditionalFormatting sqref="R244">
    <cfRule type="duplicateValues" dxfId="491" priority="13"/>
  </conditionalFormatting>
  <conditionalFormatting sqref="R251">
    <cfRule type="duplicateValues" dxfId="490" priority="10"/>
  </conditionalFormatting>
  <conditionalFormatting sqref="R251">
    <cfRule type="duplicateValues" dxfId="489" priority="11"/>
  </conditionalFormatting>
  <conditionalFormatting sqref="R252">
    <cfRule type="duplicateValues" dxfId="488" priority="8"/>
  </conditionalFormatting>
  <conditionalFormatting sqref="R252">
    <cfRule type="duplicateValues" dxfId="487" priority="9"/>
  </conditionalFormatting>
  <conditionalFormatting sqref="P236">
    <cfRule type="duplicateValues" dxfId="486" priority="7"/>
  </conditionalFormatting>
  <conditionalFormatting sqref="P244">
    <cfRule type="duplicateValues" dxfId="485" priority="5"/>
  </conditionalFormatting>
  <conditionalFormatting sqref="P244">
    <cfRule type="duplicateValues" dxfId="484" priority="6"/>
  </conditionalFormatting>
  <conditionalFormatting sqref="P251">
    <cfRule type="duplicateValues" dxfId="483" priority="3"/>
  </conditionalFormatting>
  <conditionalFormatting sqref="P251">
    <cfRule type="duplicateValues" dxfId="482" priority="4"/>
  </conditionalFormatting>
  <conditionalFormatting sqref="P252">
    <cfRule type="duplicateValues" dxfId="481" priority="1"/>
  </conditionalFormatting>
  <conditionalFormatting sqref="P252">
    <cfRule type="duplicateValues" dxfId="480" priority="2"/>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03"/>
  <sheetViews>
    <sheetView showGridLines="0" zoomScale="70" zoomScaleNormal="70" workbookViewId="0">
      <selection sqref="A1:I3"/>
    </sheetView>
  </sheetViews>
  <sheetFormatPr baseColWidth="10" defaultColWidth="11.42578125" defaultRowHeight="15"/>
  <cols>
    <col min="1" max="1" width="17.5703125" style="5" customWidth="1"/>
    <col min="2" max="2" width="11" style="5" customWidth="1"/>
    <col min="3" max="3" width="13.140625" style="5" customWidth="1"/>
    <col min="4" max="4" width="49" style="6" customWidth="1"/>
    <col min="5" max="5" width="34.42578125" style="6" customWidth="1"/>
    <col min="6" max="6" width="23" style="2" customWidth="1"/>
    <col min="7" max="7" width="20.5703125" style="2" customWidth="1"/>
    <col min="8" max="8" width="22.28515625" style="2" customWidth="1"/>
    <col min="9" max="9" width="18.42578125" style="1" customWidth="1"/>
    <col min="10" max="16384" width="11.42578125" style="1"/>
  </cols>
  <sheetData>
    <row r="1" spans="1:9" ht="30.75" customHeight="1">
      <c r="A1" s="511" t="s">
        <v>1465</v>
      </c>
      <c r="B1" s="512"/>
      <c r="C1" s="512"/>
      <c r="D1" s="512"/>
      <c r="E1" s="512"/>
      <c r="F1" s="512"/>
      <c r="G1" s="512"/>
      <c r="H1" s="512"/>
      <c r="I1" s="513"/>
    </row>
    <row r="2" spans="1:9" ht="30.75" customHeight="1">
      <c r="A2" s="514"/>
      <c r="B2" s="515"/>
      <c r="C2" s="515"/>
      <c r="D2" s="515"/>
      <c r="E2" s="515"/>
      <c r="F2" s="515"/>
      <c r="G2" s="515"/>
      <c r="H2" s="515"/>
      <c r="I2" s="516"/>
    </row>
    <row r="3" spans="1:9" ht="30.75" customHeight="1">
      <c r="A3" s="488"/>
      <c r="B3" s="489"/>
      <c r="C3" s="489"/>
      <c r="D3" s="489"/>
      <c r="E3" s="489"/>
      <c r="F3" s="489"/>
      <c r="G3" s="489"/>
      <c r="H3" s="489"/>
      <c r="I3" s="517"/>
    </row>
    <row r="4" spans="1:9" ht="9.75" customHeight="1">
      <c r="A4" s="255"/>
      <c r="B4" s="256"/>
      <c r="C4" s="256"/>
      <c r="D4" s="256"/>
      <c r="E4" s="256"/>
    </row>
    <row r="5" spans="1:9" s="128" customFormat="1" ht="56.25" customHeight="1">
      <c r="A5" s="378" t="s">
        <v>23</v>
      </c>
      <c r="B5" s="379" t="s">
        <v>24</v>
      </c>
      <c r="C5" s="509" t="s">
        <v>25</v>
      </c>
      <c r="D5" s="510"/>
      <c r="E5" s="380" t="s">
        <v>1278</v>
      </c>
      <c r="F5" s="380" t="s">
        <v>1466</v>
      </c>
      <c r="G5" s="380" t="s">
        <v>1475</v>
      </c>
      <c r="H5" s="380" t="s">
        <v>1467</v>
      </c>
      <c r="I5" s="380" t="s">
        <v>1476</v>
      </c>
    </row>
    <row r="6" spans="1:9" s="4" customFormat="1" ht="24" customHeight="1">
      <c r="A6" s="56" t="s">
        <v>1279</v>
      </c>
      <c r="B6" s="62"/>
      <c r="C6" s="62"/>
      <c r="D6" s="63"/>
      <c r="E6" s="64">
        <f>E7</f>
        <v>10549509202</v>
      </c>
      <c r="F6" s="64">
        <f t="shared" ref="F6:H7" si="0">F7</f>
        <v>4687830730</v>
      </c>
      <c r="G6" s="381">
        <f>F6/E6</f>
        <v>0.44436481738043987</v>
      </c>
      <c r="H6" s="64">
        <f t="shared" si="0"/>
        <v>209642000</v>
      </c>
      <c r="I6" s="381">
        <f>H6/E6</f>
        <v>1.9872204098391192E-2</v>
      </c>
    </row>
    <row r="7" spans="1:9" s="4" customFormat="1" ht="24" customHeight="1">
      <c r="A7" s="98">
        <v>4</v>
      </c>
      <c r="B7" s="99" t="s">
        <v>1280</v>
      </c>
      <c r="C7" s="99"/>
      <c r="D7" s="99"/>
      <c r="E7" s="100">
        <f>E8</f>
        <v>10549509202</v>
      </c>
      <c r="F7" s="100">
        <f t="shared" si="0"/>
        <v>4687830730</v>
      </c>
      <c r="G7" s="381">
        <f t="shared" ref="G7:G10" si="1">F7/E7</f>
        <v>0.44436481738043987</v>
      </c>
      <c r="H7" s="100">
        <f t="shared" si="0"/>
        <v>209642000</v>
      </c>
      <c r="I7" s="381">
        <f t="shared" ref="I7:I10" si="2">H7/E7</f>
        <v>1.9872204098391192E-2</v>
      </c>
    </row>
    <row r="8" spans="1:9" ht="24" customHeight="1">
      <c r="A8" s="25"/>
      <c r="B8" s="113">
        <v>45</v>
      </c>
      <c r="C8" s="105" t="s">
        <v>60</v>
      </c>
      <c r="D8" s="111"/>
      <c r="E8" s="107">
        <f>SUM(E9:E10)</f>
        <v>10549509202</v>
      </c>
      <c r="F8" s="107">
        <f t="shared" ref="F8:H8" si="3">SUM(F9:F10)</f>
        <v>4687830730</v>
      </c>
      <c r="G8" s="381">
        <f t="shared" si="1"/>
        <v>0.44436481738043987</v>
      </c>
      <c r="H8" s="107">
        <f t="shared" si="3"/>
        <v>209642000</v>
      </c>
      <c r="I8" s="381">
        <f t="shared" si="2"/>
        <v>1.9872204098391192E-2</v>
      </c>
    </row>
    <row r="9" spans="1:9" ht="70.5" customHeight="1">
      <c r="A9" s="26"/>
      <c r="B9" s="27"/>
      <c r="C9" s="28">
        <v>4502</v>
      </c>
      <c r="D9" s="23" t="s">
        <v>1281</v>
      </c>
      <c r="E9" s="29">
        <f>'SGTO POAI 2023 MARZO'!BF10</f>
        <v>83448000</v>
      </c>
      <c r="F9" s="29">
        <f>'SGTO POAI 2023 MARZO'!BG10</f>
        <v>46524000</v>
      </c>
      <c r="G9" s="381">
        <f t="shared" si="1"/>
        <v>0.55752085130859941</v>
      </c>
      <c r="H9" s="29">
        <f>'SGTO POAI 2023 MARZO'!BH10</f>
        <v>25916000</v>
      </c>
      <c r="I9" s="381">
        <f t="shared" si="2"/>
        <v>0.31056466302367941</v>
      </c>
    </row>
    <row r="10" spans="1:9" ht="53.25" customHeight="1">
      <c r="A10" s="30"/>
      <c r="B10" s="31"/>
      <c r="C10" s="32">
        <v>4599</v>
      </c>
      <c r="D10" s="33" t="s">
        <v>1282</v>
      </c>
      <c r="E10" s="34">
        <f>'SGTO POAI 2023 MARZO'!BF8+'SGTO POAI 2023 MARZO'!BF9+'SGTO POAI 2023 MARZO'!BF11</f>
        <v>10466061202</v>
      </c>
      <c r="F10" s="34">
        <f>'SGTO POAI 2023 MARZO'!BG8+'SGTO POAI 2023 MARZO'!BG9+'SGTO POAI 2023 MARZO'!BG11</f>
        <v>4641306730</v>
      </c>
      <c r="G10" s="381">
        <f t="shared" si="1"/>
        <v>0.44346260168181273</v>
      </c>
      <c r="H10" s="34">
        <f>'SGTO POAI 2023 MARZO'!BH8+'SGTO POAI 2023 MARZO'!BH9+'SGTO POAI 2023 MARZO'!BH11</f>
        <v>183726000</v>
      </c>
      <c r="I10" s="381">
        <f t="shared" si="2"/>
        <v>1.7554454961995741E-2</v>
      </c>
    </row>
    <row r="11" spans="1:9" ht="15.75">
      <c r="A11" s="19"/>
      <c r="B11" s="19"/>
      <c r="C11" s="19"/>
      <c r="D11" s="8"/>
      <c r="E11" s="8"/>
      <c r="F11" s="8"/>
      <c r="G11" s="8"/>
      <c r="H11" s="8"/>
    </row>
    <row r="12" spans="1:9" s="4" customFormat="1" ht="24" customHeight="1">
      <c r="A12" s="70" t="s">
        <v>1283</v>
      </c>
      <c r="B12" s="71"/>
      <c r="C12" s="71"/>
      <c r="D12" s="72"/>
      <c r="E12" s="73">
        <f>E13</f>
        <v>1182099650</v>
      </c>
      <c r="F12" s="73">
        <f t="shared" ref="F12:H13" si="4">F13</f>
        <v>350060001</v>
      </c>
      <c r="G12" s="381">
        <f t="shared" ref="G12:G16" si="5">F12/E12</f>
        <v>0.29613408734195973</v>
      </c>
      <c r="H12" s="73">
        <f t="shared" si="4"/>
        <v>153550000</v>
      </c>
      <c r="I12" s="381">
        <f t="shared" ref="I12:I16" si="6">H12/E12</f>
        <v>0.12989598634937419</v>
      </c>
    </row>
    <row r="13" spans="1:9" ht="24" customHeight="1">
      <c r="A13" s="101">
        <v>4</v>
      </c>
      <c r="B13" s="102" t="s">
        <v>1280</v>
      </c>
      <c r="C13" s="102"/>
      <c r="D13" s="102"/>
      <c r="E13" s="103">
        <f>E14</f>
        <v>1182099650</v>
      </c>
      <c r="F13" s="103">
        <f t="shared" si="4"/>
        <v>350060001</v>
      </c>
      <c r="G13" s="381">
        <f t="shared" si="5"/>
        <v>0.29613408734195973</v>
      </c>
      <c r="H13" s="103">
        <f t="shared" si="4"/>
        <v>153550000</v>
      </c>
      <c r="I13" s="381">
        <f t="shared" si="6"/>
        <v>0.12989598634937419</v>
      </c>
    </row>
    <row r="14" spans="1:9" ht="24" customHeight="1">
      <c r="A14" s="25"/>
      <c r="B14" s="113">
        <v>45</v>
      </c>
      <c r="C14" s="105" t="s">
        <v>60</v>
      </c>
      <c r="D14" s="111"/>
      <c r="E14" s="107">
        <f>SUM(E15:E16)</f>
        <v>1182099650</v>
      </c>
      <c r="F14" s="107">
        <f t="shared" ref="F14:H14" si="7">SUM(F15:F16)</f>
        <v>350060001</v>
      </c>
      <c r="G14" s="381">
        <f t="shared" si="5"/>
        <v>0.29613408734195973</v>
      </c>
      <c r="H14" s="107">
        <f t="shared" si="7"/>
        <v>153550000</v>
      </c>
      <c r="I14" s="381">
        <f t="shared" si="6"/>
        <v>0.12989598634937419</v>
      </c>
    </row>
    <row r="15" spans="1:9" ht="56.25" customHeight="1">
      <c r="A15" s="35"/>
      <c r="B15" s="36"/>
      <c r="C15" s="28">
        <v>4502</v>
      </c>
      <c r="D15" s="23" t="s">
        <v>1281</v>
      </c>
      <c r="E15" s="29">
        <f>'SGTO POAI 2023 MARZO'!BF12+'SGTO POAI 2023 MARZO'!BF13</f>
        <v>195000000</v>
      </c>
      <c r="F15" s="29">
        <f>'SGTO POAI 2023 MARZO'!BG12+'SGTO POAI 2023 MARZO'!BG13</f>
        <v>9600000</v>
      </c>
      <c r="G15" s="381">
        <f t="shared" si="5"/>
        <v>4.9230769230769231E-2</v>
      </c>
      <c r="H15" s="29">
        <f>'SGTO POAI 2023 MARZO'!BH12+'SGTO POAI 2023 MARZO'!BH13</f>
        <v>6400000</v>
      </c>
      <c r="I15" s="381">
        <f t="shared" si="6"/>
        <v>3.282051282051282E-2</v>
      </c>
    </row>
    <row r="16" spans="1:9" ht="56.25" customHeight="1">
      <c r="A16" s="31"/>
      <c r="B16" s="37"/>
      <c r="C16" s="28">
        <v>4599</v>
      </c>
      <c r="D16" s="23" t="s">
        <v>1282</v>
      </c>
      <c r="E16" s="29">
        <f>'SGTO POAI 2023 MARZO'!BF14+'SGTO POAI 2023 MARZO'!BF15+'SGTO POAI 2023 MARZO'!BF16+'SGTO POAI 2023 MARZO'!BF17+'SGTO POAI 2023 MARZO'!BF18+'SGTO POAI 2023 MARZO'!BF19+'SGTO POAI 2023 MARZO'!BF20+'SGTO POAI 2023 MARZO'!BF21+'SGTO POAI 2023 MARZO'!BF22+'SGTO POAI 2023 MARZO'!BF23</f>
        <v>987099650</v>
      </c>
      <c r="F16" s="29">
        <f>'SGTO POAI 2023 MARZO'!BG14+'SGTO POAI 2023 MARZO'!BG15+'SGTO POAI 2023 MARZO'!BG16+'SGTO POAI 2023 MARZO'!BG17+'SGTO POAI 2023 MARZO'!BG18+'SGTO POAI 2023 MARZO'!BG19+'SGTO POAI 2023 MARZO'!BG20+'SGTO POAI 2023 MARZO'!BG21+'SGTO POAI 2023 MARZO'!BG22+'SGTO POAI 2023 MARZO'!BG23</f>
        <v>340460001</v>
      </c>
      <c r="G16" s="381">
        <f t="shared" si="5"/>
        <v>0.34490945367066028</v>
      </c>
      <c r="H16" s="29">
        <f>'SGTO POAI 2023 MARZO'!BH14+'SGTO POAI 2023 MARZO'!BH15+'SGTO POAI 2023 MARZO'!BH16+'SGTO POAI 2023 MARZO'!BH17+'SGTO POAI 2023 MARZO'!BH18+'SGTO POAI 2023 MARZO'!BH19+'SGTO POAI 2023 MARZO'!BH20+'SGTO POAI 2023 MARZO'!BH21+'SGTO POAI 2023 MARZO'!BH22+'SGTO POAI 2023 MARZO'!BH23</f>
        <v>147150000</v>
      </c>
      <c r="I16" s="381">
        <f t="shared" si="6"/>
        <v>0.1490730951024043</v>
      </c>
    </row>
    <row r="17" spans="1:9" ht="18" customHeight="1">
      <c r="F17" s="6"/>
      <c r="G17" s="6"/>
      <c r="H17" s="6"/>
    </row>
    <row r="18" spans="1:9" ht="24" customHeight="1">
      <c r="A18" s="70" t="s">
        <v>1284</v>
      </c>
      <c r="B18" s="71"/>
      <c r="C18" s="71"/>
      <c r="D18" s="72"/>
      <c r="E18" s="73">
        <f>E19</f>
        <v>3041154599.1599998</v>
      </c>
      <c r="F18" s="73">
        <f t="shared" ref="F18:H20" si="8">F19</f>
        <v>1634890667</v>
      </c>
      <c r="G18" s="381">
        <f t="shared" ref="G18:G21" si="9">F18/E18</f>
        <v>0.53758880507146023</v>
      </c>
      <c r="H18" s="73">
        <f t="shared" si="8"/>
        <v>446404000</v>
      </c>
      <c r="I18" s="381">
        <f>H18/E18</f>
        <v>0.14678767074955731</v>
      </c>
    </row>
    <row r="19" spans="1:9" ht="24" customHeight="1">
      <c r="A19" s="101">
        <v>4</v>
      </c>
      <c r="B19" s="102" t="s">
        <v>1280</v>
      </c>
      <c r="C19" s="102"/>
      <c r="D19" s="102"/>
      <c r="E19" s="103">
        <f>E20</f>
        <v>3041154599.1599998</v>
      </c>
      <c r="F19" s="103">
        <f t="shared" si="8"/>
        <v>1634890667</v>
      </c>
      <c r="G19" s="381">
        <f t="shared" si="9"/>
        <v>0.53758880507146023</v>
      </c>
      <c r="H19" s="103">
        <f t="shared" si="8"/>
        <v>446404000</v>
      </c>
      <c r="I19" s="381">
        <f t="shared" ref="I19:I21" si="10">H19/E19</f>
        <v>0.14678767074955731</v>
      </c>
    </row>
    <row r="20" spans="1:9" ht="24" customHeight="1">
      <c r="A20" s="25"/>
      <c r="B20" s="113">
        <v>45</v>
      </c>
      <c r="C20" s="105" t="s">
        <v>60</v>
      </c>
      <c r="D20" s="111"/>
      <c r="E20" s="107">
        <f>E21</f>
        <v>3041154599.1599998</v>
      </c>
      <c r="F20" s="107">
        <f t="shared" si="8"/>
        <v>1634890667</v>
      </c>
      <c r="G20" s="381">
        <f t="shared" si="9"/>
        <v>0.53758880507146023</v>
      </c>
      <c r="H20" s="107">
        <f t="shared" si="8"/>
        <v>446404000</v>
      </c>
      <c r="I20" s="381">
        <f t="shared" si="10"/>
        <v>0.14678767074955731</v>
      </c>
    </row>
    <row r="21" spans="1:9" ht="70.5" customHeight="1">
      <c r="A21" s="31"/>
      <c r="B21" s="22"/>
      <c r="C21" s="14">
        <v>4599</v>
      </c>
      <c r="D21" s="23" t="s">
        <v>1282</v>
      </c>
      <c r="E21" s="29">
        <f>'SGTO POAI 2023 MARZO'!BF24+'SGTO POAI 2023 MARZO'!BF25</f>
        <v>3041154599.1599998</v>
      </c>
      <c r="F21" s="29">
        <f>'SGTO POAI 2023 MARZO'!BG24+'SGTO POAI 2023 MARZO'!BG25</f>
        <v>1634890667</v>
      </c>
      <c r="G21" s="381">
        <f t="shared" si="9"/>
        <v>0.53758880507146023</v>
      </c>
      <c r="H21" s="29">
        <f>'SGTO POAI 2023 MARZO'!BH24+'SGTO POAI 2023 MARZO'!BH25</f>
        <v>446404000</v>
      </c>
      <c r="I21" s="381">
        <f t="shared" si="10"/>
        <v>0.14678767074955731</v>
      </c>
    </row>
    <row r="22" spans="1:9" s="39" customFormat="1">
      <c r="A22" s="5"/>
      <c r="B22" s="5"/>
      <c r="C22" s="5"/>
      <c r="D22" s="6"/>
      <c r="E22" s="38"/>
      <c r="F22" s="38"/>
      <c r="G22" s="38"/>
      <c r="H22" s="38"/>
    </row>
    <row r="23" spans="1:9" ht="24" customHeight="1">
      <c r="A23" s="56" t="s">
        <v>1285</v>
      </c>
      <c r="B23" s="62"/>
      <c r="C23" s="62"/>
      <c r="D23" s="63"/>
      <c r="E23" s="64">
        <f>E24+E40+E48+E37</f>
        <v>91905449878.459991</v>
      </c>
      <c r="F23" s="64">
        <f t="shared" ref="F23:H23" si="11">F24+F40+F48+F37</f>
        <v>5560583941</v>
      </c>
      <c r="G23" s="381">
        <f t="shared" ref="G23:G51" si="12">F23/E23</f>
        <v>6.050331017750931E-2</v>
      </c>
      <c r="H23" s="64">
        <f t="shared" si="11"/>
        <v>258300000</v>
      </c>
      <c r="I23" s="381">
        <f t="shared" ref="I23:I51" si="13">H23/E23</f>
        <v>2.8104970961089666E-3</v>
      </c>
    </row>
    <row r="24" spans="1:9" ht="24" customHeight="1">
      <c r="A24" s="98">
        <v>1</v>
      </c>
      <c r="B24" s="99" t="s">
        <v>1286</v>
      </c>
      <c r="C24" s="99"/>
      <c r="D24" s="99"/>
      <c r="E24" s="100">
        <f>E25+E29+E31+E35+E33+E27</f>
        <v>36873014664.099998</v>
      </c>
      <c r="F24" s="100">
        <f t="shared" ref="F24:H24" si="14">F25+F29+F31+F35+F33+F27</f>
        <v>1062340000</v>
      </c>
      <c r="G24" s="381">
        <f t="shared" si="12"/>
        <v>2.8810771499904148E-2</v>
      </c>
      <c r="H24" s="100">
        <f t="shared" si="14"/>
        <v>172400000</v>
      </c>
      <c r="I24" s="381">
        <f t="shared" si="13"/>
        <v>4.6755059647414906E-3</v>
      </c>
    </row>
    <row r="25" spans="1:9" ht="24" customHeight="1">
      <c r="A25" s="25"/>
      <c r="B25" s="113">
        <v>12</v>
      </c>
      <c r="C25" s="105" t="s">
        <v>149</v>
      </c>
      <c r="D25" s="111"/>
      <c r="E25" s="107">
        <f>E26</f>
        <v>74327300</v>
      </c>
      <c r="F25" s="107">
        <f t="shared" ref="F25:H25" si="15">F26</f>
        <v>9800000</v>
      </c>
      <c r="G25" s="381">
        <f t="shared" si="12"/>
        <v>0.13184926668935909</v>
      </c>
      <c r="H25" s="107">
        <f t="shared" si="15"/>
        <v>7850000</v>
      </c>
      <c r="I25" s="381">
        <f t="shared" si="13"/>
        <v>0.10561395341953764</v>
      </c>
    </row>
    <row r="26" spans="1:9" ht="61.5" customHeight="1">
      <c r="A26" s="35"/>
      <c r="B26" s="22"/>
      <c r="C26" s="12">
        <v>1202</v>
      </c>
      <c r="D26" s="23" t="s">
        <v>150</v>
      </c>
      <c r="E26" s="29">
        <f>'SGTO POAI 2023 MARZO'!BF26</f>
        <v>74327300</v>
      </c>
      <c r="F26" s="29">
        <f>'SGTO POAI 2023 MARZO'!BG26</f>
        <v>9800000</v>
      </c>
      <c r="G26" s="381">
        <f t="shared" si="12"/>
        <v>0.13184926668935909</v>
      </c>
      <c r="H26" s="29">
        <f>'SGTO POAI 2023 MARZO'!BH26</f>
        <v>7850000</v>
      </c>
      <c r="I26" s="381">
        <f t="shared" si="13"/>
        <v>0.10561395341953764</v>
      </c>
    </row>
    <row r="27" spans="1:9" ht="24" customHeight="1">
      <c r="A27" s="40"/>
      <c r="B27" s="110">
        <v>19</v>
      </c>
      <c r="C27" s="105" t="s">
        <v>755</v>
      </c>
      <c r="D27" s="119"/>
      <c r="E27" s="107">
        <f>E28</f>
        <v>21612200000</v>
      </c>
      <c r="F27" s="107">
        <f t="shared" ref="F27:H27" si="16">F28</f>
        <v>0</v>
      </c>
      <c r="G27" s="381">
        <f t="shared" si="12"/>
        <v>0</v>
      </c>
      <c r="H27" s="107">
        <f t="shared" si="16"/>
        <v>0</v>
      </c>
      <c r="I27" s="381">
        <f t="shared" si="13"/>
        <v>0</v>
      </c>
    </row>
    <row r="28" spans="1:9" ht="64.5" customHeight="1">
      <c r="A28" s="35"/>
      <c r="B28" s="22"/>
      <c r="C28" s="12">
        <v>1903</v>
      </c>
      <c r="D28" s="23" t="s">
        <v>933</v>
      </c>
      <c r="E28" s="29">
        <f>'SGTO POAI 2023 MARZO'!BF51</f>
        <v>21612200000</v>
      </c>
      <c r="F28" s="29">
        <f>'SGTO POAI 2023 MARZO'!BG51</f>
        <v>0</v>
      </c>
      <c r="G28" s="381">
        <f t="shared" si="12"/>
        <v>0</v>
      </c>
      <c r="H28" s="29">
        <f>'SGTO POAI 2023 MARZO'!BH51</f>
        <v>0</v>
      </c>
      <c r="I28" s="381">
        <f t="shared" si="13"/>
        <v>0</v>
      </c>
    </row>
    <row r="29" spans="1:9" ht="24" customHeight="1">
      <c r="A29" s="40"/>
      <c r="B29" s="110">
        <v>22</v>
      </c>
      <c r="C29" s="105" t="s">
        <v>160</v>
      </c>
      <c r="D29" s="106"/>
      <c r="E29" s="107">
        <f>E30</f>
        <v>2917024296</v>
      </c>
      <c r="F29" s="107">
        <f t="shared" ref="F29:H29" si="17">F30</f>
        <v>733982500</v>
      </c>
      <c r="G29" s="381">
        <f t="shared" si="12"/>
        <v>0.25162029024114785</v>
      </c>
      <c r="H29" s="107">
        <f t="shared" si="17"/>
        <v>149450000</v>
      </c>
      <c r="I29" s="381">
        <f t="shared" si="13"/>
        <v>5.123371793815186E-2</v>
      </c>
    </row>
    <row r="30" spans="1:9" ht="64.5" customHeight="1">
      <c r="A30" s="35"/>
      <c r="B30" s="22"/>
      <c r="C30" s="12">
        <v>2201</v>
      </c>
      <c r="D30" s="23" t="s">
        <v>161</v>
      </c>
      <c r="E30" s="29">
        <f>'SGTO POAI 2023 MARZO'!BF27</f>
        <v>2917024296</v>
      </c>
      <c r="F30" s="29">
        <f>'SGTO POAI 2023 MARZO'!BG27</f>
        <v>733982500</v>
      </c>
      <c r="G30" s="381">
        <f t="shared" si="12"/>
        <v>0.25162029024114785</v>
      </c>
      <c r="H30" s="29">
        <f>'SGTO POAI 2023 MARZO'!BH27</f>
        <v>149450000</v>
      </c>
      <c r="I30" s="381">
        <f t="shared" si="13"/>
        <v>5.123371793815186E-2</v>
      </c>
    </row>
    <row r="31" spans="1:9" ht="24" customHeight="1">
      <c r="A31" s="40"/>
      <c r="B31" s="110">
        <v>33</v>
      </c>
      <c r="C31" s="112" t="s">
        <v>170</v>
      </c>
      <c r="D31" s="106"/>
      <c r="E31" s="107">
        <f>E32</f>
        <v>73966912</v>
      </c>
      <c r="F31" s="107">
        <f t="shared" ref="F31:H31" si="18">F32</f>
        <v>20500000</v>
      </c>
      <c r="G31" s="381">
        <f t="shared" si="12"/>
        <v>0.27715095095493508</v>
      </c>
      <c r="H31" s="107">
        <f t="shared" si="18"/>
        <v>0</v>
      </c>
      <c r="I31" s="381">
        <f t="shared" si="13"/>
        <v>0</v>
      </c>
    </row>
    <row r="32" spans="1:9" ht="63" customHeight="1">
      <c r="A32" s="35"/>
      <c r="B32" s="22"/>
      <c r="C32" s="12">
        <v>3301</v>
      </c>
      <c r="D32" s="23" t="s">
        <v>171</v>
      </c>
      <c r="E32" s="29">
        <f>'SGTO POAI 2023 MARZO'!BF28</f>
        <v>73966912</v>
      </c>
      <c r="F32" s="29">
        <f>'SGTO POAI 2023 MARZO'!BG28</f>
        <v>20500000</v>
      </c>
      <c r="G32" s="381">
        <f t="shared" si="12"/>
        <v>0.27715095095493508</v>
      </c>
      <c r="H32" s="29">
        <f>'SGTO POAI 2023 MARZO'!BH28</f>
        <v>0</v>
      </c>
      <c r="I32" s="381">
        <f t="shared" si="13"/>
        <v>0</v>
      </c>
    </row>
    <row r="33" spans="1:9" ht="26.25" customHeight="1">
      <c r="A33" s="35"/>
      <c r="B33" s="110">
        <v>41</v>
      </c>
      <c r="C33" s="105" t="s">
        <v>180</v>
      </c>
      <c r="D33" s="106"/>
      <c r="E33" s="107">
        <f>E34</f>
        <v>6229932867</v>
      </c>
      <c r="F33" s="107">
        <f t="shared" ref="F33:H33" si="19">F34</f>
        <v>0</v>
      </c>
      <c r="G33" s="381">
        <f t="shared" si="12"/>
        <v>0</v>
      </c>
      <c r="H33" s="107">
        <f t="shared" si="19"/>
        <v>0</v>
      </c>
      <c r="I33" s="381">
        <f t="shared" si="13"/>
        <v>0</v>
      </c>
    </row>
    <row r="34" spans="1:9" ht="57" customHeight="1">
      <c r="A34" s="35"/>
      <c r="B34" s="22"/>
      <c r="C34" s="12">
        <f>'SGTO POAI 2023 MARZO'!I29</f>
        <v>4104</v>
      </c>
      <c r="D34" s="23" t="s">
        <v>181</v>
      </c>
      <c r="E34" s="29">
        <f>'SGTO POAI 2023 MARZO'!BF29+'SGTO POAI 2023 MARZO'!BF30</f>
        <v>6229932867</v>
      </c>
      <c r="F34" s="29">
        <f>'SGTO POAI 2023 MARZO'!BG29+'SGTO POAI 2023 MARZO'!BG30</f>
        <v>0</v>
      </c>
      <c r="G34" s="381">
        <f t="shared" si="12"/>
        <v>0</v>
      </c>
      <c r="H34" s="29">
        <f>'SGTO POAI 2023 MARZO'!BH29+'SGTO POAI 2023 MARZO'!BH30</f>
        <v>0</v>
      </c>
      <c r="I34" s="381">
        <f t="shared" si="13"/>
        <v>0</v>
      </c>
    </row>
    <row r="35" spans="1:9" ht="24" customHeight="1">
      <c r="A35" s="40"/>
      <c r="B35" s="110">
        <v>43</v>
      </c>
      <c r="C35" s="105" t="s">
        <v>189</v>
      </c>
      <c r="D35" s="105"/>
      <c r="E35" s="107">
        <f>E36</f>
        <v>5965563289.1000004</v>
      </c>
      <c r="F35" s="107">
        <f t="shared" ref="F35:H35" si="20">F36</f>
        <v>298057500</v>
      </c>
      <c r="G35" s="381">
        <f t="shared" si="12"/>
        <v>4.9963010290176087E-2</v>
      </c>
      <c r="H35" s="107">
        <f t="shared" si="20"/>
        <v>15100000</v>
      </c>
      <c r="I35" s="381">
        <f t="shared" si="13"/>
        <v>2.5311943345886576E-3</v>
      </c>
    </row>
    <row r="36" spans="1:9" ht="65.25" customHeight="1">
      <c r="A36" s="31"/>
      <c r="B36" s="22"/>
      <c r="C36" s="12">
        <v>4301</v>
      </c>
      <c r="D36" s="23" t="s">
        <v>1287</v>
      </c>
      <c r="E36" s="29">
        <f>'SGTO POAI 2023 MARZO'!BF31</f>
        <v>5965563289.1000004</v>
      </c>
      <c r="F36" s="29">
        <f>'SGTO POAI 2023 MARZO'!BG31</f>
        <v>298057500</v>
      </c>
      <c r="G36" s="381">
        <f t="shared" si="12"/>
        <v>4.9963010290176087E-2</v>
      </c>
      <c r="H36" s="29">
        <f>'SGTO POAI 2023 MARZO'!BH31</f>
        <v>15100000</v>
      </c>
      <c r="I36" s="381">
        <f t="shared" si="13"/>
        <v>2.5311943345886576E-3</v>
      </c>
    </row>
    <row r="37" spans="1:9" ht="27" customHeight="1">
      <c r="A37" s="98">
        <v>2</v>
      </c>
      <c r="B37" s="99" t="s">
        <v>1288</v>
      </c>
      <c r="C37" s="99"/>
      <c r="D37" s="99"/>
      <c r="E37" s="100">
        <f>E38</f>
        <v>41000000</v>
      </c>
      <c r="F37" s="100">
        <f t="shared" ref="F37:H38" si="21">F38</f>
        <v>30900000</v>
      </c>
      <c r="G37" s="381">
        <f t="shared" si="12"/>
        <v>0.75365853658536586</v>
      </c>
      <c r="H37" s="100">
        <f t="shared" si="21"/>
        <v>0</v>
      </c>
      <c r="I37" s="381">
        <f t="shared" si="13"/>
        <v>0</v>
      </c>
    </row>
    <row r="38" spans="1:9" ht="27" customHeight="1">
      <c r="A38" s="13"/>
      <c r="B38" s="104">
        <v>17</v>
      </c>
      <c r="C38" s="105" t="s">
        <v>1289</v>
      </c>
      <c r="D38" s="106"/>
      <c r="E38" s="107">
        <f>E39</f>
        <v>41000000</v>
      </c>
      <c r="F38" s="107">
        <f t="shared" si="21"/>
        <v>30900000</v>
      </c>
      <c r="G38" s="381">
        <f t="shared" si="12"/>
        <v>0.75365853658536586</v>
      </c>
      <c r="H38" s="107">
        <f t="shared" si="21"/>
        <v>0</v>
      </c>
      <c r="I38" s="381">
        <f t="shared" si="13"/>
        <v>0</v>
      </c>
    </row>
    <row r="39" spans="1:9" ht="65.25" customHeight="1">
      <c r="A39" s="12"/>
      <c r="B39" s="12"/>
      <c r="C39" s="12">
        <v>1709</v>
      </c>
      <c r="D39" s="23" t="s">
        <v>201</v>
      </c>
      <c r="E39" s="29">
        <f>'SGTO POAI 2023 MARZO'!BF32+'SGTO POAI 2023 MARZO'!BF33</f>
        <v>41000000</v>
      </c>
      <c r="F39" s="29">
        <f>'SGTO POAI 2023 MARZO'!BG32+'SGTO POAI 2023 MARZO'!BG33</f>
        <v>30900000</v>
      </c>
      <c r="G39" s="381">
        <f t="shared" si="12"/>
        <v>0.75365853658536586</v>
      </c>
      <c r="H39" s="29">
        <f>'SGTO POAI 2023 MARZO'!BH32+'SGTO POAI 2023 MARZO'!BH33</f>
        <v>0</v>
      </c>
      <c r="I39" s="381">
        <f t="shared" si="13"/>
        <v>0</v>
      </c>
    </row>
    <row r="40" spans="1:9" ht="24" customHeight="1">
      <c r="A40" s="98">
        <v>3</v>
      </c>
      <c r="B40" s="99" t="s">
        <v>1290</v>
      </c>
      <c r="C40" s="99"/>
      <c r="D40" s="99"/>
      <c r="E40" s="100">
        <f>E41+E43+E45</f>
        <v>53888455828.360001</v>
      </c>
      <c r="F40" s="100">
        <f t="shared" ref="F40:H40" si="22">F41+F43+F45</f>
        <v>4377543941</v>
      </c>
      <c r="G40" s="381">
        <f t="shared" si="12"/>
        <v>8.1233426968902303E-2</v>
      </c>
      <c r="H40" s="100">
        <f t="shared" si="22"/>
        <v>80650000</v>
      </c>
      <c r="I40" s="381">
        <f t="shared" si="13"/>
        <v>1.4966099651635618E-3</v>
      </c>
    </row>
    <row r="41" spans="1:9" ht="24" customHeight="1">
      <c r="A41" s="13"/>
      <c r="B41" s="104">
        <v>24</v>
      </c>
      <c r="C41" s="105" t="s">
        <v>212</v>
      </c>
      <c r="D41" s="105"/>
      <c r="E41" s="107">
        <f>E42</f>
        <v>46481625132.520004</v>
      </c>
      <c r="F41" s="107">
        <f t="shared" ref="F41:H41" si="23">F42</f>
        <v>488947380</v>
      </c>
      <c r="G41" s="381">
        <f t="shared" si="12"/>
        <v>1.0519154151904148E-2</v>
      </c>
      <c r="H41" s="107">
        <f t="shared" si="23"/>
        <v>73250000</v>
      </c>
      <c r="I41" s="381">
        <f t="shared" si="13"/>
        <v>1.5758915440491344E-3</v>
      </c>
    </row>
    <row r="42" spans="1:9" ht="59.25" customHeight="1">
      <c r="A42" s="12"/>
      <c r="B42" s="12"/>
      <c r="C42" s="12">
        <v>2402</v>
      </c>
      <c r="D42" s="23" t="s">
        <v>213</v>
      </c>
      <c r="E42" s="29">
        <f>'SGTO POAI 2023 MARZO'!BF34+'SGTO POAI 2023 MARZO'!BF35+'SGTO POAI 2023 MARZO'!BF36+'SGTO POAI 2023 MARZO'!BF37+'SGTO POAI 2023 MARZO'!BF38</f>
        <v>46481625132.520004</v>
      </c>
      <c r="F42" s="29">
        <f>'SGTO POAI 2023 MARZO'!BG34+'SGTO POAI 2023 MARZO'!BG35+'SGTO POAI 2023 MARZO'!BG36+'SGTO POAI 2023 MARZO'!BG37+'SGTO POAI 2023 MARZO'!BG38</f>
        <v>488947380</v>
      </c>
      <c r="G42" s="381">
        <f t="shared" si="12"/>
        <v>1.0519154151904148E-2</v>
      </c>
      <c r="H42" s="29">
        <f>'SGTO POAI 2023 MARZO'!BH34+'SGTO POAI 2023 MARZO'!BH35+'SGTO POAI 2023 MARZO'!BH36+'SGTO POAI 2023 MARZO'!BH37+'SGTO POAI 2023 MARZO'!BH38</f>
        <v>73250000</v>
      </c>
      <c r="I42" s="381">
        <f t="shared" si="13"/>
        <v>1.5758915440491344E-3</v>
      </c>
    </row>
    <row r="43" spans="1:9" ht="24" customHeight="1">
      <c r="A43" s="13"/>
      <c r="B43" s="116">
        <v>32</v>
      </c>
      <c r="C43" s="105" t="s">
        <v>226</v>
      </c>
      <c r="D43" s="105"/>
      <c r="E43" s="107">
        <f>E44</f>
        <v>1840000000</v>
      </c>
      <c r="F43" s="107">
        <f t="shared" ref="F43:H43" si="24">F44</f>
        <v>18200000</v>
      </c>
      <c r="G43" s="381">
        <f t="shared" si="12"/>
        <v>9.8913043478260874E-3</v>
      </c>
      <c r="H43" s="107">
        <f t="shared" si="24"/>
        <v>7400000</v>
      </c>
      <c r="I43" s="381">
        <f t="shared" si="13"/>
        <v>4.0217391304347826E-3</v>
      </c>
    </row>
    <row r="44" spans="1:9" ht="54.75" customHeight="1">
      <c r="A44" s="12"/>
      <c r="B44" s="12"/>
      <c r="C44" s="12">
        <v>3205</v>
      </c>
      <c r="D44" s="23" t="s">
        <v>227</v>
      </c>
      <c r="E44" s="29">
        <f>'SGTO POAI 2023 MARZO'!BF39+'SGTO POAI 2023 MARZO'!BF40</f>
        <v>1840000000</v>
      </c>
      <c r="F44" s="29">
        <f>'SGTO POAI 2023 MARZO'!BG39+'SGTO POAI 2023 MARZO'!BG40</f>
        <v>18200000</v>
      </c>
      <c r="G44" s="381">
        <f t="shared" si="12"/>
        <v>9.8913043478260874E-3</v>
      </c>
      <c r="H44" s="29">
        <f>'SGTO POAI 2023 MARZO'!BH39+'SGTO POAI 2023 MARZO'!BH40</f>
        <v>7400000</v>
      </c>
      <c r="I44" s="381">
        <f t="shared" si="13"/>
        <v>4.0217391304347826E-3</v>
      </c>
    </row>
    <row r="45" spans="1:9" ht="24" customHeight="1">
      <c r="A45" s="13"/>
      <c r="B45" s="116">
        <v>40</v>
      </c>
      <c r="C45" s="105" t="s">
        <v>1291</v>
      </c>
      <c r="D45" s="106"/>
      <c r="E45" s="107">
        <f>SUM(E46:E47)</f>
        <v>5566830695.8400002</v>
      </c>
      <c r="F45" s="107">
        <f t="shared" ref="F45:H45" si="25">SUM(F46:F47)</f>
        <v>3870396561</v>
      </c>
      <c r="G45" s="381">
        <f t="shared" si="12"/>
        <v>0.69526033257887343</v>
      </c>
      <c r="H45" s="107">
        <f t="shared" si="25"/>
        <v>0</v>
      </c>
      <c r="I45" s="381">
        <f t="shared" si="13"/>
        <v>0</v>
      </c>
    </row>
    <row r="46" spans="1:9" ht="48.75" customHeight="1">
      <c r="A46" s="12"/>
      <c r="B46" s="12"/>
      <c r="C46" s="12">
        <v>4001</v>
      </c>
      <c r="D46" s="23" t="s">
        <v>241</v>
      </c>
      <c r="E46" s="29">
        <f>'SGTO POAI 2023 MARZO'!BF41</f>
        <v>350000000</v>
      </c>
      <c r="F46" s="29">
        <f>'SGTO POAI 2023 MARZO'!BG41</f>
        <v>0</v>
      </c>
      <c r="G46" s="381">
        <f t="shared" si="12"/>
        <v>0</v>
      </c>
      <c r="H46" s="29">
        <f>'SGTO POAI 2023 MARZO'!BH41</f>
        <v>0</v>
      </c>
      <c r="I46" s="381">
        <f t="shared" si="13"/>
        <v>0</v>
      </c>
    </row>
    <row r="47" spans="1:9" ht="59.25" customHeight="1">
      <c r="A47" s="12"/>
      <c r="B47" s="12"/>
      <c r="C47" s="12">
        <v>4003</v>
      </c>
      <c r="D47" s="23" t="s">
        <v>249</v>
      </c>
      <c r="E47" s="29">
        <f>'SGTO POAI 2023 MARZO'!BF42+'SGTO POAI 2023 MARZO'!BF43+'SGTO POAI 2023 MARZO'!BF44+'SGTO POAI 2023 MARZO'!BF45+'SGTO POAI 2023 MARZO'!BF46+'SGTO POAI 2023 MARZO'!BF47</f>
        <v>5216830695.8400002</v>
      </c>
      <c r="F47" s="29">
        <f>'SGTO POAI 2023 MARZO'!BG42+'SGTO POAI 2023 MARZO'!BG43+'SGTO POAI 2023 MARZO'!BG44+'SGTO POAI 2023 MARZO'!BG45+'SGTO POAI 2023 MARZO'!BG46+'SGTO POAI 2023 MARZO'!BG47</f>
        <v>3870396561</v>
      </c>
      <c r="G47" s="381">
        <f t="shared" si="12"/>
        <v>0.74190572526847143</v>
      </c>
      <c r="H47" s="29">
        <f>'SGTO POAI 2023 MARZO'!BH42+'SGTO POAI 2023 MARZO'!BH43+'SGTO POAI 2023 MARZO'!BH44+'SGTO POAI 2023 MARZO'!BH45+'SGTO POAI 2023 MARZO'!BH46+'SGTO POAI 2023 MARZO'!BH47</f>
        <v>0</v>
      </c>
      <c r="I47" s="381">
        <f t="shared" si="13"/>
        <v>0</v>
      </c>
    </row>
    <row r="48" spans="1:9" ht="24" customHeight="1">
      <c r="A48" s="98">
        <v>4</v>
      </c>
      <c r="B48" s="99" t="s">
        <v>1280</v>
      </c>
      <c r="C48" s="99"/>
      <c r="D48" s="99"/>
      <c r="E48" s="100">
        <f>E49</f>
        <v>1102979386</v>
      </c>
      <c r="F48" s="100">
        <f t="shared" ref="F48:H48" si="26">F49</f>
        <v>89800000</v>
      </c>
      <c r="G48" s="381">
        <f t="shared" si="12"/>
        <v>8.1415846152540883E-2</v>
      </c>
      <c r="H48" s="100">
        <f t="shared" si="26"/>
        <v>5250000</v>
      </c>
      <c r="I48" s="381">
        <f t="shared" si="13"/>
        <v>4.7598351035728244E-3</v>
      </c>
    </row>
    <row r="49" spans="1:9" ht="24" customHeight="1">
      <c r="A49" s="13"/>
      <c r="B49" s="104">
        <v>45</v>
      </c>
      <c r="C49" s="105" t="s">
        <v>60</v>
      </c>
      <c r="D49" s="106"/>
      <c r="E49" s="107">
        <f>SUM(E50:E51)</f>
        <v>1102979386</v>
      </c>
      <c r="F49" s="107">
        <f t="shared" ref="F49:H49" si="27">SUM(F50:F51)</f>
        <v>89800000</v>
      </c>
      <c r="G49" s="381">
        <f t="shared" si="12"/>
        <v>8.1415846152540883E-2</v>
      </c>
      <c r="H49" s="107">
        <f t="shared" si="27"/>
        <v>5250000</v>
      </c>
      <c r="I49" s="381">
        <f t="shared" si="13"/>
        <v>4.7598351035728244E-3</v>
      </c>
    </row>
    <row r="50" spans="1:9" ht="66" customHeight="1">
      <c r="A50" s="12"/>
      <c r="B50" s="12"/>
      <c r="C50" s="12">
        <v>4502</v>
      </c>
      <c r="D50" s="23" t="s">
        <v>1281</v>
      </c>
      <c r="E50" s="29">
        <f>'SGTO POAI 2023 MARZO'!BF50</f>
        <v>40000000</v>
      </c>
      <c r="F50" s="29">
        <f>'SGTO POAI 2023 MARZO'!BG50</f>
        <v>40000000</v>
      </c>
      <c r="G50" s="381">
        <f t="shared" si="12"/>
        <v>1</v>
      </c>
      <c r="H50" s="29">
        <f>'SGTO POAI 2023 MARZO'!BH50</f>
        <v>2000000</v>
      </c>
      <c r="I50" s="381">
        <f t="shared" si="13"/>
        <v>0.05</v>
      </c>
    </row>
    <row r="51" spans="1:9" ht="53.25" customHeight="1">
      <c r="A51" s="12"/>
      <c r="B51" s="12"/>
      <c r="C51" s="12">
        <v>4599</v>
      </c>
      <c r="D51" s="23" t="s">
        <v>1282</v>
      </c>
      <c r="E51" s="29">
        <f>'SGTO POAI 2023 MARZO'!BF48+'SGTO POAI 2023 MARZO'!BF49</f>
        <v>1062979386</v>
      </c>
      <c r="F51" s="29">
        <f>'SGTO POAI 2023 MARZO'!BG48+'SGTO POAI 2023 MARZO'!BG49</f>
        <v>49800000</v>
      </c>
      <c r="G51" s="381">
        <f t="shared" si="12"/>
        <v>4.6849450380592801E-2</v>
      </c>
      <c r="H51" s="29">
        <f>'SGTO POAI 2023 MARZO'!BH48+'SGTO POAI 2023 MARZO'!BH49</f>
        <v>3250000</v>
      </c>
      <c r="I51" s="381">
        <f t="shared" si="13"/>
        <v>3.057444050942301E-3</v>
      </c>
    </row>
    <row r="52" spans="1:9" s="39" customFormat="1">
      <c r="A52" s="5"/>
      <c r="B52" s="5"/>
      <c r="C52" s="58"/>
      <c r="D52" s="59"/>
      <c r="E52" s="38"/>
      <c r="F52" s="38"/>
      <c r="G52" s="38"/>
      <c r="H52" s="38"/>
    </row>
    <row r="53" spans="1:9" ht="24" customHeight="1">
      <c r="A53" s="65" t="s">
        <v>1292</v>
      </c>
      <c r="B53" s="62"/>
      <c r="C53" s="62"/>
      <c r="D53" s="63"/>
      <c r="E53" s="64">
        <f>E54+E66+E71</f>
        <v>9005666049.1399994</v>
      </c>
      <c r="F53" s="64">
        <f t="shared" ref="F53:H53" si="28">F54+F66+F71</f>
        <v>1519297794.3499999</v>
      </c>
      <c r="G53" s="381">
        <f t="shared" ref="G53:G73" si="29">F53/E53</f>
        <v>0.1687046561642252</v>
      </c>
      <c r="H53" s="64">
        <f t="shared" si="28"/>
        <v>336093935.85000002</v>
      </c>
      <c r="I53" s="381">
        <f t="shared" ref="I53:I73" si="30">H53/E53</f>
        <v>3.7320275259606753E-2</v>
      </c>
    </row>
    <row r="54" spans="1:9" ht="24" customHeight="1">
      <c r="A54" s="98">
        <v>1</v>
      </c>
      <c r="B54" s="99" t="s">
        <v>1286</v>
      </c>
      <c r="C54" s="99"/>
      <c r="D54" s="99"/>
      <c r="E54" s="100">
        <f>E55+E59+E61+E64</f>
        <v>8033276561.1399994</v>
      </c>
      <c r="F54" s="100">
        <f t="shared" ref="F54:H54" si="31">F55+F59+F61+F64</f>
        <v>1192420806.3499999</v>
      </c>
      <c r="G54" s="381">
        <f t="shared" si="29"/>
        <v>0.14843517427474001</v>
      </c>
      <c r="H54" s="100">
        <f t="shared" si="31"/>
        <v>194943935.84999999</v>
      </c>
      <c r="I54" s="381">
        <f t="shared" si="30"/>
        <v>2.426705147847363E-2</v>
      </c>
    </row>
    <row r="55" spans="1:9" ht="24" customHeight="1">
      <c r="A55" s="13"/>
      <c r="B55" s="104">
        <v>12</v>
      </c>
      <c r="C55" s="105" t="s">
        <v>149</v>
      </c>
      <c r="D55" s="106"/>
      <c r="E55" s="107">
        <f>SUM(E56:E58)</f>
        <v>273000000</v>
      </c>
      <c r="F55" s="107">
        <f t="shared" ref="F55:H55" si="32">SUM(F56:F58)</f>
        <v>75270512</v>
      </c>
      <c r="G55" s="381">
        <f t="shared" si="29"/>
        <v>0.27571616117216119</v>
      </c>
      <c r="H55" s="107">
        <f t="shared" si="32"/>
        <v>31400000</v>
      </c>
      <c r="I55" s="381">
        <f t="shared" si="30"/>
        <v>0.11501831501831501</v>
      </c>
    </row>
    <row r="56" spans="1:9" ht="34.5" customHeight="1">
      <c r="A56" s="7"/>
      <c r="B56" s="27"/>
      <c r="C56" s="22">
        <v>1202</v>
      </c>
      <c r="D56" s="23" t="s">
        <v>150</v>
      </c>
      <c r="E56" s="29">
        <f>'SGTO POAI 2023 MARZO'!BF52</f>
        <v>139000000</v>
      </c>
      <c r="F56" s="29">
        <f>'SGTO POAI 2023 MARZO'!BG52</f>
        <v>35188012</v>
      </c>
      <c r="G56" s="381">
        <f t="shared" si="29"/>
        <v>0.25315116546762589</v>
      </c>
      <c r="H56" s="29">
        <f>'SGTO POAI 2023 MARZO'!BH52</f>
        <v>14800000</v>
      </c>
      <c r="I56" s="381">
        <f t="shared" si="30"/>
        <v>0.10647482014388489</v>
      </c>
    </row>
    <row r="57" spans="1:9" ht="61.5" customHeight="1">
      <c r="A57" s="7"/>
      <c r="B57" s="35"/>
      <c r="C57" s="22">
        <v>1203</v>
      </c>
      <c r="D57" s="23" t="s">
        <v>285</v>
      </c>
      <c r="E57" s="29">
        <f>'SGTO POAI 2023 MARZO'!BF53</f>
        <v>67000000</v>
      </c>
      <c r="F57" s="29">
        <f>'SGTO POAI 2023 MARZO'!BG53</f>
        <v>15300000</v>
      </c>
      <c r="G57" s="381">
        <f t="shared" si="29"/>
        <v>0.22835820895522388</v>
      </c>
      <c r="H57" s="29">
        <f>'SGTO POAI 2023 MARZO'!BH53</f>
        <v>8200000</v>
      </c>
      <c r="I57" s="381">
        <f t="shared" si="30"/>
        <v>0.12238805970149254</v>
      </c>
    </row>
    <row r="58" spans="1:9" ht="60" customHeight="1">
      <c r="A58" s="7"/>
      <c r="B58" s="31"/>
      <c r="C58" s="22">
        <v>1206</v>
      </c>
      <c r="D58" s="23" t="s">
        <v>291</v>
      </c>
      <c r="E58" s="29">
        <f>'SGTO POAI 2023 MARZO'!BF54</f>
        <v>67000000</v>
      </c>
      <c r="F58" s="29">
        <f>'SGTO POAI 2023 MARZO'!BG54</f>
        <v>24782500</v>
      </c>
      <c r="G58" s="381">
        <f t="shared" si="29"/>
        <v>0.36988805970149252</v>
      </c>
      <c r="H58" s="29">
        <f>'SGTO POAI 2023 MARZO'!BH54</f>
        <v>8400000</v>
      </c>
      <c r="I58" s="381">
        <f t="shared" si="30"/>
        <v>0.1253731343283582</v>
      </c>
    </row>
    <row r="59" spans="1:9" ht="24" customHeight="1">
      <c r="A59" s="41"/>
      <c r="B59" s="115">
        <v>22</v>
      </c>
      <c r="C59" s="105" t="s">
        <v>160</v>
      </c>
      <c r="D59" s="106"/>
      <c r="E59" s="107">
        <f>E60</f>
        <v>70000000</v>
      </c>
      <c r="F59" s="107">
        <f t="shared" ref="F59:H59" si="33">F60</f>
        <v>45330000</v>
      </c>
      <c r="G59" s="381">
        <f t="shared" si="29"/>
        <v>0.64757142857142858</v>
      </c>
      <c r="H59" s="107">
        <f t="shared" si="33"/>
        <v>13750000</v>
      </c>
      <c r="I59" s="381">
        <f t="shared" si="30"/>
        <v>0.19642857142857142</v>
      </c>
    </row>
    <row r="60" spans="1:9" ht="75.75" customHeight="1">
      <c r="A60" s="42"/>
      <c r="B60" s="22"/>
      <c r="C60" s="12">
        <v>2201</v>
      </c>
      <c r="D60" s="23" t="s">
        <v>297</v>
      </c>
      <c r="E60" s="29">
        <f>'SGTO POAI 2023 MARZO'!BF55</f>
        <v>70000000</v>
      </c>
      <c r="F60" s="29">
        <f>'SGTO POAI 2023 MARZO'!BG55</f>
        <v>45330000</v>
      </c>
      <c r="G60" s="381">
        <f t="shared" si="29"/>
        <v>0.64757142857142858</v>
      </c>
      <c r="H60" s="29">
        <f>'SGTO POAI 2023 MARZO'!BH55</f>
        <v>13750000</v>
      </c>
      <c r="I60" s="381">
        <f t="shared" si="30"/>
        <v>0.19642857142857142</v>
      </c>
    </row>
    <row r="61" spans="1:9" ht="24" customHeight="1">
      <c r="A61" s="42"/>
      <c r="B61" s="113">
        <v>41</v>
      </c>
      <c r="C61" s="105" t="s">
        <v>303</v>
      </c>
      <c r="D61" s="111"/>
      <c r="E61" s="107">
        <f>SUM(E62:E63)</f>
        <v>320000000</v>
      </c>
      <c r="F61" s="107">
        <f t="shared" ref="F61:H61" si="34">SUM(F62:F63)</f>
        <v>134254200</v>
      </c>
      <c r="G61" s="381">
        <f t="shared" si="29"/>
        <v>0.41954437500000002</v>
      </c>
      <c r="H61" s="107">
        <f t="shared" si="34"/>
        <v>68579200</v>
      </c>
      <c r="I61" s="381">
        <f t="shared" si="30"/>
        <v>0.21431</v>
      </c>
    </row>
    <row r="62" spans="1:9" ht="44.25" customHeight="1">
      <c r="A62" s="7"/>
      <c r="B62" s="27"/>
      <c r="C62" s="22">
        <v>4101</v>
      </c>
      <c r="D62" s="23" t="s">
        <v>304</v>
      </c>
      <c r="E62" s="29">
        <f>'SGTO POAI 2023 MARZO'!BF56+'SGTO POAI 2023 MARZO'!BF57+'SGTO POAI 2023 MARZO'!BF58+'SGTO POAI 2023 MARZO'!BF59+'SGTO POAI 2023 MARZO'!BF60</f>
        <v>288000000</v>
      </c>
      <c r="F62" s="29">
        <f>'SGTO POAI 2023 MARZO'!BG56+'SGTO POAI 2023 MARZO'!BG57+'SGTO POAI 2023 MARZO'!BG58+'SGTO POAI 2023 MARZO'!BG59+'SGTO POAI 2023 MARZO'!BG60</f>
        <v>117369200</v>
      </c>
      <c r="G62" s="381">
        <f t="shared" si="29"/>
        <v>0.40753194444444446</v>
      </c>
      <c r="H62" s="29">
        <f>'SGTO POAI 2023 MARZO'!BH56+'SGTO POAI 2023 MARZO'!BH57+'SGTO POAI 2023 MARZO'!BH58+'SGTO POAI 2023 MARZO'!BH59+'SGTO POAI 2023 MARZO'!BH60</f>
        <v>62379200</v>
      </c>
      <c r="I62" s="381">
        <f t="shared" si="30"/>
        <v>0.21659444444444445</v>
      </c>
    </row>
    <row r="63" spans="1:9" ht="57" customHeight="1">
      <c r="A63" s="7"/>
      <c r="B63" s="31"/>
      <c r="C63" s="22">
        <v>4103</v>
      </c>
      <c r="D63" s="23" t="s">
        <v>321</v>
      </c>
      <c r="E63" s="29">
        <f>'SGTO POAI 2023 MARZO'!BF61</f>
        <v>32000000</v>
      </c>
      <c r="F63" s="29">
        <f>'SGTO POAI 2023 MARZO'!BG61</f>
        <v>16885000</v>
      </c>
      <c r="G63" s="381">
        <f t="shared" si="29"/>
        <v>0.52765625000000005</v>
      </c>
      <c r="H63" s="29">
        <f>'SGTO POAI 2023 MARZO'!BH61</f>
        <v>6200000</v>
      </c>
      <c r="I63" s="381">
        <f t="shared" si="30"/>
        <v>0.19375000000000001</v>
      </c>
    </row>
    <row r="64" spans="1:9" ht="24" customHeight="1">
      <c r="A64" s="41"/>
      <c r="B64" s="115">
        <v>45</v>
      </c>
      <c r="C64" s="105" t="s">
        <v>60</v>
      </c>
      <c r="D64" s="111"/>
      <c r="E64" s="107">
        <f>E65</f>
        <v>7370276561.1399994</v>
      </c>
      <c r="F64" s="107">
        <f t="shared" ref="F64:H64" si="35">F65</f>
        <v>937566094.35000002</v>
      </c>
      <c r="G64" s="381">
        <f t="shared" si="29"/>
        <v>0.12720907914003457</v>
      </c>
      <c r="H64" s="107">
        <f t="shared" si="35"/>
        <v>81214735.849999994</v>
      </c>
      <c r="I64" s="381">
        <f t="shared" si="30"/>
        <v>1.1019225015002434E-2</v>
      </c>
    </row>
    <row r="65" spans="1:9" ht="53.25" customHeight="1">
      <c r="A65" s="37"/>
      <c r="B65" s="22"/>
      <c r="C65" s="12">
        <v>4501</v>
      </c>
      <c r="D65" s="23" t="s">
        <v>330</v>
      </c>
      <c r="E65" s="29">
        <f>'SGTO POAI 2023 MARZO'!BF62+'SGTO POAI 2023 MARZO'!BF63</f>
        <v>7370276561.1399994</v>
      </c>
      <c r="F65" s="29">
        <f>'SGTO POAI 2023 MARZO'!BG62+'SGTO POAI 2023 MARZO'!BG63</f>
        <v>937566094.35000002</v>
      </c>
      <c r="G65" s="381">
        <f t="shared" si="29"/>
        <v>0.12720907914003457</v>
      </c>
      <c r="H65" s="29">
        <f>'SGTO POAI 2023 MARZO'!BH62+'SGTO POAI 2023 MARZO'!BH63</f>
        <v>81214735.849999994</v>
      </c>
      <c r="I65" s="381">
        <f t="shared" si="30"/>
        <v>1.1019225015002434E-2</v>
      </c>
    </row>
    <row r="66" spans="1:9" ht="24" customHeight="1">
      <c r="A66" s="98">
        <v>3</v>
      </c>
      <c r="B66" s="99" t="s">
        <v>1290</v>
      </c>
      <c r="C66" s="99"/>
      <c r="D66" s="99"/>
      <c r="E66" s="100">
        <f>E67+E69</f>
        <v>345389488</v>
      </c>
      <c r="F66" s="100">
        <f t="shared" ref="F66:H66" si="36">F67+F69</f>
        <v>161399488</v>
      </c>
      <c r="G66" s="381">
        <f t="shared" si="29"/>
        <v>0.46729704755808898</v>
      </c>
      <c r="H66" s="100">
        <f t="shared" si="36"/>
        <v>79600000</v>
      </c>
      <c r="I66" s="381">
        <f t="shared" si="30"/>
        <v>0.23046445466805868</v>
      </c>
    </row>
    <row r="67" spans="1:9" ht="24" customHeight="1">
      <c r="A67" s="13"/>
      <c r="B67" s="104">
        <v>32</v>
      </c>
      <c r="C67" s="105" t="s">
        <v>226</v>
      </c>
      <c r="D67" s="106"/>
      <c r="E67" s="107">
        <f>E68</f>
        <v>55000000</v>
      </c>
      <c r="F67" s="107">
        <f t="shared" ref="F67:H67" si="37">F68</f>
        <v>53655000</v>
      </c>
      <c r="G67" s="381">
        <f t="shared" si="29"/>
        <v>0.97554545454545449</v>
      </c>
      <c r="H67" s="107">
        <f t="shared" si="37"/>
        <v>31800000</v>
      </c>
      <c r="I67" s="381">
        <f t="shared" si="30"/>
        <v>0.57818181818181813</v>
      </c>
    </row>
    <row r="68" spans="1:9" ht="46.5" customHeight="1">
      <c r="A68" s="35"/>
      <c r="B68" s="22"/>
      <c r="C68" s="12">
        <v>3205</v>
      </c>
      <c r="D68" s="23" t="s">
        <v>227</v>
      </c>
      <c r="E68" s="29">
        <f>'SGTO POAI 2023 MARZO'!BF64</f>
        <v>55000000</v>
      </c>
      <c r="F68" s="29">
        <f>'SGTO POAI 2023 MARZO'!BG64</f>
        <v>53655000</v>
      </c>
      <c r="G68" s="381">
        <f t="shared" si="29"/>
        <v>0.97554545454545449</v>
      </c>
      <c r="H68" s="29">
        <f>'SGTO POAI 2023 MARZO'!BH64</f>
        <v>31800000</v>
      </c>
      <c r="I68" s="381">
        <f t="shared" si="30"/>
        <v>0.57818181818181813</v>
      </c>
    </row>
    <row r="69" spans="1:9" ht="24" customHeight="1">
      <c r="A69" s="40"/>
      <c r="B69" s="110">
        <v>45</v>
      </c>
      <c r="C69" s="105" t="s">
        <v>60</v>
      </c>
      <c r="D69" s="111"/>
      <c r="E69" s="107">
        <f>E70</f>
        <v>290389488</v>
      </c>
      <c r="F69" s="107">
        <f t="shared" ref="F69:H69" si="38">F70</f>
        <v>107744488</v>
      </c>
      <c r="G69" s="381">
        <f t="shared" si="29"/>
        <v>0.37103439501914753</v>
      </c>
      <c r="H69" s="107">
        <f t="shared" si="38"/>
        <v>47800000</v>
      </c>
      <c r="I69" s="381">
        <f t="shared" si="30"/>
        <v>0.16460650944775246</v>
      </c>
    </row>
    <row r="70" spans="1:9" ht="61.5" customHeight="1">
      <c r="A70" s="31"/>
      <c r="B70" s="22"/>
      <c r="C70" s="12">
        <v>4503</v>
      </c>
      <c r="D70" s="23" t="s">
        <v>1293</v>
      </c>
      <c r="E70" s="29">
        <f>'SGTO POAI 2023 MARZO'!BF65+'SGTO POAI 2023 MARZO'!BF66+'SGTO POAI 2023 MARZO'!BF67</f>
        <v>290389488</v>
      </c>
      <c r="F70" s="29">
        <f>'SGTO POAI 2023 MARZO'!BG65+'SGTO POAI 2023 MARZO'!BG66+'SGTO POAI 2023 MARZO'!BG67</f>
        <v>107744488</v>
      </c>
      <c r="G70" s="381">
        <f t="shared" si="29"/>
        <v>0.37103439501914753</v>
      </c>
      <c r="H70" s="29">
        <f>'SGTO POAI 2023 MARZO'!BH65+'SGTO POAI 2023 MARZO'!BH66+'SGTO POAI 2023 MARZO'!BH67</f>
        <v>47800000</v>
      </c>
      <c r="I70" s="381">
        <f t="shared" si="30"/>
        <v>0.16460650944775246</v>
      </c>
    </row>
    <row r="71" spans="1:9" ht="24" customHeight="1">
      <c r="A71" s="98">
        <v>4</v>
      </c>
      <c r="B71" s="99" t="s">
        <v>1280</v>
      </c>
      <c r="C71" s="99"/>
      <c r="D71" s="99"/>
      <c r="E71" s="100">
        <f>E72</f>
        <v>627000000</v>
      </c>
      <c r="F71" s="100">
        <f t="shared" ref="F71:H72" si="39">F72</f>
        <v>165477500</v>
      </c>
      <c r="G71" s="381">
        <f t="shared" si="29"/>
        <v>0.26391945773524722</v>
      </c>
      <c r="H71" s="100">
        <f t="shared" si="39"/>
        <v>61550000</v>
      </c>
      <c r="I71" s="381">
        <f t="shared" si="30"/>
        <v>9.8165869218500804E-2</v>
      </c>
    </row>
    <row r="72" spans="1:9" ht="24" customHeight="1">
      <c r="A72" s="13"/>
      <c r="B72" s="104">
        <v>45</v>
      </c>
      <c r="C72" s="105" t="s">
        <v>60</v>
      </c>
      <c r="D72" s="106"/>
      <c r="E72" s="107">
        <f>E73</f>
        <v>627000000</v>
      </c>
      <c r="F72" s="107">
        <f t="shared" si="39"/>
        <v>165477500</v>
      </c>
      <c r="G72" s="381">
        <f t="shared" si="29"/>
        <v>0.26391945773524722</v>
      </c>
      <c r="H72" s="107">
        <f t="shared" si="39"/>
        <v>61550000</v>
      </c>
      <c r="I72" s="381">
        <f t="shared" si="30"/>
        <v>9.8165869218500804E-2</v>
      </c>
    </row>
    <row r="73" spans="1:9" ht="71.25" customHeight="1">
      <c r="A73" s="31"/>
      <c r="B73" s="22"/>
      <c r="C73" s="12">
        <v>4502</v>
      </c>
      <c r="D73" s="23" t="s">
        <v>1281</v>
      </c>
      <c r="E73" s="21">
        <f>'SGTO POAI 2023 MARZO'!BF68+'SGTO POAI 2023 MARZO'!BF69+'SGTO POAI 2023 MARZO'!BF70+'SGTO POAI 2023 MARZO'!BF71+'SGTO POAI 2023 MARZO'!BF72</f>
        <v>627000000</v>
      </c>
      <c r="F73" s="21">
        <f>'SGTO POAI 2023 MARZO'!BG68+'SGTO POAI 2023 MARZO'!BG69+'SGTO POAI 2023 MARZO'!BG70+'SGTO POAI 2023 MARZO'!BG71+'SGTO POAI 2023 MARZO'!BG72</f>
        <v>165477500</v>
      </c>
      <c r="G73" s="381">
        <f t="shared" si="29"/>
        <v>0.26391945773524722</v>
      </c>
      <c r="H73" s="21">
        <f>'SGTO POAI 2023 MARZO'!BH68+'SGTO POAI 2023 MARZO'!BH69+'SGTO POAI 2023 MARZO'!BH70+'SGTO POAI 2023 MARZO'!BH71+'SGTO POAI 2023 MARZO'!BH72</f>
        <v>61550000</v>
      </c>
      <c r="I73" s="381">
        <f t="shared" si="30"/>
        <v>9.8165869218500804E-2</v>
      </c>
    </row>
    <row r="74" spans="1:9" s="39" customFormat="1">
      <c r="A74" s="5"/>
      <c r="B74" s="5"/>
      <c r="C74" s="5"/>
      <c r="D74" s="6"/>
      <c r="E74" s="38"/>
      <c r="F74" s="38"/>
      <c r="G74" s="38"/>
      <c r="H74" s="38"/>
    </row>
    <row r="75" spans="1:9" ht="24" customHeight="1">
      <c r="A75" s="56" t="s">
        <v>1294</v>
      </c>
      <c r="B75" s="62"/>
      <c r="C75" s="62"/>
      <c r="D75" s="63"/>
      <c r="E75" s="64">
        <f>E76</f>
        <v>3959930987.3400002</v>
      </c>
      <c r="F75" s="64">
        <f t="shared" ref="F75:H76" si="40">F76</f>
        <v>581014999.67000008</v>
      </c>
      <c r="G75" s="381">
        <f t="shared" ref="G75:G79" si="41">F75/E75</f>
        <v>0.14672351652781823</v>
      </c>
      <c r="H75" s="64">
        <f t="shared" si="40"/>
        <v>216539999.67000002</v>
      </c>
      <c r="I75" s="381">
        <f t="shared" ref="I75:I79" si="42">H75/E75</f>
        <v>5.4682771079163722E-2</v>
      </c>
    </row>
    <row r="76" spans="1:9" ht="24" customHeight="1">
      <c r="A76" s="98">
        <v>1</v>
      </c>
      <c r="B76" s="99" t="s">
        <v>1286</v>
      </c>
      <c r="C76" s="99"/>
      <c r="D76" s="99"/>
      <c r="E76" s="100">
        <f>E77</f>
        <v>3959930987.3400002</v>
      </c>
      <c r="F76" s="100">
        <f t="shared" si="40"/>
        <v>581014999.67000008</v>
      </c>
      <c r="G76" s="381">
        <f t="shared" si="41"/>
        <v>0.14672351652781823</v>
      </c>
      <c r="H76" s="100">
        <f t="shared" si="40"/>
        <v>216539999.67000002</v>
      </c>
      <c r="I76" s="381">
        <f t="shared" si="42"/>
        <v>5.4682771079163722E-2</v>
      </c>
    </row>
    <row r="77" spans="1:9" ht="24" customHeight="1">
      <c r="A77" s="13"/>
      <c r="B77" s="104">
        <v>33</v>
      </c>
      <c r="C77" s="114" t="s">
        <v>170</v>
      </c>
      <c r="D77" s="106"/>
      <c r="E77" s="107">
        <f>SUM(E78:E79)</f>
        <v>3959930987.3400002</v>
      </c>
      <c r="F77" s="107">
        <f t="shared" ref="F77:H77" si="43">SUM(F78:F79)</f>
        <v>581014999.67000008</v>
      </c>
      <c r="G77" s="381">
        <f t="shared" si="41"/>
        <v>0.14672351652781823</v>
      </c>
      <c r="H77" s="107">
        <f t="shared" si="43"/>
        <v>216539999.67000002</v>
      </c>
      <c r="I77" s="381">
        <f t="shared" si="42"/>
        <v>5.4682771079163722E-2</v>
      </c>
    </row>
    <row r="78" spans="1:9" ht="46.5" customHeight="1">
      <c r="A78" s="26"/>
      <c r="B78" s="27"/>
      <c r="C78" s="22">
        <v>3301</v>
      </c>
      <c r="D78" s="23" t="s">
        <v>171</v>
      </c>
      <c r="E78" s="29">
        <f>'SGTO POAI 2023 MARZO'!BF73+'SGTO POAI 2023 MARZO'!BF74+'SGTO POAI 2023 MARZO'!BF75+'SGTO POAI 2023 MARZO'!BF76+'SGTO POAI 2023 MARZO'!BF77+'SGTO POAI 2023 MARZO'!BF78+'SGTO POAI 2023 MARZO'!BF79+'SGTO POAI 2023 MARZO'!BF80</f>
        <v>3699212143.04</v>
      </c>
      <c r="F78" s="29">
        <f>'SGTO POAI 2023 MARZO'!BG73+'SGTO POAI 2023 MARZO'!BG74+'SGTO POAI 2023 MARZO'!BG75+'SGTO POAI 2023 MARZO'!BG76+'SGTO POAI 2023 MARZO'!BG77+'SGTO POAI 2023 MARZO'!BG78+'SGTO POAI 2023 MARZO'!BG79+'SGTO POAI 2023 MARZO'!BG80</f>
        <v>521104999.67000002</v>
      </c>
      <c r="G78" s="381">
        <f t="shared" si="41"/>
        <v>0.14086918498319961</v>
      </c>
      <c r="H78" s="29">
        <f>'SGTO POAI 2023 MARZO'!BH73+'SGTO POAI 2023 MARZO'!BH74+'SGTO POAI 2023 MARZO'!BH75+'SGTO POAI 2023 MARZO'!BH76+'SGTO POAI 2023 MARZO'!BH77+'SGTO POAI 2023 MARZO'!BH78+'SGTO POAI 2023 MARZO'!BH79+'SGTO POAI 2023 MARZO'!BH80</f>
        <v>189769999.67000002</v>
      </c>
      <c r="I78" s="381">
        <f t="shared" si="42"/>
        <v>5.1300112654271209E-2</v>
      </c>
    </row>
    <row r="79" spans="1:9" ht="51" customHeight="1">
      <c r="A79" s="30"/>
      <c r="B79" s="31"/>
      <c r="C79" s="22">
        <v>3302</v>
      </c>
      <c r="D79" s="23" t="s">
        <v>406</v>
      </c>
      <c r="E79" s="21">
        <f>'SGTO POAI 2023 MARZO'!BF81+'SGTO POAI 2023 MARZO'!BF82</f>
        <v>260718844.30000001</v>
      </c>
      <c r="F79" s="21">
        <f>'SGTO POAI 2023 MARZO'!BG81+'SGTO POAI 2023 MARZO'!BG82</f>
        <v>59910000</v>
      </c>
      <c r="G79" s="381">
        <f t="shared" si="41"/>
        <v>0.22978776298602976</v>
      </c>
      <c r="H79" s="21">
        <f>'SGTO POAI 2023 MARZO'!BH81+'SGTO POAI 2023 MARZO'!BH82</f>
        <v>26770000</v>
      </c>
      <c r="I79" s="381">
        <f t="shared" si="42"/>
        <v>0.102677656737373</v>
      </c>
    </row>
    <row r="80" spans="1:9" s="39" customFormat="1">
      <c r="A80" s="5"/>
      <c r="B80" s="5"/>
      <c r="C80" s="5"/>
      <c r="D80" s="6"/>
      <c r="E80" s="38"/>
      <c r="F80" s="38"/>
      <c r="G80" s="38"/>
      <c r="H80" s="38"/>
    </row>
    <row r="81" spans="1:9" ht="24" customHeight="1">
      <c r="A81" s="56" t="s">
        <v>1295</v>
      </c>
      <c r="B81" s="62"/>
      <c r="C81" s="62"/>
      <c r="D81" s="63"/>
      <c r="E81" s="64">
        <f>E82</f>
        <v>2740910173.9000001</v>
      </c>
      <c r="F81" s="64">
        <f t="shared" ref="F81:H81" si="44">F82</f>
        <v>981947000</v>
      </c>
      <c r="G81" s="381">
        <f t="shared" ref="G81:G86" si="45">F81/E81</f>
        <v>0.35825581201108914</v>
      </c>
      <c r="H81" s="64">
        <f t="shared" si="44"/>
        <v>356901999.00999999</v>
      </c>
      <c r="I81" s="381">
        <f t="shared" ref="I81:I86" si="46">H81/E81</f>
        <v>0.13021294984730181</v>
      </c>
    </row>
    <row r="82" spans="1:9" ht="24" customHeight="1">
      <c r="A82" s="98">
        <v>2</v>
      </c>
      <c r="B82" s="99" t="s">
        <v>1288</v>
      </c>
      <c r="C82" s="99"/>
      <c r="D82" s="99"/>
      <c r="E82" s="100">
        <f>E83+E85</f>
        <v>2740910173.9000001</v>
      </c>
      <c r="F82" s="100">
        <f t="shared" ref="F82:H82" si="47">F83+F85</f>
        <v>981947000</v>
      </c>
      <c r="G82" s="381">
        <f t="shared" si="45"/>
        <v>0.35825581201108914</v>
      </c>
      <c r="H82" s="100">
        <f t="shared" si="47"/>
        <v>356901999.00999999</v>
      </c>
      <c r="I82" s="381">
        <f t="shared" si="46"/>
        <v>0.13021294984730181</v>
      </c>
    </row>
    <row r="83" spans="1:9" ht="24" customHeight="1">
      <c r="A83" s="13"/>
      <c r="B83" s="104">
        <v>35</v>
      </c>
      <c r="C83" s="105" t="s">
        <v>417</v>
      </c>
      <c r="D83" s="106"/>
      <c r="E83" s="107">
        <f>E84</f>
        <v>2192305173.9000001</v>
      </c>
      <c r="F83" s="107">
        <f t="shared" ref="F83:H83" si="48">F84</f>
        <v>742342000</v>
      </c>
      <c r="G83" s="381">
        <f t="shared" si="45"/>
        <v>0.33861252933112918</v>
      </c>
      <c r="H83" s="107">
        <f t="shared" si="48"/>
        <v>340611999.00999999</v>
      </c>
      <c r="I83" s="381">
        <f t="shared" si="46"/>
        <v>0.15536705521889932</v>
      </c>
    </row>
    <row r="84" spans="1:9" ht="53.25" customHeight="1">
      <c r="A84" s="35"/>
      <c r="B84" s="22"/>
      <c r="C84" s="14">
        <v>3502</v>
      </c>
      <c r="D84" s="23" t="s">
        <v>1296</v>
      </c>
      <c r="E84" s="29">
        <f>'SGTO POAI 2023 MARZO'!BF83+'SGTO POAI 2023 MARZO'!BF84+'SGTO POAI 2023 MARZO'!BF85+'SGTO POAI 2023 MARZO'!BF86+'SGTO POAI 2023 MARZO'!BF87+'SGTO POAI 2023 MARZO'!BF88</f>
        <v>2192305173.9000001</v>
      </c>
      <c r="F84" s="29">
        <f>'SGTO POAI 2023 MARZO'!BG83+'SGTO POAI 2023 MARZO'!BG84+'SGTO POAI 2023 MARZO'!BG85+'SGTO POAI 2023 MARZO'!BG86+'SGTO POAI 2023 MARZO'!BG87+'SGTO POAI 2023 MARZO'!BG88</f>
        <v>742342000</v>
      </c>
      <c r="G84" s="381">
        <f t="shared" si="45"/>
        <v>0.33861252933112918</v>
      </c>
      <c r="H84" s="29">
        <f>'SGTO POAI 2023 MARZO'!BH83+'SGTO POAI 2023 MARZO'!BH84+'SGTO POAI 2023 MARZO'!BH85+'SGTO POAI 2023 MARZO'!BH86+'SGTO POAI 2023 MARZO'!BH87+'SGTO POAI 2023 MARZO'!BH88</f>
        <v>340611999.00999999</v>
      </c>
      <c r="I84" s="381">
        <f t="shared" si="46"/>
        <v>0.15536705521889932</v>
      </c>
    </row>
    <row r="85" spans="1:9" ht="24" customHeight="1">
      <c r="A85" s="40"/>
      <c r="B85" s="110">
        <v>36</v>
      </c>
      <c r="C85" s="112" t="s">
        <v>445</v>
      </c>
      <c r="D85" s="106"/>
      <c r="E85" s="107">
        <f>E86</f>
        <v>548605000</v>
      </c>
      <c r="F85" s="107">
        <f t="shared" ref="F85:H85" si="49">F86</f>
        <v>239605000</v>
      </c>
      <c r="G85" s="381">
        <f t="shared" si="45"/>
        <v>0.436753219529534</v>
      </c>
      <c r="H85" s="107">
        <f t="shared" si="49"/>
        <v>16290000</v>
      </c>
      <c r="I85" s="381">
        <f t="shared" si="46"/>
        <v>2.9693495319947867E-2</v>
      </c>
    </row>
    <row r="86" spans="1:9" ht="53.25" customHeight="1">
      <c r="A86" s="31"/>
      <c r="B86" s="22"/>
      <c r="C86" s="14">
        <v>3602</v>
      </c>
      <c r="D86" s="23" t="s">
        <v>446</v>
      </c>
      <c r="E86" s="29">
        <f>'SGTO POAI 2023 MARZO'!BF89+'SGTO POAI 2023 MARZO'!BF90+'SGTO POAI 2023 MARZO'!BF91+'SGTO POAI 2023 MARZO'!BF92+'SGTO POAI 2023 MARZO'!BF93</f>
        <v>548605000</v>
      </c>
      <c r="F86" s="29">
        <f>'SGTO POAI 2023 MARZO'!BG89+'SGTO POAI 2023 MARZO'!BG90+'SGTO POAI 2023 MARZO'!BG91+'SGTO POAI 2023 MARZO'!BG92+'SGTO POAI 2023 MARZO'!BG93</f>
        <v>239605000</v>
      </c>
      <c r="G86" s="381">
        <f t="shared" si="45"/>
        <v>0.436753219529534</v>
      </c>
      <c r="H86" s="29">
        <f>'SGTO POAI 2023 MARZO'!BH89+'SGTO POAI 2023 MARZO'!BH90+'SGTO POAI 2023 MARZO'!BH91+'SGTO POAI 2023 MARZO'!BH92+'SGTO POAI 2023 MARZO'!BH93</f>
        <v>16290000</v>
      </c>
      <c r="I86" s="381">
        <f t="shared" si="46"/>
        <v>2.9693495319947867E-2</v>
      </c>
    </row>
    <row r="87" spans="1:9" s="39" customFormat="1">
      <c r="A87" s="5"/>
      <c r="B87" s="5"/>
      <c r="C87" s="5"/>
      <c r="D87" s="6"/>
      <c r="E87" s="38"/>
      <c r="F87" s="38"/>
      <c r="G87" s="38"/>
      <c r="H87" s="38"/>
    </row>
    <row r="88" spans="1:9" ht="24" customHeight="1">
      <c r="A88" s="56" t="s">
        <v>1297</v>
      </c>
      <c r="B88" s="62"/>
      <c r="C88" s="62"/>
      <c r="D88" s="63"/>
      <c r="E88" s="64">
        <f>E89+E100</f>
        <v>4551806900</v>
      </c>
      <c r="F88" s="64">
        <f t="shared" ref="F88:H88" si="50">F89+F100</f>
        <v>590241617</v>
      </c>
      <c r="G88" s="381">
        <f t="shared" ref="G88:G106" si="51">F88/E88</f>
        <v>0.12967193687412354</v>
      </c>
      <c r="H88" s="64">
        <f t="shared" si="50"/>
        <v>203196666</v>
      </c>
      <c r="I88" s="381">
        <f t="shared" ref="I88:I106" si="52">H88/E88</f>
        <v>4.4640880086543211E-2</v>
      </c>
    </row>
    <row r="89" spans="1:9" ht="24" customHeight="1">
      <c r="A89" s="98">
        <v>2</v>
      </c>
      <c r="B89" s="99" t="s">
        <v>1288</v>
      </c>
      <c r="C89" s="99"/>
      <c r="D89" s="99"/>
      <c r="E89" s="100">
        <f>E90+E98</f>
        <v>1487814248</v>
      </c>
      <c r="F89" s="100">
        <f t="shared" ref="F89:H89" si="53">F90+F98</f>
        <v>342341617</v>
      </c>
      <c r="G89" s="381">
        <f t="shared" si="51"/>
        <v>0.2300970147719677</v>
      </c>
      <c r="H89" s="100">
        <f t="shared" si="53"/>
        <v>128296666</v>
      </c>
      <c r="I89" s="381">
        <f t="shared" si="52"/>
        <v>8.6231642271515599E-2</v>
      </c>
    </row>
    <row r="90" spans="1:9" ht="24" customHeight="1">
      <c r="A90" s="13"/>
      <c r="B90" s="104">
        <v>17</v>
      </c>
      <c r="C90" s="105" t="s">
        <v>200</v>
      </c>
      <c r="D90" s="106"/>
      <c r="E90" s="107">
        <f>SUM(E91:E97)</f>
        <v>1451814248</v>
      </c>
      <c r="F90" s="107">
        <f t="shared" ref="F90:H90" si="54">SUM(F91:F97)</f>
        <v>306541617</v>
      </c>
      <c r="G90" s="381">
        <f t="shared" si="51"/>
        <v>0.21114382740236062</v>
      </c>
      <c r="H90" s="107">
        <f t="shared" si="54"/>
        <v>125096666</v>
      </c>
      <c r="I90" s="381">
        <f t="shared" si="52"/>
        <v>8.616575169470303E-2</v>
      </c>
    </row>
    <row r="91" spans="1:9" ht="57.75" customHeight="1">
      <c r="A91" s="35"/>
      <c r="B91" s="36"/>
      <c r="C91" s="22">
        <v>1702</v>
      </c>
      <c r="D91" s="23" t="s">
        <v>463</v>
      </c>
      <c r="E91" s="29">
        <f>SUM('SGTO POAI 2023 MARZO'!AT94:AT104)</f>
        <v>1039929712</v>
      </c>
      <c r="F91" s="29">
        <f>SUM('SGTO POAI 2023 MARZO'!AU94:AU104)</f>
        <v>199646666</v>
      </c>
      <c r="G91" s="381">
        <f t="shared" si="51"/>
        <v>0.19198092303376749</v>
      </c>
      <c r="H91" s="29">
        <f>SUM('SGTO POAI 2023 MARZO'!AV94:AV104)</f>
        <v>96096666</v>
      </c>
      <c r="I91" s="381">
        <f t="shared" si="52"/>
        <v>9.2406885668442171E-2</v>
      </c>
    </row>
    <row r="92" spans="1:9" ht="54" customHeight="1">
      <c r="A92" s="35"/>
      <c r="B92" s="42"/>
      <c r="C92" s="22">
        <v>1703</v>
      </c>
      <c r="D92" s="23" t="s">
        <v>506</v>
      </c>
      <c r="E92" s="29">
        <f>'SGTO POAI 2023 MARZO'!BF105</f>
        <v>36307909</v>
      </c>
      <c r="F92" s="29">
        <f>'SGTO POAI 2023 MARZO'!BG105</f>
        <v>6400000</v>
      </c>
      <c r="G92" s="381">
        <f t="shared" si="51"/>
        <v>0.17627013442167655</v>
      </c>
      <c r="H92" s="29">
        <f>'SGTO POAI 2023 MARZO'!BH105</f>
        <v>0</v>
      </c>
      <c r="I92" s="381">
        <f t="shared" si="52"/>
        <v>0</v>
      </c>
    </row>
    <row r="93" spans="1:9" ht="62.25" customHeight="1">
      <c r="A93" s="35"/>
      <c r="B93" s="42"/>
      <c r="C93" s="22">
        <v>1704</v>
      </c>
      <c r="D93" s="23" t="s">
        <v>513</v>
      </c>
      <c r="E93" s="29">
        <f>'SGTO POAI 2023 MARZO'!BF106+'SGTO POAI 2023 MARZO'!BF107</f>
        <v>97000000</v>
      </c>
      <c r="F93" s="29">
        <f>'SGTO POAI 2023 MARZO'!BG106+'SGTO POAI 2023 MARZO'!BG107</f>
        <v>30300000</v>
      </c>
      <c r="G93" s="381">
        <f t="shared" si="51"/>
        <v>0.31237113402061856</v>
      </c>
      <c r="H93" s="29">
        <f>'SGTO POAI 2023 MARZO'!BH106+'SGTO POAI 2023 MARZO'!BH107</f>
        <v>17800000</v>
      </c>
      <c r="I93" s="381">
        <f t="shared" si="52"/>
        <v>0.18350515463917524</v>
      </c>
    </row>
    <row r="94" spans="1:9" ht="42" customHeight="1">
      <c r="A94" s="35"/>
      <c r="B94" s="42"/>
      <c r="C94" s="22">
        <v>1706</v>
      </c>
      <c r="D94" s="23" t="s">
        <v>522</v>
      </c>
      <c r="E94" s="29">
        <f>'SGTO POAI 2023 MARZO'!BF108</f>
        <v>20000000</v>
      </c>
      <c r="F94" s="29">
        <f>'SGTO POAI 2023 MARZO'!BG108</f>
        <v>0</v>
      </c>
      <c r="G94" s="381">
        <f t="shared" si="51"/>
        <v>0</v>
      </c>
      <c r="H94" s="29">
        <f>'SGTO POAI 2023 MARZO'!BH108</f>
        <v>0</v>
      </c>
      <c r="I94" s="381">
        <f t="shared" si="52"/>
        <v>0</v>
      </c>
    </row>
    <row r="95" spans="1:9" ht="57" customHeight="1">
      <c r="A95" s="35"/>
      <c r="B95" s="42"/>
      <c r="C95" s="22">
        <v>1707</v>
      </c>
      <c r="D95" s="23" t="s">
        <v>529</v>
      </c>
      <c r="E95" s="29">
        <f>'SGTO POAI 2023 MARZO'!BF109</f>
        <v>59900000</v>
      </c>
      <c r="F95" s="29">
        <f>'SGTO POAI 2023 MARZO'!BG109</f>
        <v>20150000</v>
      </c>
      <c r="G95" s="381">
        <f t="shared" si="51"/>
        <v>0.3363939899833055</v>
      </c>
      <c r="H95" s="29">
        <f>'SGTO POAI 2023 MARZO'!BH109</f>
        <v>6400000</v>
      </c>
      <c r="I95" s="381">
        <f t="shared" si="52"/>
        <v>0.10684474123539232</v>
      </c>
    </row>
    <row r="96" spans="1:9" ht="60.75" customHeight="1">
      <c r="A96" s="35"/>
      <c r="B96" s="42"/>
      <c r="C96" s="22">
        <v>1708</v>
      </c>
      <c r="D96" s="23" t="s">
        <v>536</v>
      </c>
      <c r="E96" s="29">
        <f>'SGTO POAI 2023 MARZO'!BF110+'SGTO POAI 2023 MARZO'!BF111</f>
        <v>56000000</v>
      </c>
      <c r="F96" s="29">
        <f>'SGTO POAI 2023 MARZO'!BG110+'SGTO POAI 2023 MARZO'!BG111</f>
        <v>18850000</v>
      </c>
      <c r="G96" s="381">
        <f t="shared" si="51"/>
        <v>0.33660714285714288</v>
      </c>
      <c r="H96" s="29">
        <f>'SGTO POAI 2023 MARZO'!BH110+'SGTO POAI 2023 MARZO'!BH111</f>
        <v>4800000</v>
      </c>
      <c r="I96" s="381">
        <f t="shared" si="52"/>
        <v>8.5714285714285715E-2</v>
      </c>
    </row>
    <row r="97" spans="1:9" ht="42" customHeight="1">
      <c r="A97" s="35"/>
      <c r="B97" s="37"/>
      <c r="C97" s="22">
        <v>1709</v>
      </c>
      <c r="D97" s="23" t="s">
        <v>201</v>
      </c>
      <c r="E97" s="29">
        <f>'SGTO POAI 2023 MARZO'!BF112+'SGTO POAI 2023 MARZO'!BF113+'SGTO POAI 2023 MARZO'!BF114</f>
        <v>142676627</v>
      </c>
      <c r="F97" s="29">
        <f>'SGTO POAI 2023 MARZO'!BG112+'SGTO POAI 2023 MARZO'!BG113+'SGTO POAI 2023 MARZO'!BG114</f>
        <v>31194951</v>
      </c>
      <c r="G97" s="381">
        <f t="shared" si="51"/>
        <v>0.21864093408936561</v>
      </c>
      <c r="H97" s="29">
        <f>'SGTO POAI 2023 MARZO'!BH112+'SGTO POAI 2023 MARZO'!BH113+'SGTO POAI 2023 MARZO'!BH114</f>
        <v>0</v>
      </c>
      <c r="I97" s="381">
        <f t="shared" si="52"/>
        <v>0</v>
      </c>
    </row>
    <row r="98" spans="1:9" ht="24" customHeight="1">
      <c r="A98" s="40"/>
      <c r="B98" s="115">
        <v>35</v>
      </c>
      <c r="C98" s="105" t="s">
        <v>417</v>
      </c>
      <c r="D98" s="111"/>
      <c r="E98" s="107">
        <f>E99</f>
        <v>36000000</v>
      </c>
      <c r="F98" s="107">
        <f t="shared" ref="F98:H98" si="55">F99</f>
        <v>35800000</v>
      </c>
      <c r="G98" s="381">
        <f t="shared" si="51"/>
        <v>0.99444444444444446</v>
      </c>
      <c r="H98" s="107">
        <f t="shared" si="55"/>
        <v>3200000</v>
      </c>
      <c r="I98" s="381">
        <f t="shared" si="52"/>
        <v>8.8888888888888892E-2</v>
      </c>
    </row>
    <row r="99" spans="1:9" ht="73.5" customHeight="1">
      <c r="A99" s="31"/>
      <c r="B99" s="22"/>
      <c r="C99" s="12">
        <v>3502</v>
      </c>
      <c r="D99" s="23" t="s">
        <v>1296</v>
      </c>
      <c r="E99" s="29">
        <f>'SGTO POAI 2023 MARZO'!BF115+'SGTO POAI 2023 MARZO'!BF116</f>
        <v>36000000</v>
      </c>
      <c r="F99" s="29">
        <f>'SGTO POAI 2023 MARZO'!BG115+'SGTO POAI 2023 MARZO'!BG116</f>
        <v>35800000</v>
      </c>
      <c r="G99" s="381">
        <f t="shared" si="51"/>
        <v>0.99444444444444446</v>
      </c>
      <c r="H99" s="29">
        <f>'SGTO POAI 2023 MARZO'!BH115+'SGTO POAI 2023 MARZO'!BH116</f>
        <v>3200000</v>
      </c>
      <c r="I99" s="381">
        <f t="shared" si="52"/>
        <v>8.8888888888888892E-2</v>
      </c>
    </row>
    <row r="100" spans="1:9" ht="24" customHeight="1">
      <c r="A100" s="98">
        <v>3</v>
      </c>
      <c r="B100" s="99" t="s">
        <v>1290</v>
      </c>
      <c r="C100" s="99"/>
      <c r="D100" s="99"/>
      <c r="E100" s="100">
        <f>E101</f>
        <v>3063992652</v>
      </c>
      <c r="F100" s="100">
        <f t="shared" ref="F100:H100" si="56">F101</f>
        <v>247900000</v>
      </c>
      <c r="G100" s="381">
        <f t="shared" si="51"/>
        <v>8.0907504735099472E-2</v>
      </c>
      <c r="H100" s="100">
        <f t="shared" si="56"/>
        <v>74900000</v>
      </c>
      <c r="I100" s="381">
        <f t="shared" si="52"/>
        <v>2.444522833666378E-2</v>
      </c>
    </row>
    <row r="101" spans="1:9" ht="24" customHeight="1">
      <c r="A101" s="13"/>
      <c r="B101" s="104">
        <v>32</v>
      </c>
      <c r="C101" s="105" t="s">
        <v>226</v>
      </c>
      <c r="D101" s="106"/>
      <c r="E101" s="107">
        <f>SUM(E102:E106)</f>
        <v>3063992652</v>
      </c>
      <c r="F101" s="107">
        <f t="shared" ref="F101:H101" si="57">SUM(F102:F106)</f>
        <v>247900000</v>
      </c>
      <c r="G101" s="381">
        <f t="shared" si="51"/>
        <v>8.0907504735099472E-2</v>
      </c>
      <c r="H101" s="107">
        <f t="shared" si="57"/>
        <v>74900000</v>
      </c>
      <c r="I101" s="381">
        <f t="shared" si="52"/>
        <v>2.444522833666378E-2</v>
      </c>
    </row>
    <row r="102" spans="1:9" ht="52.5" customHeight="1">
      <c r="A102" s="26"/>
      <c r="B102" s="27"/>
      <c r="C102" s="22" t="s">
        <v>560</v>
      </c>
      <c r="D102" s="23" t="s">
        <v>561</v>
      </c>
      <c r="E102" s="29">
        <f>'SGTO POAI 2023 MARZO'!BF117+'SGTO POAI 2023 MARZO'!BF118</f>
        <v>162600000</v>
      </c>
      <c r="F102" s="29">
        <f>'SGTO POAI 2023 MARZO'!BG117+'SGTO POAI 2023 MARZO'!BG118</f>
        <v>16100000</v>
      </c>
      <c r="G102" s="381">
        <f t="shared" si="51"/>
        <v>9.9015990159901604E-2</v>
      </c>
      <c r="H102" s="29">
        <f>'SGTO POAI 2023 MARZO'!BH117+'SGTO POAI 2023 MARZO'!BH118</f>
        <v>8100000</v>
      </c>
      <c r="I102" s="381">
        <f t="shared" si="52"/>
        <v>4.9815498154981548E-2</v>
      </c>
    </row>
    <row r="103" spans="1:9" ht="52.5" customHeight="1">
      <c r="A103" s="26"/>
      <c r="B103" s="35"/>
      <c r="C103" s="22">
        <v>3202</v>
      </c>
      <c r="D103" s="23" t="s">
        <v>571</v>
      </c>
      <c r="E103" s="29">
        <f>SUM('SGTO POAI 2023 MARZO'!AT119:AT123)</f>
        <v>2525892652</v>
      </c>
      <c r="F103" s="29">
        <f>SUM('SGTO POAI 2023 MARZO'!AU119:AU123)</f>
        <v>200250000</v>
      </c>
      <c r="G103" s="381">
        <f t="shared" si="51"/>
        <v>7.9278903575511095E-2</v>
      </c>
      <c r="H103" s="29">
        <f>SUM('SGTO POAI 2023 MARZO'!AV119:AV123)</f>
        <v>56400000</v>
      </c>
      <c r="I103" s="381">
        <f t="shared" si="52"/>
        <v>2.2328739883439828E-2</v>
      </c>
    </row>
    <row r="104" spans="1:9" ht="52.5" customHeight="1">
      <c r="A104" s="26"/>
      <c r="B104" s="35"/>
      <c r="C104" s="22" t="s">
        <v>596</v>
      </c>
      <c r="D104" s="23" t="s">
        <v>597</v>
      </c>
      <c r="E104" s="29">
        <f>'SGTO POAI 2023 MARZO'!BF124</f>
        <v>168000000</v>
      </c>
      <c r="F104" s="29">
        <f>'SGTO POAI 2023 MARZO'!BG124</f>
        <v>16900000</v>
      </c>
      <c r="G104" s="381">
        <f t="shared" si="51"/>
        <v>0.1005952380952381</v>
      </c>
      <c r="H104" s="29">
        <f>'SGTO POAI 2023 MARZO'!BH124</f>
        <v>7200000</v>
      </c>
      <c r="I104" s="381">
        <f t="shared" si="52"/>
        <v>4.2857142857142858E-2</v>
      </c>
    </row>
    <row r="105" spans="1:9" ht="52.5" customHeight="1">
      <c r="A105" s="26"/>
      <c r="B105" s="35"/>
      <c r="C105" s="22">
        <v>3205</v>
      </c>
      <c r="D105" s="23" t="s">
        <v>227</v>
      </c>
      <c r="E105" s="29">
        <f>SUM('SGTO POAI 2023 MARZO'!AT125:AT127)</f>
        <v>82000000</v>
      </c>
      <c r="F105" s="29">
        <f>SUM('SGTO POAI 2023 MARZO'!AU125:AU127)</f>
        <v>2450000</v>
      </c>
      <c r="G105" s="381">
        <f t="shared" si="51"/>
        <v>2.9878048780487804E-2</v>
      </c>
      <c r="H105" s="29">
        <f>SUM('SGTO POAI 2023 MARZO'!AV125:AV127)</f>
        <v>0</v>
      </c>
      <c r="I105" s="381">
        <f t="shared" si="52"/>
        <v>0</v>
      </c>
    </row>
    <row r="106" spans="1:9" ht="52.5" customHeight="1">
      <c r="A106" s="30"/>
      <c r="B106" s="31"/>
      <c r="C106" s="22" t="s">
        <v>614</v>
      </c>
      <c r="D106" s="23" t="s">
        <v>615</v>
      </c>
      <c r="E106" s="29">
        <f>SUM('SGTO POAI 2023 MARZO'!AT128:AT130)</f>
        <v>125500000</v>
      </c>
      <c r="F106" s="29">
        <f>SUM('SGTO POAI 2023 MARZO'!AU128:AU130)</f>
        <v>12200000</v>
      </c>
      <c r="G106" s="381">
        <f t="shared" si="51"/>
        <v>9.7211155378486055E-2</v>
      </c>
      <c r="H106" s="29">
        <f>SUM('SGTO POAI 2023 MARZO'!AV128:AV130)</f>
        <v>3200000</v>
      </c>
      <c r="I106" s="381">
        <f t="shared" si="52"/>
        <v>2.5498007968127491E-2</v>
      </c>
    </row>
    <row r="107" spans="1:9" s="39" customFormat="1">
      <c r="A107" s="5"/>
      <c r="B107" s="5"/>
      <c r="C107" s="5"/>
      <c r="D107" s="6"/>
      <c r="E107" s="38"/>
      <c r="F107" s="38"/>
      <c r="G107" s="38"/>
      <c r="H107" s="38"/>
    </row>
    <row r="108" spans="1:9" ht="24" customHeight="1">
      <c r="A108" s="122" t="s">
        <v>1420</v>
      </c>
      <c r="B108" s="123"/>
      <c r="C108" s="123"/>
      <c r="D108" s="124"/>
      <c r="E108" s="64">
        <f>E109</f>
        <v>3343243430</v>
      </c>
      <c r="F108" s="64">
        <f t="shared" ref="F108:H109" si="58">F109</f>
        <v>1018928000</v>
      </c>
      <c r="G108" s="381">
        <f t="shared" ref="G108:G112" si="59">F108/E108</f>
        <v>0.30477230310447362</v>
      </c>
      <c r="H108" s="64">
        <f t="shared" si="58"/>
        <v>235130000</v>
      </c>
      <c r="I108" s="381">
        <f t="shared" ref="I108:I112" si="60">H108/E108</f>
        <v>7.0329907146486195E-2</v>
      </c>
    </row>
    <row r="109" spans="1:9" ht="24" customHeight="1">
      <c r="A109" s="98">
        <v>4</v>
      </c>
      <c r="B109" s="99" t="s">
        <v>1280</v>
      </c>
      <c r="C109" s="99"/>
      <c r="D109" s="99"/>
      <c r="E109" s="100">
        <f>E110</f>
        <v>3343243430</v>
      </c>
      <c r="F109" s="100">
        <f t="shared" si="58"/>
        <v>1018928000</v>
      </c>
      <c r="G109" s="381">
        <f t="shared" si="59"/>
        <v>0.30477230310447362</v>
      </c>
      <c r="H109" s="100">
        <f t="shared" si="58"/>
        <v>235130000</v>
      </c>
      <c r="I109" s="381">
        <f t="shared" si="60"/>
        <v>7.0329907146486195E-2</v>
      </c>
    </row>
    <row r="110" spans="1:9" ht="24" customHeight="1">
      <c r="A110" s="13"/>
      <c r="B110" s="104">
        <v>45</v>
      </c>
      <c r="C110" s="105" t="s">
        <v>60</v>
      </c>
      <c r="D110" s="106"/>
      <c r="E110" s="107">
        <f>SUM(E111:E112)</f>
        <v>3343243430</v>
      </c>
      <c r="F110" s="107">
        <f t="shared" ref="F110:H110" si="61">SUM(F111:F112)</f>
        <v>1018928000</v>
      </c>
      <c r="G110" s="381">
        <f t="shared" si="59"/>
        <v>0.30477230310447362</v>
      </c>
      <c r="H110" s="107">
        <f t="shared" si="61"/>
        <v>235130000</v>
      </c>
      <c r="I110" s="381">
        <f t="shared" si="60"/>
        <v>7.0329907146486195E-2</v>
      </c>
    </row>
    <row r="111" spans="1:9" s="18" customFormat="1" ht="74.25" customHeight="1">
      <c r="A111" s="26"/>
      <c r="B111" s="27"/>
      <c r="C111" s="22">
        <v>4502</v>
      </c>
      <c r="D111" s="23" t="s">
        <v>1281</v>
      </c>
      <c r="E111" s="29">
        <f>'SGTO POAI 2023 MARZO'!BF133</f>
        <v>490000000</v>
      </c>
      <c r="F111" s="29">
        <f>'SGTO POAI 2023 MARZO'!BG133</f>
        <v>174381570</v>
      </c>
      <c r="G111" s="381">
        <f t="shared" si="59"/>
        <v>0.35588075510204081</v>
      </c>
      <c r="H111" s="29">
        <f>'SGTO POAI 2023 MARZO'!BH133</f>
        <v>51250000</v>
      </c>
      <c r="I111" s="381">
        <f t="shared" si="60"/>
        <v>0.10459183673469388</v>
      </c>
    </row>
    <row r="112" spans="1:9" ht="67.5" customHeight="1">
      <c r="A112" s="30"/>
      <c r="B112" s="31"/>
      <c r="C112" s="22">
        <v>4599</v>
      </c>
      <c r="D112" s="23" t="s">
        <v>1298</v>
      </c>
      <c r="E112" s="21">
        <f>'SGTO POAI 2023 MARZO'!AT131+'SGTO POAI 2023 MARZO'!AT132+'SGTO POAI 2023 MARZO'!AT134</f>
        <v>2853243430</v>
      </c>
      <c r="F112" s="21">
        <f>'SGTO POAI 2023 MARZO'!AU131+'SGTO POAI 2023 MARZO'!AU132+'SGTO POAI 2023 MARZO'!AU134</f>
        <v>844546430</v>
      </c>
      <c r="G112" s="381">
        <f t="shared" si="59"/>
        <v>0.29599522463458366</v>
      </c>
      <c r="H112" s="21">
        <f>'SGTO POAI 2023 MARZO'!AV131+'SGTO POAI 2023 MARZO'!AV132+'SGTO POAI 2023 MARZO'!AV134</f>
        <v>183880000</v>
      </c>
      <c r="I112" s="381">
        <f t="shared" si="60"/>
        <v>6.4445955808264135E-2</v>
      </c>
    </row>
    <row r="113" spans="1:9" s="39" customFormat="1">
      <c r="A113" s="5"/>
      <c r="B113" s="57"/>
      <c r="C113" s="58"/>
      <c r="D113" s="59"/>
      <c r="E113" s="60"/>
      <c r="F113" s="60"/>
      <c r="G113" s="60"/>
      <c r="H113" s="60"/>
    </row>
    <row r="114" spans="1:9" ht="24" customHeight="1">
      <c r="A114" s="56" t="s">
        <v>1299</v>
      </c>
      <c r="B114" s="62"/>
      <c r="C114" s="62"/>
      <c r="D114" s="63"/>
      <c r="E114" s="64">
        <f>E115+E119</f>
        <v>213645814849.25</v>
      </c>
      <c r="F114" s="64">
        <f t="shared" ref="F114:H114" si="62">F115+F119</f>
        <v>58593949470.360001</v>
      </c>
      <c r="G114" s="381">
        <f t="shared" ref="G114:G121" si="63">F114/E114</f>
        <v>0.27425741764098821</v>
      </c>
      <c r="H114" s="64">
        <f t="shared" si="62"/>
        <v>40947479903.300003</v>
      </c>
      <c r="I114" s="381">
        <f t="shared" ref="I114:I121" si="64">H114/E114</f>
        <v>0.19166057585632013</v>
      </c>
    </row>
    <row r="115" spans="1:9" ht="24" customHeight="1">
      <c r="A115" s="98">
        <v>1</v>
      </c>
      <c r="B115" s="99" t="s">
        <v>1286</v>
      </c>
      <c r="C115" s="99"/>
      <c r="D115" s="99"/>
      <c r="E115" s="100">
        <f>E116</f>
        <v>213613300171.25</v>
      </c>
      <c r="F115" s="100">
        <f t="shared" ref="F115:H115" si="65">F116</f>
        <v>58593949470.360001</v>
      </c>
      <c r="G115" s="381">
        <f t="shared" si="63"/>
        <v>0.27429916312975955</v>
      </c>
      <c r="H115" s="100">
        <f t="shared" si="65"/>
        <v>40947479903.300003</v>
      </c>
      <c r="I115" s="381">
        <f t="shared" si="64"/>
        <v>0.19168974904873964</v>
      </c>
    </row>
    <row r="116" spans="1:9" ht="24" customHeight="1">
      <c r="A116" s="13"/>
      <c r="B116" s="104">
        <v>22</v>
      </c>
      <c r="C116" s="105" t="s">
        <v>160</v>
      </c>
      <c r="D116" s="106"/>
      <c r="E116" s="107">
        <f>SUM(E117:E118)</f>
        <v>213613300171.25</v>
      </c>
      <c r="F116" s="107">
        <f t="shared" ref="F116:H116" si="66">SUM(F117:F118)</f>
        <v>58593949470.360001</v>
      </c>
      <c r="G116" s="381">
        <f t="shared" si="63"/>
        <v>0.27429916312975955</v>
      </c>
      <c r="H116" s="107">
        <f t="shared" si="66"/>
        <v>40947479903.300003</v>
      </c>
      <c r="I116" s="381">
        <f t="shared" si="64"/>
        <v>0.19168974904873964</v>
      </c>
    </row>
    <row r="117" spans="1:9" ht="70.5" customHeight="1">
      <c r="A117" s="35"/>
      <c r="B117" s="36"/>
      <c r="C117" s="28">
        <v>2201</v>
      </c>
      <c r="D117" s="23" t="s">
        <v>297</v>
      </c>
      <c r="E117" s="21">
        <f>SUM('SGTO POAI 2023 MARZO'!BF135:BF168)</f>
        <v>213443300171.25</v>
      </c>
      <c r="F117" s="21">
        <f>SUM('SGTO POAI 2023 MARZO'!BG135:BG168)</f>
        <v>58533751861.360001</v>
      </c>
      <c r="G117" s="381">
        <f t="shared" si="63"/>
        <v>0.27423560174714856</v>
      </c>
      <c r="H117" s="21">
        <f>SUM('SGTO POAI 2023 MARZO'!BH135:BH168)</f>
        <v>40887282294.300003</v>
      </c>
      <c r="I117" s="381">
        <f t="shared" si="64"/>
        <v>0.19156039220483981</v>
      </c>
    </row>
    <row r="118" spans="1:9" ht="55.5" customHeight="1">
      <c r="A118" s="31"/>
      <c r="B118" s="37"/>
      <c r="C118" s="22">
        <v>2202</v>
      </c>
      <c r="D118" s="23" t="s">
        <v>1300</v>
      </c>
      <c r="E118" s="29">
        <f>'SGTO POAI 2023 MARZO'!BF169</f>
        <v>170000000</v>
      </c>
      <c r="F118" s="29">
        <f>'SGTO POAI 2023 MARZO'!BG169</f>
        <v>60197609</v>
      </c>
      <c r="G118" s="381">
        <f t="shared" si="63"/>
        <v>0.3541035823529412</v>
      </c>
      <c r="H118" s="29">
        <f>'SGTO POAI 2023 MARZO'!BH169</f>
        <v>60197609</v>
      </c>
      <c r="I118" s="381">
        <f t="shared" si="64"/>
        <v>0.3541035823529412</v>
      </c>
    </row>
    <row r="119" spans="1:9" ht="24" customHeight="1">
      <c r="A119" s="98">
        <v>2</v>
      </c>
      <c r="B119" s="99" t="s">
        <v>1288</v>
      </c>
      <c r="C119" s="99"/>
      <c r="D119" s="99"/>
      <c r="E119" s="100">
        <f>E120</f>
        <v>32514678</v>
      </c>
      <c r="F119" s="100">
        <f t="shared" ref="F119:H120" si="67">F120</f>
        <v>0</v>
      </c>
      <c r="G119" s="381">
        <f t="shared" si="63"/>
        <v>0</v>
      </c>
      <c r="H119" s="100">
        <f t="shared" si="67"/>
        <v>0</v>
      </c>
      <c r="I119" s="381">
        <f t="shared" si="64"/>
        <v>0</v>
      </c>
    </row>
    <row r="120" spans="1:9" ht="24" customHeight="1">
      <c r="A120" s="13"/>
      <c r="B120" s="104">
        <v>39</v>
      </c>
      <c r="C120" s="105" t="s">
        <v>745</v>
      </c>
      <c r="D120" s="106"/>
      <c r="E120" s="107">
        <f>E121</f>
        <v>32514678</v>
      </c>
      <c r="F120" s="107">
        <f t="shared" si="67"/>
        <v>0</v>
      </c>
      <c r="G120" s="381">
        <f t="shared" si="63"/>
        <v>0</v>
      </c>
      <c r="H120" s="107">
        <f t="shared" si="67"/>
        <v>0</v>
      </c>
      <c r="I120" s="381">
        <f t="shared" si="64"/>
        <v>0</v>
      </c>
    </row>
    <row r="121" spans="1:9" ht="39.75" customHeight="1">
      <c r="A121" s="31"/>
      <c r="B121" s="22"/>
      <c r="C121" s="12">
        <v>3904</v>
      </c>
      <c r="D121" s="23" t="s">
        <v>1178</v>
      </c>
      <c r="E121" s="29">
        <f>'SGTO POAI 2023 MARZO'!BF170</f>
        <v>32514678</v>
      </c>
      <c r="F121" s="29">
        <f>'SGTO POAI 2023 MARZO'!BG170</f>
        <v>0</v>
      </c>
      <c r="G121" s="381">
        <f t="shared" si="63"/>
        <v>0</v>
      </c>
      <c r="H121" s="29">
        <f>'SGTO POAI 2023 MARZO'!BH170</f>
        <v>0</v>
      </c>
      <c r="I121" s="381">
        <f t="shared" si="64"/>
        <v>0</v>
      </c>
    </row>
    <row r="122" spans="1:9" s="39" customFormat="1">
      <c r="A122" s="5"/>
      <c r="B122" s="5"/>
      <c r="C122" s="5"/>
      <c r="D122" s="6"/>
      <c r="E122" s="38"/>
      <c r="F122" s="38"/>
      <c r="G122" s="38"/>
      <c r="H122" s="38"/>
    </row>
    <row r="123" spans="1:9" s="39" customFormat="1" ht="24" customHeight="1">
      <c r="A123" s="56" t="s">
        <v>1301</v>
      </c>
      <c r="B123" s="125"/>
      <c r="C123" s="123"/>
      <c r="D123" s="124"/>
      <c r="E123" s="64">
        <f>E124+E133+E138</f>
        <v>7537461518.4300003</v>
      </c>
      <c r="F123" s="64">
        <f t="shared" ref="F123:H123" si="68">F124+F133+F138</f>
        <v>1710985106.4300001</v>
      </c>
      <c r="G123" s="381">
        <f t="shared" ref="G123:G140" si="69">F123/E123</f>
        <v>0.22699752459716518</v>
      </c>
      <c r="H123" s="64">
        <f t="shared" si="68"/>
        <v>1241735106.4300001</v>
      </c>
      <c r="I123" s="381">
        <f t="shared" ref="I123:I140" si="70">H123/E123</f>
        <v>0.16474181704195881</v>
      </c>
    </row>
    <row r="124" spans="1:9" s="39" customFormat="1" ht="24" customHeight="1">
      <c r="A124" s="98">
        <v>1</v>
      </c>
      <c r="B124" s="99" t="s">
        <v>1286</v>
      </c>
      <c r="C124" s="99"/>
      <c r="D124" s="99"/>
      <c r="E124" s="100">
        <f>E125+E127+E129</f>
        <v>7124488546.4300003</v>
      </c>
      <c r="F124" s="100">
        <f t="shared" ref="F124:H124" si="71">F125+F127+F129</f>
        <v>1559652134.4300001</v>
      </c>
      <c r="G124" s="381">
        <f t="shared" si="69"/>
        <v>0.21891425949607624</v>
      </c>
      <c r="H124" s="100">
        <f t="shared" si="71"/>
        <v>1177125106.4300001</v>
      </c>
      <c r="I124" s="381">
        <f t="shared" si="70"/>
        <v>0.16522240140590078</v>
      </c>
    </row>
    <row r="125" spans="1:9" ht="24" customHeight="1">
      <c r="A125" s="13"/>
      <c r="B125" s="104">
        <v>19</v>
      </c>
      <c r="C125" s="105" t="s">
        <v>755</v>
      </c>
      <c r="D125" s="106"/>
      <c r="E125" s="107">
        <f>E126</f>
        <v>130000000</v>
      </c>
      <c r="F125" s="107">
        <f t="shared" ref="F125:H125" si="72">F126</f>
        <v>74100000</v>
      </c>
      <c r="G125" s="381">
        <f t="shared" si="69"/>
        <v>0.56999999999999995</v>
      </c>
      <c r="H125" s="107">
        <f t="shared" si="72"/>
        <v>34350000</v>
      </c>
      <c r="I125" s="381">
        <f t="shared" si="70"/>
        <v>0.26423076923076921</v>
      </c>
    </row>
    <row r="126" spans="1:9" s="39" customFormat="1" ht="51" customHeight="1">
      <c r="A126" s="35"/>
      <c r="B126" s="22"/>
      <c r="C126" s="12">
        <v>1905</v>
      </c>
      <c r="D126" s="15" t="s">
        <v>756</v>
      </c>
      <c r="E126" s="29">
        <f>'SGTO POAI 2023 MARZO'!BF171+'SGTO POAI 2023 MARZO'!BF172</f>
        <v>130000000</v>
      </c>
      <c r="F126" s="29">
        <f>'SGTO POAI 2023 MARZO'!BG171+'SGTO POAI 2023 MARZO'!BG172</f>
        <v>74100000</v>
      </c>
      <c r="G126" s="381">
        <f t="shared" si="69"/>
        <v>0.56999999999999995</v>
      </c>
      <c r="H126" s="29">
        <f>'SGTO POAI 2023 MARZO'!BH171+'SGTO POAI 2023 MARZO'!BH172</f>
        <v>34350000</v>
      </c>
      <c r="I126" s="381">
        <f t="shared" si="70"/>
        <v>0.26423076923076921</v>
      </c>
    </row>
    <row r="127" spans="1:9" ht="24" customHeight="1">
      <c r="A127" s="40"/>
      <c r="B127" s="110">
        <v>33</v>
      </c>
      <c r="C127" s="112" t="s">
        <v>170</v>
      </c>
      <c r="D127" s="106"/>
      <c r="E127" s="107">
        <f>E128</f>
        <v>18900000</v>
      </c>
      <c r="F127" s="107">
        <f t="shared" ref="F127:H127" si="73">F128</f>
        <v>9600000</v>
      </c>
      <c r="G127" s="381">
        <f t="shared" si="69"/>
        <v>0.50793650793650791</v>
      </c>
      <c r="H127" s="107">
        <f t="shared" si="73"/>
        <v>3200000</v>
      </c>
      <c r="I127" s="381">
        <f t="shared" si="70"/>
        <v>0.1693121693121693</v>
      </c>
    </row>
    <row r="128" spans="1:9" s="39" customFormat="1" ht="51.75" customHeight="1">
      <c r="A128" s="35"/>
      <c r="B128" s="22"/>
      <c r="C128" s="12">
        <v>3301</v>
      </c>
      <c r="D128" s="23" t="s">
        <v>171</v>
      </c>
      <c r="E128" s="29">
        <f>'SGTO POAI 2023 MARZO'!BF173</f>
        <v>18900000</v>
      </c>
      <c r="F128" s="29">
        <f>'SGTO POAI 2023 MARZO'!BG173</f>
        <v>9600000</v>
      </c>
      <c r="G128" s="381">
        <f t="shared" si="69"/>
        <v>0.50793650793650791</v>
      </c>
      <c r="H128" s="29">
        <f>'SGTO POAI 2023 MARZO'!BH173</f>
        <v>3200000</v>
      </c>
      <c r="I128" s="381">
        <f t="shared" si="70"/>
        <v>0.1693121693121693</v>
      </c>
    </row>
    <row r="129" spans="1:9" ht="24" customHeight="1">
      <c r="A129" s="40"/>
      <c r="B129" s="113">
        <v>41</v>
      </c>
      <c r="C129" s="105" t="s">
        <v>771</v>
      </c>
      <c r="D129" s="111"/>
      <c r="E129" s="107">
        <f>SUM(E130:E132)</f>
        <v>6975588546.4300003</v>
      </c>
      <c r="F129" s="107">
        <f t="shared" ref="F129:H129" si="74">SUM(F130:F132)</f>
        <v>1475952134.4300001</v>
      </c>
      <c r="G129" s="381">
        <f t="shared" si="69"/>
        <v>0.21158818709073227</v>
      </c>
      <c r="H129" s="107">
        <f t="shared" si="74"/>
        <v>1139575106.4300001</v>
      </c>
      <c r="I129" s="381">
        <f t="shared" si="70"/>
        <v>0.16336615883303743</v>
      </c>
    </row>
    <row r="130" spans="1:9" s="39" customFormat="1" ht="53.25" customHeight="1">
      <c r="A130" s="26"/>
      <c r="B130" s="27"/>
      <c r="C130" s="22">
        <v>4102</v>
      </c>
      <c r="D130" s="23" t="s">
        <v>772</v>
      </c>
      <c r="E130" s="29">
        <f>SUM('SGTO POAI 2023 MARZO'!BF174:BF182)</f>
        <v>862600000</v>
      </c>
      <c r="F130" s="29">
        <f>SUM('SGTO POAI 2023 MARZO'!BG174:BG182)</f>
        <v>323127028</v>
      </c>
      <c r="G130" s="381">
        <f t="shared" si="69"/>
        <v>0.37459660097380015</v>
      </c>
      <c r="H130" s="29">
        <f>SUM('SGTO POAI 2023 MARZO'!BH174:BH182)</f>
        <v>116050000</v>
      </c>
      <c r="I130" s="381">
        <f t="shared" si="70"/>
        <v>0.13453512636216092</v>
      </c>
    </row>
    <row r="131" spans="1:9" s="39" customFormat="1" ht="48.75" customHeight="1">
      <c r="A131" s="26"/>
      <c r="B131" s="35"/>
      <c r="C131" s="22">
        <v>4103</v>
      </c>
      <c r="D131" s="23" t="s">
        <v>321</v>
      </c>
      <c r="E131" s="29">
        <f>SUM('SGTO POAI 2023 MARZO'!BF183:BF189)</f>
        <v>298800000</v>
      </c>
      <c r="F131" s="29">
        <f>SUM('SGTO POAI 2023 MARZO'!BG183:BG189)</f>
        <v>63100000</v>
      </c>
      <c r="G131" s="381">
        <f t="shared" si="69"/>
        <v>0.2111780455153949</v>
      </c>
      <c r="H131" s="29">
        <f>SUM('SGTO POAI 2023 MARZO'!BH183:BH189)</f>
        <v>26600000</v>
      </c>
      <c r="I131" s="381">
        <f t="shared" si="70"/>
        <v>8.9022757697456489E-2</v>
      </c>
    </row>
    <row r="132" spans="1:9" s="39" customFormat="1" ht="51.75" customHeight="1">
      <c r="A132" s="30"/>
      <c r="B132" s="31"/>
      <c r="C132" s="22">
        <v>4104</v>
      </c>
      <c r="D132" s="23" t="s">
        <v>865</v>
      </c>
      <c r="E132" s="29">
        <f>SUM('SGTO POAI 2023 MARZO'!BF190:BF194)</f>
        <v>5814188546.4300003</v>
      </c>
      <c r="F132" s="29">
        <f>SUM('SGTO POAI 2023 MARZO'!BG190:BG194)</f>
        <v>1089725106.4300001</v>
      </c>
      <c r="G132" s="381">
        <f t="shared" si="69"/>
        <v>0.18742514071015254</v>
      </c>
      <c r="H132" s="29">
        <f>SUM('SGTO POAI 2023 MARZO'!BH190:BH194)</f>
        <v>996925106.43000007</v>
      </c>
      <c r="I132" s="381">
        <f t="shared" si="70"/>
        <v>0.17146418601132693</v>
      </c>
    </row>
    <row r="133" spans="1:9" s="39" customFormat="1" ht="24" customHeight="1">
      <c r="A133" s="98">
        <v>2</v>
      </c>
      <c r="B133" s="99" t="s">
        <v>1288</v>
      </c>
      <c r="C133" s="99"/>
      <c r="D133" s="99"/>
      <c r="E133" s="100">
        <f>E134+E136</f>
        <v>38400000</v>
      </c>
      <c r="F133" s="100">
        <f t="shared" ref="F133:H133" si="75">F134+F136</f>
        <v>18200000</v>
      </c>
      <c r="G133" s="381">
        <f t="shared" si="69"/>
        <v>0.47395833333333331</v>
      </c>
      <c r="H133" s="100">
        <f t="shared" si="75"/>
        <v>10400000</v>
      </c>
      <c r="I133" s="381">
        <f t="shared" si="70"/>
        <v>0.27083333333333331</v>
      </c>
    </row>
    <row r="134" spans="1:9" ht="24" customHeight="1">
      <c r="A134" s="13"/>
      <c r="B134" s="104">
        <v>17</v>
      </c>
      <c r="C134" s="105" t="s">
        <v>200</v>
      </c>
      <c r="D134" s="106"/>
      <c r="E134" s="107">
        <f>E135</f>
        <v>23400000</v>
      </c>
      <c r="F134" s="107">
        <f t="shared" ref="F134:H134" si="76">F135</f>
        <v>10400000</v>
      </c>
      <c r="G134" s="381">
        <f t="shared" si="69"/>
        <v>0.44444444444444442</v>
      </c>
      <c r="H134" s="107">
        <f t="shared" si="76"/>
        <v>7200000</v>
      </c>
      <c r="I134" s="381">
        <f t="shared" si="70"/>
        <v>0.30769230769230771</v>
      </c>
    </row>
    <row r="135" spans="1:9" s="39" customFormat="1" ht="51.75" customHeight="1">
      <c r="A135" s="35"/>
      <c r="B135" s="22"/>
      <c r="C135" s="12">
        <v>1702</v>
      </c>
      <c r="D135" s="23" t="s">
        <v>463</v>
      </c>
      <c r="E135" s="29">
        <f>'SGTO POAI 2023 MARZO'!BF195</f>
        <v>23400000</v>
      </c>
      <c r="F135" s="29">
        <f>'SGTO POAI 2023 MARZO'!BG195</f>
        <v>10400000</v>
      </c>
      <c r="G135" s="381">
        <f t="shared" si="69"/>
        <v>0.44444444444444442</v>
      </c>
      <c r="H135" s="29">
        <f>'SGTO POAI 2023 MARZO'!BH195</f>
        <v>7200000</v>
      </c>
      <c r="I135" s="381">
        <f t="shared" si="70"/>
        <v>0.30769230769230771</v>
      </c>
    </row>
    <row r="136" spans="1:9" ht="25.5" customHeight="1">
      <c r="A136" s="40"/>
      <c r="B136" s="110">
        <v>36</v>
      </c>
      <c r="C136" s="112" t="s">
        <v>445</v>
      </c>
      <c r="D136" s="106"/>
      <c r="E136" s="107">
        <f>E137</f>
        <v>15000000</v>
      </c>
      <c r="F136" s="107">
        <f t="shared" ref="F136:H136" si="77">F137</f>
        <v>7800000</v>
      </c>
      <c r="G136" s="381">
        <f t="shared" si="69"/>
        <v>0.52</v>
      </c>
      <c r="H136" s="107">
        <f t="shared" si="77"/>
        <v>3200000</v>
      </c>
      <c r="I136" s="381">
        <f t="shared" si="70"/>
        <v>0.21333333333333335</v>
      </c>
    </row>
    <row r="137" spans="1:9" s="39" customFormat="1" ht="51" customHeight="1">
      <c r="A137" s="31"/>
      <c r="B137" s="22"/>
      <c r="C137" s="12">
        <v>3604</v>
      </c>
      <c r="D137" s="23" t="s">
        <v>900</v>
      </c>
      <c r="E137" s="29">
        <f>'SGTO POAI 2023 MARZO'!BF196</f>
        <v>15000000</v>
      </c>
      <c r="F137" s="29">
        <f>'SGTO POAI 2023 MARZO'!BG196</f>
        <v>7800000</v>
      </c>
      <c r="G137" s="381">
        <f t="shared" si="69"/>
        <v>0.52</v>
      </c>
      <c r="H137" s="29">
        <f>'SGTO POAI 2023 MARZO'!BH196</f>
        <v>3200000</v>
      </c>
      <c r="I137" s="381">
        <f t="shared" si="70"/>
        <v>0.21333333333333335</v>
      </c>
    </row>
    <row r="138" spans="1:9" s="39" customFormat="1" ht="24" customHeight="1">
      <c r="A138" s="98">
        <v>4</v>
      </c>
      <c r="B138" s="99" t="s">
        <v>1280</v>
      </c>
      <c r="C138" s="99"/>
      <c r="D138" s="99"/>
      <c r="E138" s="100">
        <f>E139</f>
        <v>374572972</v>
      </c>
      <c r="F138" s="100">
        <f t="shared" ref="F138:H138" si="78">F139</f>
        <v>133132972</v>
      </c>
      <c r="G138" s="381">
        <f t="shared" si="69"/>
        <v>0.35542599694032384</v>
      </c>
      <c r="H138" s="100">
        <f t="shared" si="78"/>
        <v>54210000</v>
      </c>
      <c r="I138" s="381">
        <f t="shared" si="70"/>
        <v>0.14472480411640593</v>
      </c>
    </row>
    <row r="139" spans="1:9" ht="24" customHeight="1">
      <c r="A139" s="25"/>
      <c r="B139" s="108">
        <v>45</v>
      </c>
      <c r="C139" s="105" t="s">
        <v>906</v>
      </c>
      <c r="D139" s="106"/>
      <c r="E139" s="107">
        <f>SUM(E140:E140)</f>
        <v>374572972</v>
      </c>
      <c r="F139" s="107">
        <f t="shared" ref="F139:H139" si="79">SUM(F140:F140)</f>
        <v>133132972</v>
      </c>
      <c r="G139" s="381">
        <f t="shared" si="69"/>
        <v>0.35542599694032384</v>
      </c>
      <c r="H139" s="107">
        <f t="shared" si="79"/>
        <v>54210000</v>
      </c>
      <c r="I139" s="381">
        <f t="shared" si="70"/>
        <v>0.14472480411640593</v>
      </c>
    </row>
    <row r="140" spans="1:9" ht="50.25" customHeight="1">
      <c r="A140" s="31"/>
      <c r="B140" s="43"/>
      <c r="C140" s="16">
        <v>4502</v>
      </c>
      <c r="D140" s="17" t="s">
        <v>1281</v>
      </c>
      <c r="E140" s="44">
        <f>'SGTO POAI 2023 MARZO'!BF197+'SGTO POAI 2023 MARZO'!BF198+'SGTO POAI 2023 MARZO'!BF199+'SGTO POAI 2023 MARZO'!BF200+'SGTO POAI 2023 MARZO'!BF201</f>
        <v>374572972</v>
      </c>
      <c r="F140" s="44">
        <f>'SGTO POAI 2023 MARZO'!BG197+'SGTO POAI 2023 MARZO'!BG198+'SGTO POAI 2023 MARZO'!BG199+'SGTO POAI 2023 MARZO'!BG200+'SGTO POAI 2023 MARZO'!BG201</f>
        <v>133132972</v>
      </c>
      <c r="G140" s="381">
        <f t="shared" si="69"/>
        <v>0.35542599694032384</v>
      </c>
      <c r="H140" s="44">
        <f>'SGTO POAI 2023 MARZO'!BH197+'SGTO POAI 2023 MARZO'!BH198+'SGTO POAI 2023 MARZO'!BH199+'SGTO POAI 2023 MARZO'!BH200+'SGTO POAI 2023 MARZO'!BH201</f>
        <v>54210000</v>
      </c>
      <c r="I140" s="381">
        <f t="shared" si="70"/>
        <v>0.14472480411640593</v>
      </c>
    </row>
    <row r="141" spans="1:9" s="39" customFormat="1">
      <c r="A141" s="5"/>
      <c r="B141" s="5"/>
      <c r="C141" s="5"/>
      <c r="D141" s="6"/>
      <c r="E141" s="38"/>
      <c r="F141" s="38"/>
      <c r="G141" s="38"/>
      <c r="H141" s="38"/>
    </row>
    <row r="142" spans="1:9" ht="24" customHeight="1">
      <c r="A142" s="56" t="s">
        <v>1302</v>
      </c>
      <c r="B142" s="62"/>
      <c r="C142" s="125"/>
      <c r="D142" s="124"/>
      <c r="E142" s="64">
        <f>E143</f>
        <v>53313292857.790001</v>
      </c>
      <c r="F142" s="64">
        <f t="shared" ref="F142:H143" si="80">F143</f>
        <v>39176601827.099998</v>
      </c>
      <c r="G142" s="381">
        <f t="shared" ref="G142:G147" si="81">F142/E142</f>
        <v>0.73483740596554836</v>
      </c>
      <c r="H142" s="64">
        <f t="shared" si="80"/>
        <v>8534465634.1400003</v>
      </c>
      <c r="I142" s="381">
        <f t="shared" ref="I142:I147" si="82">H142/E142</f>
        <v>0.16008138264701027</v>
      </c>
    </row>
    <row r="143" spans="1:9" ht="24" customHeight="1">
      <c r="A143" s="98">
        <v>1</v>
      </c>
      <c r="B143" s="99" t="s">
        <v>1286</v>
      </c>
      <c r="C143" s="99"/>
      <c r="D143" s="99"/>
      <c r="E143" s="100">
        <f>E144</f>
        <v>53313292857.790001</v>
      </c>
      <c r="F143" s="100">
        <f t="shared" si="80"/>
        <v>39176601827.099998</v>
      </c>
      <c r="G143" s="381">
        <f t="shared" si="81"/>
        <v>0.73483740596554836</v>
      </c>
      <c r="H143" s="100">
        <f t="shared" si="80"/>
        <v>8534465634.1400003</v>
      </c>
      <c r="I143" s="381">
        <f t="shared" si="82"/>
        <v>0.16008138264701027</v>
      </c>
    </row>
    <row r="144" spans="1:9" ht="24" customHeight="1">
      <c r="A144" s="13"/>
      <c r="B144" s="104">
        <v>19</v>
      </c>
      <c r="C144" s="105" t="s">
        <v>755</v>
      </c>
      <c r="D144" s="106"/>
      <c r="E144" s="107">
        <f>SUM(E145:E147)</f>
        <v>53313292857.790001</v>
      </c>
      <c r="F144" s="107">
        <f t="shared" ref="F144:H144" si="83">SUM(F145:F147)</f>
        <v>39176601827.099998</v>
      </c>
      <c r="G144" s="381">
        <f t="shared" si="81"/>
        <v>0.73483740596554836</v>
      </c>
      <c r="H144" s="107">
        <f t="shared" si="83"/>
        <v>8534465634.1400003</v>
      </c>
      <c r="I144" s="381">
        <f t="shared" si="82"/>
        <v>0.16008138264701027</v>
      </c>
    </row>
    <row r="145" spans="1:9" ht="35.25" customHeight="1">
      <c r="A145" s="35"/>
      <c r="B145" s="36"/>
      <c r="C145" s="22">
        <v>1903</v>
      </c>
      <c r="D145" s="23" t="s">
        <v>933</v>
      </c>
      <c r="E145" s="29">
        <f>SUM('SGTO POAI 2023 MARZO'!BF202:BF222)+'SGTO POAI 2023 MARZO'!BF253</f>
        <v>3567304972.6500001</v>
      </c>
      <c r="F145" s="29">
        <f>SUM('SGTO POAI 2023 MARZO'!BG202:BG222)+'SGTO POAI 2023 MARZO'!BG253</f>
        <v>1023996654</v>
      </c>
      <c r="G145" s="381">
        <f t="shared" si="81"/>
        <v>0.28705049381839537</v>
      </c>
      <c r="H145" s="29">
        <f>SUM('SGTO POAI 2023 MARZO'!BH202:BH222)+'SGTO POAI 2023 MARZO'!BH253</f>
        <v>270473629</v>
      </c>
      <c r="I145" s="381">
        <f t="shared" si="82"/>
        <v>7.5820158655814776E-2</v>
      </c>
    </row>
    <row r="146" spans="1:9" ht="31.5" customHeight="1">
      <c r="A146" s="35"/>
      <c r="B146" s="42"/>
      <c r="C146" s="22">
        <v>1905</v>
      </c>
      <c r="D146" s="23" t="s">
        <v>756</v>
      </c>
      <c r="E146" s="29">
        <f>'SGTO POAI 2023 MARZO'!BF223+'SGTO POAI 2023 MARZO'!BF224+'SGTO POAI 2023 MARZO'!BF225+'SGTO POAI 2023 MARZO'!BF226+'SGTO POAI 2023 MARZO'!BF227+'SGTO POAI 2023 MARZO'!BF228+'SGTO POAI 2023 MARZO'!BF229+'SGTO POAI 2023 MARZO'!BF230+'SGTO POAI 2023 MARZO'!BF231+'SGTO POAI 2023 MARZO'!BF232+'SGTO POAI 2023 MARZO'!BF233+'SGTO POAI 2023 MARZO'!BF234+'SGTO POAI 2023 MARZO'!BF235+'SGTO POAI 2023 MARZO'!BF236+'SGTO POAI 2023 MARZO'!BF237+'SGTO POAI 2023 MARZO'!BF238+'SGTO POAI 2023 MARZO'!BF239+'SGTO POAI 2023 MARZO'!BF240+'SGTO POAI 2023 MARZO'!BF241+'SGTO POAI 2023 MARZO'!BF242+'SGTO POAI 2023 MARZO'!BF243+'SGTO POAI 2023 MARZO'!BF244+'SGTO POAI 2023 MARZO'!BF254+'SGTO POAI 2023 MARZO'!BF255+'SGTO POAI 2023 MARZO'!BF256+'SGTO POAI 2023 MARZO'!BF257+'SGTO POAI 2023 MARZO'!BF258+'SGTO POAI 2023 MARZO'!BF259+'SGTO POAI 2023 MARZO'!BF260</f>
        <v>4976660526.29</v>
      </c>
      <c r="F146" s="29">
        <f>'SGTO POAI 2023 MARZO'!BG223+'SGTO POAI 2023 MARZO'!BG224+'SGTO POAI 2023 MARZO'!BG225+'SGTO POAI 2023 MARZO'!BG226+'SGTO POAI 2023 MARZO'!BG227+'SGTO POAI 2023 MARZO'!BG228+'SGTO POAI 2023 MARZO'!BG229+'SGTO POAI 2023 MARZO'!BG230+'SGTO POAI 2023 MARZO'!BG231+'SGTO POAI 2023 MARZO'!BG232+'SGTO POAI 2023 MARZO'!BG233+'SGTO POAI 2023 MARZO'!BG234+'SGTO POAI 2023 MARZO'!BG235+'SGTO POAI 2023 MARZO'!BG236+'SGTO POAI 2023 MARZO'!BG237+'SGTO POAI 2023 MARZO'!BG238+'SGTO POAI 2023 MARZO'!BG239+'SGTO POAI 2023 MARZO'!BG240+'SGTO POAI 2023 MARZO'!BG241+'SGTO POAI 2023 MARZO'!BG242+'SGTO POAI 2023 MARZO'!BG243+'SGTO POAI 2023 MARZO'!BG244+'SGTO POAI 2023 MARZO'!BG254+'SGTO POAI 2023 MARZO'!BG255+'SGTO POAI 2023 MARZO'!BG256+'SGTO POAI 2023 MARZO'!BG257+'SGTO POAI 2023 MARZO'!BG258+'SGTO POAI 2023 MARZO'!BG259+'SGTO POAI 2023 MARZO'!BG260</f>
        <v>955958160</v>
      </c>
      <c r="G146" s="381">
        <f t="shared" si="81"/>
        <v>0.19208827987161253</v>
      </c>
      <c r="H146" s="29">
        <f>'SGTO POAI 2023 MARZO'!BH223+'SGTO POAI 2023 MARZO'!BH224+'SGTO POAI 2023 MARZO'!BH225+'SGTO POAI 2023 MARZO'!BH226+'SGTO POAI 2023 MARZO'!BH227+'SGTO POAI 2023 MARZO'!BH228+'SGTO POAI 2023 MARZO'!BH229+'SGTO POAI 2023 MARZO'!BH230+'SGTO POAI 2023 MARZO'!BH231+'SGTO POAI 2023 MARZO'!BH232+'SGTO POAI 2023 MARZO'!BH233+'SGTO POAI 2023 MARZO'!BH234+'SGTO POAI 2023 MARZO'!BH235+'SGTO POAI 2023 MARZO'!BH236+'SGTO POAI 2023 MARZO'!BH237+'SGTO POAI 2023 MARZO'!BH238+'SGTO POAI 2023 MARZO'!BH239+'SGTO POAI 2023 MARZO'!BH240+'SGTO POAI 2023 MARZO'!BH241+'SGTO POAI 2023 MARZO'!BH242+'SGTO POAI 2023 MARZO'!BH243+'SGTO POAI 2023 MARZO'!BH244+'SGTO POAI 2023 MARZO'!BH254+'SGTO POAI 2023 MARZO'!BH255+'SGTO POAI 2023 MARZO'!BH256+'SGTO POAI 2023 MARZO'!BH257+'SGTO POAI 2023 MARZO'!BH258+'SGTO POAI 2023 MARZO'!BH259+'SGTO POAI 2023 MARZO'!BH260</f>
        <v>367230174</v>
      </c>
      <c r="I146" s="381">
        <f t="shared" si="82"/>
        <v>7.3790480998261437E-2</v>
      </c>
    </row>
    <row r="147" spans="1:9" ht="57.75" customHeight="1">
      <c r="A147" s="31"/>
      <c r="B147" s="37"/>
      <c r="C147" s="22">
        <v>1906</v>
      </c>
      <c r="D147" s="23" t="s">
        <v>1303</v>
      </c>
      <c r="E147" s="29">
        <f>SUM('SGTO POAI 2023 MARZO'!BF245:BF252)</f>
        <v>44769327358.849998</v>
      </c>
      <c r="F147" s="29">
        <f>SUM('SGTO POAI 2023 MARZO'!BG245:BG252)</f>
        <v>37196647013.099998</v>
      </c>
      <c r="G147" s="381">
        <f t="shared" si="81"/>
        <v>0.83085114759373235</v>
      </c>
      <c r="H147" s="29">
        <f>SUM('SGTO POAI 2023 MARZO'!BH245:BH252)</f>
        <v>7896761831.1400003</v>
      </c>
      <c r="I147" s="381">
        <f t="shared" si="82"/>
        <v>0.17638777031075872</v>
      </c>
    </row>
    <row r="148" spans="1:9" s="39" customFormat="1">
      <c r="A148" s="5"/>
      <c r="B148" s="5"/>
      <c r="C148" s="5"/>
      <c r="D148" s="6"/>
      <c r="E148" s="38"/>
      <c r="F148" s="38"/>
      <c r="G148" s="38"/>
      <c r="H148" s="38"/>
    </row>
    <row r="149" spans="1:9" s="4" customFormat="1" ht="24" customHeight="1">
      <c r="A149" s="56" t="s">
        <v>1304</v>
      </c>
      <c r="B149" s="62"/>
      <c r="C149" s="62"/>
      <c r="D149" s="63"/>
      <c r="E149" s="64">
        <f>E150+E154+E158</f>
        <v>1266894018</v>
      </c>
      <c r="F149" s="64">
        <f t="shared" ref="F149:H149" si="84">F150+F154+F158</f>
        <v>579300000</v>
      </c>
      <c r="G149" s="381">
        <f t="shared" ref="G149:G160" si="85">F149/E149</f>
        <v>0.45726003262255516</v>
      </c>
      <c r="H149" s="64">
        <f t="shared" si="84"/>
        <v>242300000</v>
      </c>
      <c r="I149" s="381">
        <f t="shared" ref="I149:I160" si="86">H149/E149</f>
        <v>0.19125514570075111</v>
      </c>
    </row>
    <row r="150" spans="1:9" s="4" customFormat="1" ht="24" customHeight="1">
      <c r="A150" s="98">
        <v>1</v>
      </c>
      <c r="B150" s="99" t="s">
        <v>1286</v>
      </c>
      <c r="C150" s="99"/>
      <c r="D150" s="99"/>
      <c r="E150" s="100">
        <f>E151</f>
        <v>824774500</v>
      </c>
      <c r="F150" s="100">
        <f t="shared" ref="F150:H150" si="87">F151</f>
        <v>452103654</v>
      </c>
      <c r="G150" s="381">
        <f t="shared" si="85"/>
        <v>0.54815425792140759</v>
      </c>
      <c r="H150" s="100">
        <f t="shared" si="87"/>
        <v>196000000</v>
      </c>
      <c r="I150" s="381">
        <f t="shared" si="86"/>
        <v>0.23764071270389664</v>
      </c>
    </row>
    <row r="151" spans="1:9" ht="24" customHeight="1">
      <c r="A151" s="13"/>
      <c r="B151" s="104">
        <v>23</v>
      </c>
      <c r="C151" s="105" t="s">
        <v>1126</v>
      </c>
      <c r="D151" s="106"/>
      <c r="E151" s="107">
        <f>SUM(E152:E153)</f>
        <v>824774500</v>
      </c>
      <c r="F151" s="107">
        <f t="shared" ref="F151:H151" si="88">SUM(F152:F153)</f>
        <v>452103654</v>
      </c>
      <c r="G151" s="381">
        <f t="shared" si="85"/>
        <v>0.54815425792140759</v>
      </c>
      <c r="H151" s="107">
        <f t="shared" si="88"/>
        <v>196000000</v>
      </c>
      <c r="I151" s="381">
        <f t="shared" si="86"/>
        <v>0.23764071270389664</v>
      </c>
    </row>
    <row r="152" spans="1:9" s="18" customFormat="1" ht="75.75" customHeight="1">
      <c r="A152" s="35"/>
      <c r="B152" s="36"/>
      <c r="C152" s="28">
        <v>2301</v>
      </c>
      <c r="D152" s="23" t="s">
        <v>1305</v>
      </c>
      <c r="E152" s="29">
        <f>'SGTO POAI 2023 MARZO'!BF261+'SGTO POAI 2023 MARZO'!BF262+'SGTO POAI 2023 MARZO'!BF263+'SGTO POAI 2023 MARZO'!BF264+'SGTO POAI 2023 MARZO'!BF265+'SGTO POAI 2023 MARZO'!BF266+'SGTO POAI 2023 MARZO'!BF267+'SGTO POAI 2023 MARZO'!BF268+'SGTO POAI 2023 MARZO'!BF269</f>
        <v>615374500</v>
      </c>
      <c r="F152" s="29">
        <f>'SGTO POAI 2023 MARZO'!BG261+'SGTO POAI 2023 MARZO'!BG262+'SGTO POAI 2023 MARZO'!BG263+'SGTO POAI 2023 MARZO'!BG264+'SGTO POAI 2023 MARZO'!BG265+'SGTO POAI 2023 MARZO'!BG266+'SGTO POAI 2023 MARZO'!BG267+'SGTO POAI 2023 MARZO'!BG268+'SGTO POAI 2023 MARZO'!BG269</f>
        <v>315603655</v>
      </c>
      <c r="G152" s="381">
        <f t="shared" si="85"/>
        <v>0.51286436958307502</v>
      </c>
      <c r="H152" s="29">
        <f>'SGTO POAI 2023 MARZO'!BH261+'SGTO POAI 2023 MARZO'!BH262+'SGTO POAI 2023 MARZO'!BH263+'SGTO POAI 2023 MARZO'!BH264+'SGTO POAI 2023 MARZO'!BH265+'SGTO POAI 2023 MARZO'!BH266+'SGTO POAI 2023 MARZO'!BH267+'SGTO POAI 2023 MARZO'!BH268+'SGTO POAI 2023 MARZO'!BH269</f>
        <v>135750000</v>
      </c>
      <c r="I152" s="381">
        <f t="shared" si="86"/>
        <v>0.22059737606936913</v>
      </c>
    </row>
    <row r="153" spans="1:9" s="18" customFormat="1" ht="117.75" customHeight="1">
      <c r="A153" s="31"/>
      <c r="B153" s="37"/>
      <c r="C153" s="28">
        <v>2302</v>
      </c>
      <c r="D153" s="23" t="s">
        <v>1152</v>
      </c>
      <c r="E153" s="29">
        <f>'SGTO POAI 2023 MARZO'!BF270+'SGTO POAI 2023 MARZO'!BF271+'SGTO POAI 2023 MARZO'!BF272+'SGTO POAI 2023 MARZO'!BF273</f>
        <v>209400000</v>
      </c>
      <c r="F153" s="29">
        <f>'SGTO POAI 2023 MARZO'!BG270+'SGTO POAI 2023 MARZO'!BG271+'SGTO POAI 2023 MARZO'!BG272+'SGTO POAI 2023 MARZO'!BG273</f>
        <v>136499999</v>
      </c>
      <c r="G153" s="381">
        <f t="shared" si="85"/>
        <v>0.65186245940783194</v>
      </c>
      <c r="H153" s="29">
        <f>'SGTO POAI 2023 MARZO'!BH270+'SGTO POAI 2023 MARZO'!BH271+'SGTO POAI 2023 MARZO'!BH272+'SGTO POAI 2023 MARZO'!BH273</f>
        <v>60250000</v>
      </c>
      <c r="I153" s="381">
        <f t="shared" si="86"/>
        <v>0.28772683858643744</v>
      </c>
    </row>
    <row r="154" spans="1:9" s="4" customFormat="1" ht="24" customHeight="1">
      <c r="A154" s="98">
        <v>2</v>
      </c>
      <c r="B154" s="99" t="s">
        <v>1288</v>
      </c>
      <c r="C154" s="99"/>
      <c r="D154" s="99"/>
      <c r="E154" s="100">
        <f>E155</f>
        <v>75119518</v>
      </c>
      <c r="F154" s="100">
        <f t="shared" ref="F154:H154" si="89">F155</f>
        <v>32646346</v>
      </c>
      <c r="G154" s="381">
        <f t="shared" si="85"/>
        <v>0.4345920590172051</v>
      </c>
      <c r="H154" s="100">
        <f t="shared" si="89"/>
        <v>3900000</v>
      </c>
      <c r="I154" s="381">
        <f t="shared" si="86"/>
        <v>5.1917266029316109E-2</v>
      </c>
    </row>
    <row r="155" spans="1:9" ht="24" customHeight="1">
      <c r="A155" s="13"/>
      <c r="B155" s="104">
        <v>39</v>
      </c>
      <c r="C155" s="105" t="s">
        <v>745</v>
      </c>
      <c r="D155" s="106"/>
      <c r="E155" s="107">
        <f>SUM(E156:E157)</f>
        <v>75119518</v>
      </c>
      <c r="F155" s="107">
        <f t="shared" ref="F155:H155" si="90">SUM(F156:F157)</f>
        <v>32646346</v>
      </c>
      <c r="G155" s="381">
        <f t="shared" si="85"/>
        <v>0.4345920590172051</v>
      </c>
      <c r="H155" s="107">
        <f t="shared" si="90"/>
        <v>3900000</v>
      </c>
      <c r="I155" s="381">
        <f t="shared" si="86"/>
        <v>5.1917266029316109E-2</v>
      </c>
    </row>
    <row r="156" spans="1:9" s="18" customFormat="1" ht="44.25" customHeight="1">
      <c r="A156" s="35"/>
      <c r="B156" s="7"/>
      <c r="C156" s="45" t="s">
        <v>1165</v>
      </c>
      <c r="D156" s="20" t="s">
        <v>1166</v>
      </c>
      <c r="E156" s="29">
        <f>'SGTO POAI 2023 MARZO'!BF274+'SGTO POAI 2023 MARZO'!BF275+'SGTO POAI 2023 MARZO'!BF276</f>
        <v>46719518</v>
      </c>
      <c r="F156" s="29">
        <f>'SGTO POAI 2023 MARZO'!BG274+'SGTO POAI 2023 MARZO'!BG275+'SGTO POAI 2023 MARZO'!BG276</f>
        <v>22746346</v>
      </c>
      <c r="G156" s="381">
        <f t="shared" si="85"/>
        <v>0.48687030546847682</v>
      </c>
      <c r="H156" s="29">
        <f>'SGTO POAI 2023 MARZO'!BH274+'SGTO POAI 2023 MARZO'!BH275+'SGTO POAI 2023 MARZO'!BH276</f>
        <v>3900000</v>
      </c>
      <c r="I156" s="381">
        <f t="shared" si="86"/>
        <v>8.3476888610023753E-2</v>
      </c>
    </row>
    <row r="157" spans="1:9" s="18" customFormat="1" ht="57.75" customHeight="1">
      <c r="A157" s="31"/>
      <c r="B157" s="7"/>
      <c r="C157" s="45">
        <v>3904</v>
      </c>
      <c r="D157" s="20" t="s">
        <v>1178</v>
      </c>
      <c r="E157" s="29">
        <f>'SGTO POAI 2023 MARZO'!BF277</f>
        <v>28400000</v>
      </c>
      <c r="F157" s="29">
        <f>'SGTO POAI 2023 MARZO'!BG277</f>
        <v>9900000</v>
      </c>
      <c r="G157" s="381">
        <f t="shared" si="85"/>
        <v>0.34859154929577463</v>
      </c>
      <c r="H157" s="29">
        <f>'SGTO POAI 2023 MARZO'!BH277</f>
        <v>0</v>
      </c>
      <c r="I157" s="381">
        <f t="shared" si="86"/>
        <v>0</v>
      </c>
    </row>
    <row r="158" spans="1:9" s="4" customFormat="1" ht="24" customHeight="1">
      <c r="A158" s="98">
        <v>4</v>
      </c>
      <c r="B158" s="99" t="s">
        <v>1280</v>
      </c>
      <c r="C158" s="99"/>
      <c r="D158" s="99"/>
      <c r="E158" s="100">
        <f>E159</f>
        <v>367000000</v>
      </c>
      <c r="F158" s="100">
        <f t="shared" ref="F158:H159" si="91">F159</f>
        <v>94550000</v>
      </c>
      <c r="G158" s="381">
        <f t="shared" si="85"/>
        <v>0.25762942779291553</v>
      </c>
      <c r="H158" s="100">
        <f t="shared" si="91"/>
        <v>42400000</v>
      </c>
      <c r="I158" s="381">
        <f t="shared" si="86"/>
        <v>0.11553133514986376</v>
      </c>
    </row>
    <row r="159" spans="1:9" ht="24" customHeight="1">
      <c r="A159" s="13"/>
      <c r="B159" s="104">
        <v>23</v>
      </c>
      <c r="C159" s="105" t="s">
        <v>1126</v>
      </c>
      <c r="D159" s="106"/>
      <c r="E159" s="107">
        <f>E160</f>
        <v>367000000</v>
      </c>
      <c r="F159" s="107">
        <f t="shared" si="91"/>
        <v>94550000</v>
      </c>
      <c r="G159" s="381">
        <f t="shared" si="85"/>
        <v>0.25762942779291553</v>
      </c>
      <c r="H159" s="107">
        <f t="shared" si="91"/>
        <v>42400000</v>
      </c>
      <c r="I159" s="381">
        <f t="shared" si="86"/>
        <v>0.11553133514986376</v>
      </c>
    </row>
    <row r="160" spans="1:9" s="18" customFormat="1" ht="99.75" customHeight="1">
      <c r="A160" s="31"/>
      <c r="B160" s="22"/>
      <c r="C160" s="14">
        <v>2302</v>
      </c>
      <c r="D160" s="23" t="s">
        <v>1152</v>
      </c>
      <c r="E160" s="29">
        <f>'SGTO POAI 2023 MARZO'!BF278+'SGTO POAI 2023 MARZO'!BF279+'SGTO POAI 2023 MARZO'!BF280+'SGTO POAI 2023 MARZO'!BF281+'SGTO POAI 2023 MARZO'!BF282+'SGTO POAI 2023 MARZO'!BF283</f>
        <v>367000000</v>
      </c>
      <c r="F160" s="29">
        <f>'SGTO POAI 2023 MARZO'!BG278+'SGTO POAI 2023 MARZO'!BG279+'SGTO POAI 2023 MARZO'!BG280+'SGTO POAI 2023 MARZO'!BG281+'SGTO POAI 2023 MARZO'!BG282+'SGTO POAI 2023 MARZO'!BG283</f>
        <v>94550000</v>
      </c>
      <c r="G160" s="381">
        <f t="shared" si="85"/>
        <v>0.25762942779291553</v>
      </c>
      <c r="H160" s="29">
        <f>'SGTO POAI 2023 MARZO'!BH278+'SGTO POAI 2023 MARZO'!BH279+'SGTO POAI 2023 MARZO'!BH280+'SGTO POAI 2023 MARZO'!BH281+'SGTO POAI 2023 MARZO'!BH282+'SGTO POAI 2023 MARZO'!BH283</f>
        <v>42400000</v>
      </c>
      <c r="I160" s="381">
        <f t="shared" si="86"/>
        <v>0.11553133514986376</v>
      </c>
    </row>
    <row r="161" spans="1:9" s="39" customFormat="1" ht="18.75" customHeight="1">
      <c r="A161" s="5"/>
      <c r="B161" s="5"/>
      <c r="C161" s="5"/>
      <c r="D161" s="6"/>
      <c r="E161" s="38"/>
      <c r="F161" s="38"/>
      <c r="G161" s="38"/>
      <c r="H161" s="38"/>
    </row>
    <row r="162" spans="1:9" s="9" customFormat="1" ht="30" customHeight="1">
      <c r="A162" s="78" t="s">
        <v>1306</v>
      </c>
      <c r="B162" s="80"/>
      <c r="C162" s="78"/>
      <c r="D162" s="81"/>
      <c r="E162" s="82">
        <f>E6+E12+E18+E23+E53+E75+E81+E88+E108+E114+E123+E142+E149</f>
        <v>406043234113.46997</v>
      </c>
      <c r="F162" s="82">
        <f t="shared" ref="F162:H162" si="92">F6+F12+F18+F23+F53+F75+F81+F88+F108+F114+F123+F142+F149</f>
        <v>116985631153.91</v>
      </c>
      <c r="G162" s="381">
        <f>F162/E162</f>
        <v>0.28811126827252592</v>
      </c>
      <c r="H162" s="82">
        <f t="shared" si="92"/>
        <v>53381739244.400002</v>
      </c>
      <c r="I162" s="381">
        <f>H162/E162</f>
        <v>0.13146811659342245</v>
      </c>
    </row>
    <row r="163" spans="1:9" s="39" customFormat="1" ht="29.25" customHeight="1">
      <c r="A163" s="5"/>
      <c r="B163" s="5"/>
      <c r="C163" s="5"/>
      <c r="D163" s="6"/>
      <c r="E163" s="38"/>
      <c r="F163" s="38"/>
      <c r="G163" s="38"/>
      <c r="H163" s="38"/>
    </row>
    <row r="164" spans="1:9" ht="24" customHeight="1">
      <c r="A164" s="56" t="s">
        <v>1307</v>
      </c>
      <c r="B164" s="62"/>
      <c r="C164" s="125"/>
      <c r="D164" s="124"/>
      <c r="E164" s="64">
        <f>E165</f>
        <v>9310061302.6199989</v>
      </c>
      <c r="F164" s="64">
        <f t="shared" ref="F164:H165" si="93">F165</f>
        <v>2357978628</v>
      </c>
      <c r="G164" s="381">
        <f t="shared" ref="G164:G168" si="94">F164/E164</f>
        <v>0.2532720839696756</v>
      </c>
      <c r="H164" s="64">
        <f t="shared" si="93"/>
        <v>436643218</v>
      </c>
      <c r="I164" s="381">
        <f t="shared" ref="I164:I168" si="95">H164/E164</f>
        <v>4.6900144242564938E-2</v>
      </c>
    </row>
    <row r="165" spans="1:9" ht="24" customHeight="1">
      <c r="A165" s="98">
        <v>1</v>
      </c>
      <c r="B165" s="99" t="s">
        <v>1286</v>
      </c>
      <c r="C165" s="99"/>
      <c r="D165" s="99"/>
      <c r="E165" s="100">
        <f>E166</f>
        <v>9310061302.6199989</v>
      </c>
      <c r="F165" s="100">
        <f t="shared" si="93"/>
        <v>2357978628</v>
      </c>
      <c r="G165" s="381">
        <f t="shared" si="94"/>
        <v>0.2532720839696756</v>
      </c>
      <c r="H165" s="100">
        <f t="shared" si="93"/>
        <v>436643218</v>
      </c>
      <c r="I165" s="381">
        <f t="shared" si="95"/>
        <v>4.6900144242564938E-2</v>
      </c>
    </row>
    <row r="166" spans="1:9" ht="24" customHeight="1">
      <c r="A166" s="13"/>
      <c r="B166" s="104">
        <v>43</v>
      </c>
      <c r="C166" s="105" t="s">
        <v>189</v>
      </c>
      <c r="D166" s="106"/>
      <c r="E166" s="107">
        <f>SUM(E167:E168)</f>
        <v>9310061302.6199989</v>
      </c>
      <c r="F166" s="107">
        <f t="shared" ref="F166:H166" si="96">SUM(F167:F168)</f>
        <v>2357978628</v>
      </c>
      <c r="G166" s="381">
        <f t="shared" si="94"/>
        <v>0.2532720839696756</v>
      </c>
      <c r="H166" s="107">
        <f t="shared" si="96"/>
        <v>436643218</v>
      </c>
      <c r="I166" s="381">
        <f t="shared" si="95"/>
        <v>4.6900144242564938E-2</v>
      </c>
    </row>
    <row r="167" spans="1:9" ht="76.5" customHeight="1">
      <c r="A167" s="26"/>
      <c r="B167" s="27"/>
      <c r="C167" s="22">
        <v>4301</v>
      </c>
      <c r="D167" s="46" t="s">
        <v>1287</v>
      </c>
      <c r="E167" s="29">
        <f>SUM('SGTO POAI 2023 MARZO'!BF284:BF287)</f>
        <v>3201224324.0799999</v>
      </c>
      <c r="F167" s="29">
        <f>SUM('SGTO POAI 2023 MARZO'!BG284:BG287)</f>
        <v>536975000</v>
      </c>
      <c r="G167" s="381">
        <f t="shared" si="94"/>
        <v>0.16774050976709395</v>
      </c>
      <c r="H167" s="29">
        <f>SUM('SGTO POAI 2023 MARZO'!BH284:BH287)</f>
        <v>168200000</v>
      </c>
      <c r="I167" s="381">
        <f t="shared" si="95"/>
        <v>5.25423972118352E-2</v>
      </c>
    </row>
    <row r="168" spans="1:9" ht="37.5" customHeight="1">
      <c r="A168" s="30"/>
      <c r="B168" s="31"/>
      <c r="C168" s="22">
        <v>4302</v>
      </c>
      <c r="D168" s="46" t="s">
        <v>1211</v>
      </c>
      <c r="E168" s="29">
        <f>SUM('SGTO POAI 2023 MARZO'!BF288:BF289)</f>
        <v>6108836978.539999</v>
      </c>
      <c r="F168" s="29">
        <f>SUM('SGTO POAI 2023 MARZO'!BG288:BG289)</f>
        <v>1821003628</v>
      </c>
      <c r="G168" s="381">
        <f t="shared" si="94"/>
        <v>0.2980933415635551</v>
      </c>
      <c r="H168" s="29">
        <f>SUM('SGTO POAI 2023 MARZO'!BH288:BH289)</f>
        <v>268443218</v>
      </c>
      <c r="I168" s="381">
        <f t="shared" si="95"/>
        <v>4.3943424737478823E-2</v>
      </c>
    </row>
    <row r="169" spans="1:9" s="39" customFormat="1" ht="18.75" customHeight="1">
      <c r="A169" s="5"/>
      <c r="B169" s="5"/>
      <c r="C169" s="5"/>
      <c r="D169" s="6"/>
      <c r="E169" s="38"/>
      <c r="F169" s="38"/>
      <c r="G169" s="38"/>
      <c r="H169" s="38"/>
    </row>
    <row r="170" spans="1:9" s="39" customFormat="1" ht="24" customHeight="1">
      <c r="A170" s="56" t="s">
        <v>1308</v>
      </c>
      <c r="B170" s="62"/>
      <c r="C170" s="62"/>
      <c r="D170" s="63"/>
      <c r="E170" s="64">
        <f>E171+E176+E182</f>
        <v>4454923248</v>
      </c>
      <c r="F170" s="64">
        <f t="shared" ref="F170:H170" si="97">F171+F176+F182</f>
        <v>778829000</v>
      </c>
      <c r="G170" s="381">
        <f t="shared" ref="G170:G184" si="98">F170/E170</f>
        <v>0.17482433627776836</v>
      </c>
      <c r="H170" s="64">
        <f t="shared" si="97"/>
        <v>198298500</v>
      </c>
      <c r="I170" s="381">
        <f t="shared" ref="I170:I184" si="99">H170/E170</f>
        <v>4.4512214680471639E-2</v>
      </c>
    </row>
    <row r="171" spans="1:9" s="39" customFormat="1" ht="24" customHeight="1">
      <c r="A171" s="98">
        <v>1</v>
      </c>
      <c r="B171" s="99" t="s">
        <v>1286</v>
      </c>
      <c r="C171" s="99"/>
      <c r="D171" s="99"/>
      <c r="E171" s="100">
        <f>E172+E174</f>
        <v>2508923248</v>
      </c>
      <c r="F171" s="100">
        <f t="shared" ref="F171:H171" si="100">F172+F174</f>
        <v>478409000</v>
      </c>
      <c r="G171" s="381">
        <f t="shared" si="98"/>
        <v>0.19068299533728902</v>
      </c>
      <c r="H171" s="100">
        <f t="shared" si="100"/>
        <v>124080750</v>
      </c>
      <c r="I171" s="381">
        <f t="shared" si="99"/>
        <v>4.9455777532816741E-2</v>
      </c>
    </row>
    <row r="172" spans="1:9" ht="24" customHeight="1">
      <c r="A172" s="13"/>
      <c r="B172" s="104">
        <v>43</v>
      </c>
      <c r="C172" s="105" t="s">
        <v>189</v>
      </c>
      <c r="D172" s="106"/>
      <c r="E172" s="107">
        <f>E173</f>
        <v>1370000000</v>
      </c>
      <c r="F172" s="107">
        <f t="shared" ref="F172:H172" si="101">F173</f>
        <v>228365000</v>
      </c>
      <c r="G172" s="381">
        <f t="shared" si="98"/>
        <v>0.1666897810218978</v>
      </c>
      <c r="H172" s="107">
        <f t="shared" si="101"/>
        <v>62293958</v>
      </c>
      <c r="I172" s="381">
        <f t="shared" si="99"/>
        <v>4.5470042335766424E-2</v>
      </c>
    </row>
    <row r="173" spans="1:9" s="39" customFormat="1" ht="76.5" customHeight="1">
      <c r="A173" s="47"/>
      <c r="B173" s="28"/>
      <c r="C173" s="12">
        <v>4301</v>
      </c>
      <c r="D173" s="23" t="s">
        <v>1287</v>
      </c>
      <c r="E173" s="29">
        <f>'SGTO POAI 2023 MARZO'!BF290</f>
        <v>1370000000</v>
      </c>
      <c r="F173" s="29">
        <f>'SGTO POAI 2023 MARZO'!BG290</f>
        <v>228365000</v>
      </c>
      <c r="G173" s="381">
        <f t="shared" si="98"/>
        <v>0.1666897810218978</v>
      </c>
      <c r="H173" s="29">
        <f>'SGTO POAI 2023 MARZO'!BH290</f>
        <v>62293958</v>
      </c>
      <c r="I173" s="381">
        <f t="shared" si="99"/>
        <v>4.5470042335766424E-2</v>
      </c>
    </row>
    <row r="174" spans="1:9" ht="24" customHeight="1">
      <c r="A174" s="40"/>
      <c r="B174" s="108">
        <v>22</v>
      </c>
      <c r="C174" s="110" t="s">
        <v>160</v>
      </c>
      <c r="D174" s="111"/>
      <c r="E174" s="107">
        <f>E175</f>
        <v>1138923248</v>
      </c>
      <c r="F174" s="107">
        <f t="shared" ref="F174:H174" si="102">F175</f>
        <v>250044000</v>
      </c>
      <c r="G174" s="381">
        <f t="shared" si="98"/>
        <v>0.21954420584450129</v>
      </c>
      <c r="H174" s="107">
        <f t="shared" si="102"/>
        <v>61786792</v>
      </c>
      <c r="I174" s="381">
        <f t="shared" si="99"/>
        <v>5.4250180693475494E-2</v>
      </c>
    </row>
    <row r="175" spans="1:9" s="39" customFormat="1" ht="53.25" customHeight="1">
      <c r="A175" s="48"/>
      <c r="B175" s="28"/>
      <c r="C175" s="12">
        <v>2201</v>
      </c>
      <c r="D175" s="23" t="s">
        <v>297</v>
      </c>
      <c r="E175" s="29">
        <f>'SGTO POAI 2023 MARZO'!BF291</f>
        <v>1138923248</v>
      </c>
      <c r="F175" s="29">
        <f>'SGTO POAI 2023 MARZO'!BG291</f>
        <v>250044000</v>
      </c>
      <c r="G175" s="381">
        <f t="shared" si="98"/>
        <v>0.21954420584450129</v>
      </c>
      <c r="H175" s="29">
        <f>'SGTO POAI 2023 MARZO'!BH291</f>
        <v>61786792</v>
      </c>
      <c r="I175" s="381">
        <f t="shared" si="99"/>
        <v>5.4250180693475494E-2</v>
      </c>
    </row>
    <row r="176" spans="1:9" s="39" customFormat="1" ht="24" customHeight="1">
      <c r="A176" s="98">
        <v>3</v>
      </c>
      <c r="B176" s="99" t="s">
        <v>1290</v>
      </c>
      <c r="C176" s="99"/>
      <c r="D176" s="99"/>
      <c r="E176" s="100">
        <f>E177+E179</f>
        <v>1560000000</v>
      </c>
      <c r="F176" s="100">
        <f t="shared" ref="F176:H176" si="103">F177+F179</f>
        <v>237405000</v>
      </c>
      <c r="G176" s="381">
        <f t="shared" si="98"/>
        <v>0.1521826923076923</v>
      </c>
      <c r="H176" s="100">
        <f t="shared" si="103"/>
        <v>56025750</v>
      </c>
      <c r="I176" s="381">
        <f t="shared" si="99"/>
        <v>3.5913942307692306E-2</v>
      </c>
    </row>
    <row r="177" spans="1:9" ht="24" customHeight="1">
      <c r="A177" s="13"/>
      <c r="B177" s="104">
        <v>24</v>
      </c>
      <c r="C177" s="105" t="s">
        <v>212</v>
      </c>
      <c r="D177" s="106"/>
      <c r="E177" s="107">
        <f>E178</f>
        <v>520000000</v>
      </c>
      <c r="F177" s="107">
        <f t="shared" ref="F177:H177" si="104">F178</f>
        <v>88475000</v>
      </c>
      <c r="G177" s="381">
        <f t="shared" si="98"/>
        <v>0.17014423076923077</v>
      </c>
      <c r="H177" s="107">
        <f t="shared" si="104"/>
        <v>23837000</v>
      </c>
      <c r="I177" s="381">
        <f t="shared" si="99"/>
        <v>4.5840384615384616E-2</v>
      </c>
    </row>
    <row r="178" spans="1:9" s="39" customFormat="1" ht="42" customHeight="1">
      <c r="A178" s="47"/>
      <c r="B178" s="28"/>
      <c r="C178" s="12">
        <v>2402</v>
      </c>
      <c r="D178" s="24" t="s">
        <v>213</v>
      </c>
      <c r="E178" s="49">
        <f>'SGTO POAI 2023 MARZO'!BF292</f>
        <v>520000000</v>
      </c>
      <c r="F178" s="49">
        <f>'SGTO POAI 2023 MARZO'!BG292</f>
        <v>88475000</v>
      </c>
      <c r="G178" s="381">
        <f t="shared" si="98"/>
        <v>0.17014423076923077</v>
      </c>
      <c r="H178" s="49">
        <f>'SGTO POAI 2023 MARZO'!BH292</f>
        <v>23837000</v>
      </c>
      <c r="I178" s="381">
        <f t="shared" si="99"/>
        <v>4.5840384615384616E-2</v>
      </c>
    </row>
    <row r="179" spans="1:9" ht="24" customHeight="1">
      <c r="A179" s="40"/>
      <c r="B179" s="108">
        <v>40</v>
      </c>
      <c r="C179" s="109" t="s">
        <v>1291</v>
      </c>
      <c r="D179" s="106"/>
      <c r="E179" s="107">
        <f>E180+E181</f>
        <v>1040000000</v>
      </c>
      <c r="F179" s="107">
        <f>F180+F181</f>
        <v>148930000</v>
      </c>
      <c r="G179" s="381">
        <f t="shared" si="98"/>
        <v>0.14320192307692309</v>
      </c>
      <c r="H179" s="107">
        <f>H180+H181</f>
        <v>32188750</v>
      </c>
      <c r="I179" s="381">
        <f t="shared" si="99"/>
        <v>3.0950721153846155E-2</v>
      </c>
    </row>
    <row r="180" spans="1:9" s="39" customFormat="1" ht="44.25" customHeight="1">
      <c r="A180" s="48"/>
      <c r="B180" s="28"/>
      <c r="C180" s="12">
        <v>4001</v>
      </c>
      <c r="D180" s="50" t="s">
        <v>241</v>
      </c>
      <c r="E180" s="49">
        <f>'SGTO POAI 2023 MARZO'!BF293+'SGTO POAI 2023 MARZO'!BF294+'SGTO POAI 2023 MARZO'!BF295+'SGTO POAI 2023 MARZO'!BF296+'SGTO POAI 2023 MARZO'!BF297+'SGTO POAI 2023 MARZO'!BF298+'SGTO POAI 2023 MARZO'!BF299</f>
        <v>910000000</v>
      </c>
      <c r="F180" s="49">
        <f>'SGTO POAI 2023 MARZO'!BG293+'SGTO POAI 2023 MARZO'!BG294+'SGTO POAI 2023 MARZO'!BG295+'SGTO POAI 2023 MARZO'!BG296+'SGTO POAI 2023 MARZO'!BG297+'SGTO POAI 2023 MARZO'!BG298+'SGTO POAI 2023 MARZO'!BG299</f>
        <v>148930000</v>
      </c>
      <c r="G180" s="381">
        <f t="shared" si="98"/>
        <v>0.16365934065934065</v>
      </c>
      <c r="H180" s="49">
        <f>'SGTO POAI 2023 MARZO'!BH293+'SGTO POAI 2023 MARZO'!BH294+'SGTO POAI 2023 MARZO'!BH295+'SGTO POAI 2023 MARZO'!BH296+'SGTO POAI 2023 MARZO'!BH297+'SGTO POAI 2023 MARZO'!BH298+'SGTO POAI 2023 MARZO'!BH299</f>
        <v>32188750</v>
      </c>
      <c r="I180" s="381">
        <f t="shared" si="99"/>
        <v>3.5372252747252746E-2</v>
      </c>
    </row>
    <row r="181" spans="1:9" s="39" customFormat="1" ht="52.5" customHeight="1">
      <c r="A181" s="252"/>
      <c r="B181" s="28"/>
      <c r="C181" s="12">
        <v>4003</v>
      </c>
      <c r="D181" s="50" t="s">
        <v>249</v>
      </c>
      <c r="E181" s="49">
        <f>'SGTO POAI 2023 MARZO'!BF300</f>
        <v>130000000</v>
      </c>
      <c r="F181" s="49">
        <f>'SGTO POAI 2023 MARZO'!BG300</f>
        <v>0</v>
      </c>
      <c r="G181" s="381"/>
      <c r="H181" s="49">
        <f>'SGTO POAI 2023 MARZO'!BH300</f>
        <v>0</v>
      </c>
      <c r="I181" s="381"/>
    </row>
    <row r="182" spans="1:9" ht="24" customHeight="1">
      <c r="A182" s="98">
        <v>4</v>
      </c>
      <c r="B182" s="99" t="s">
        <v>1280</v>
      </c>
      <c r="C182" s="99"/>
      <c r="D182" s="99"/>
      <c r="E182" s="100">
        <f>E183</f>
        <v>386000000</v>
      </c>
      <c r="F182" s="100">
        <f t="shared" ref="F182:H182" si="105">F183</f>
        <v>63015000</v>
      </c>
      <c r="G182" s="381">
        <f t="shared" si="98"/>
        <v>0.16325129533678756</v>
      </c>
      <c r="H182" s="100">
        <f t="shared" si="105"/>
        <v>18192000</v>
      </c>
      <c r="I182" s="381">
        <f t="shared" si="99"/>
        <v>4.7129533678756476E-2</v>
      </c>
    </row>
    <row r="183" spans="1:9" ht="24" customHeight="1">
      <c r="A183" s="13"/>
      <c r="B183" s="104">
        <v>45</v>
      </c>
      <c r="C183" s="105" t="s">
        <v>60</v>
      </c>
      <c r="D183" s="106"/>
      <c r="E183" s="107">
        <f>SUM(E184:E184)</f>
        <v>386000000</v>
      </c>
      <c r="F183" s="107">
        <f t="shared" ref="F183:H183" si="106">SUM(F184:F184)</f>
        <v>63015000</v>
      </c>
      <c r="G183" s="381">
        <f t="shared" si="98"/>
        <v>0.16325129533678756</v>
      </c>
      <c r="H183" s="107">
        <f t="shared" si="106"/>
        <v>18192000</v>
      </c>
      <c r="I183" s="381">
        <f t="shared" si="99"/>
        <v>4.7129533678756476E-2</v>
      </c>
    </row>
    <row r="184" spans="1:9" ht="53.25" customHeight="1">
      <c r="A184" s="12"/>
      <c r="B184" s="12"/>
      <c r="C184" s="12">
        <v>4599</v>
      </c>
      <c r="D184" s="23" t="s">
        <v>1282</v>
      </c>
      <c r="E184" s="29">
        <f>'SGTO POAI 2023 MARZO'!BF301</f>
        <v>386000000</v>
      </c>
      <c r="F184" s="29">
        <f>'SGTO POAI 2023 MARZO'!BG301</f>
        <v>63015000</v>
      </c>
      <c r="G184" s="381">
        <f t="shared" si="98"/>
        <v>0.16325129533678756</v>
      </c>
      <c r="H184" s="29">
        <f>'SGTO POAI 2023 MARZO'!BH301</f>
        <v>18192000</v>
      </c>
      <c r="I184" s="381">
        <f t="shared" si="99"/>
        <v>4.7129533678756476E-2</v>
      </c>
    </row>
    <row r="185" spans="1:9" s="39" customFormat="1" ht="18.75" customHeight="1">
      <c r="A185" s="5"/>
      <c r="B185" s="5"/>
      <c r="C185" s="5"/>
      <c r="D185" s="6"/>
      <c r="E185" s="38"/>
      <c r="F185" s="38"/>
      <c r="G185" s="38"/>
      <c r="H185" s="38"/>
    </row>
    <row r="186" spans="1:9" ht="24" customHeight="1">
      <c r="A186" s="56" t="s">
        <v>1309</v>
      </c>
      <c r="B186" s="62"/>
      <c r="C186" s="62"/>
      <c r="D186" s="63"/>
      <c r="E186" s="64">
        <f>E187</f>
        <v>118932650</v>
      </c>
      <c r="F186" s="64">
        <f t="shared" ref="F186:H188" si="107">F187</f>
        <v>61000000</v>
      </c>
      <c r="G186" s="381">
        <f t="shared" ref="G186:G189" si="108">F186/E186</f>
        <v>0.51289532352974565</v>
      </c>
      <c r="H186" s="64">
        <f t="shared" si="107"/>
        <v>25750000</v>
      </c>
      <c r="I186" s="381">
        <f t="shared" ref="I186:I189" si="109">H186/E186</f>
        <v>0.21650909149001557</v>
      </c>
    </row>
    <row r="187" spans="1:9" ht="24" customHeight="1">
      <c r="A187" s="98">
        <v>3</v>
      </c>
      <c r="B187" s="99" t="s">
        <v>1290</v>
      </c>
      <c r="C187" s="99"/>
      <c r="D187" s="99"/>
      <c r="E187" s="100">
        <f>E188</f>
        <v>118932650</v>
      </c>
      <c r="F187" s="100">
        <f t="shared" si="107"/>
        <v>61000000</v>
      </c>
      <c r="G187" s="381">
        <f t="shared" si="108"/>
        <v>0.51289532352974565</v>
      </c>
      <c r="H187" s="100">
        <f t="shared" si="107"/>
        <v>25750000</v>
      </c>
      <c r="I187" s="381">
        <f t="shared" si="109"/>
        <v>0.21650909149001557</v>
      </c>
    </row>
    <row r="188" spans="1:9" ht="24" customHeight="1">
      <c r="A188" s="13"/>
      <c r="B188" s="104">
        <v>24</v>
      </c>
      <c r="C188" s="105" t="s">
        <v>212</v>
      </c>
      <c r="D188" s="106"/>
      <c r="E188" s="107">
        <f>E189</f>
        <v>118932650</v>
      </c>
      <c r="F188" s="107">
        <f t="shared" si="107"/>
        <v>61000000</v>
      </c>
      <c r="G188" s="381">
        <f t="shared" si="108"/>
        <v>0.51289532352974565</v>
      </c>
      <c r="H188" s="107">
        <f t="shared" si="107"/>
        <v>25750000</v>
      </c>
      <c r="I188" s="381">
        <f t="shared" si="109"/>
        <v>0.21650909149001557</v>
      </c>
    </row>
    <row r="189" spans="1:9" ht="54" customHeight="1">
      <c r="A189" s="31"/>
      <c r="B189" s="22"/>
      <c r="C189" s="12">
        <v>2409</v>
      </c>
      <c r="D189" s="23" t="s">
        <v>1257</v>
      </c>
      <c r="E189" s="29">
        <f>'SGTO POAI 2023 MARZO'!BF302+'SGTO POAI 2023 MARZO'!BF303+'SGTO POAI 2023 MARZO'!BF304+'SGTO POAI 2023 MARZO'!BF305</f>
        <v>118932650</v>
      </c>
      <c r="F189" s="29">
        <f>'SGTO POAI 2023 MARZO'!BG302+'SGTO POAI 2023 MARZO'!BG303+'SGTO POAI 2023 MARZO'!BG304+'SGTO POAI 2023 MARZO'!BG305</f>
        <v>61000000</v>
      </c>
      <c r="G189" s="381">
        <f t="shared" si="108"/>
        <v>0.51289532352974565</v>
      </c>
      <c r="H189" s="29">
        <f>'SGTO POAI 2023 MARZO'!BH302+'SGTO POAI 2023 MARZO'!BH303+'SGTO POAI 2023 MARZO'!BH304+'SGTO POAI 2023 MARZO'!BH305</f>
        <v>25750000</v>
      </c>
      <c r="I189" s="381">
        <f t="shared" si="109"/>
        <v>0.21650909149001557</v>
      </c>
    </row>
    <row r="190" spans="1:9" s="39" customFormat="1" ht="23.25" customHeight="1">
      <c r="A190" s="5"/>
      <c r="B190" s="5"/>
      <c r="C190" s="5"/>
      <c r="D190" s="6"/>
      <c r="E190" s="51"/>
      <c r="F190" s="51"/>
      <c r="G190" s="51"/>
      <c r="H190" s="51"/>
    </row>
    <row r="191" spans="1:9" s="9" customFormat="1" ht="30" customHeight="1">
      <c r="A191" s="78" t="s">
        <v>1310</v>
      </c>
      <c r="B191" s="78"/>
      <c r="C191" s="78"/>
      <c r="D191" s="78"/>
      <c r="E191" s="79">
        <f>E186+E170+E164</f>
        <v>13883917200.619999</v>
      </c>
      <c r="F191" s="79">
        <f>F186+F170+F164</f>
        <v>3197807628</v>
      </c>
      <c r="G191" s="381">
        <f>F191/E191</f>
        <v>0.23032459656682475</v>
      </c>
      <c r="H191" s="79">
        <f>H186+H170+H164</f>
        <v>660691718</v>
      </c>
      <c r="I191" s="381">
        <f>H191/E191</f>
        <v>4.7586837954528872E-2</v>
      </c>
    </row>
    <row r="192" spans="1:9" s="9" customFormat="1" ht="16.5" thickBot="1">
      <c r="A192" s="52"/>
      <c r="B192" s="52"/>
      <c r="C192" s="52"/>
      <c r="D192" s="53"/>
      <c r="E192" s="54"/>
      <c r="F192" s="54"/>
      <c r="G192" s="54"/>
      <c r="H192" s="54"/>
    </row>
    <row r="193" spans="1:9" s="9" customFormat="1" ht="30" customHeight="1" thickBot="1">
      <c r="A193" s="74" t="s">
        <v>1311</v>
      </c>
      <c r="B193" s="75"/>
      <c r="C193" s="75"/>
      <c r="D193" s="76"/>
      <c r="E193" s="77">
        <f>E162+E191</f>
        <v>419927151314.08997</v>
      </c>
      <c r="F193" s="77">
        <f>F162+F191</f>
        <v>120183438781.91</v>
      </c>
      <c r="G193" s="382">
        <f>F193/E193</f>
        <v>0.28620068601379206</v>
      </c>
      <c r="H193" s="77">
        <f>H162+H191</f>
        <v>54042430962.400002</v>
      </c>
      <c r="I193" s="382">
        <f>H193/E193</f>
        <v>0.12869477668515475</v>
      </c>
    </row>
    <row r="195" spans="1:9" ht="28.5" customHeight="1"/>
    <row r="197" spans="1:9" ht="15.75" thickBot="1"/>
    <row r="198" spans="1:9" ht="15.75">
      <c r="E198" s="518" t="s">
        <v>1508</v>
      </c>
      <c r="F198" s="519"/>
    </row>
    <row r="199" spans="1:9">
      <c r="E199" s="520" t="s">
        <v>1500</v>
      </c>
      <c r="F199" s="521"/>
    </row>
    <row r="200" spans="1:9">
      <c r="E200" s="522" t="s">
        <v>1502</v>
      </c>
      <c r="F200" s="523"/>
    </row>
    <row r="201" spans="1:9">
      <c r="E201" s="503" t="s">
        <v>1504</v>
      </c>
      <c r="F201" s="504"/>
    </row>
    <row r="202" spans="1:9">
      <c r="E202" s="505" t="s">
        <v>1506</v>
      </c>
      <c r="F202" s="506"/>
    </row>
    <row r="203" spans="1:9">
      <c r="E203" s="507" t="s">
        <v>1507</v>
      </c>
      <c r="F203" s="508"/>
    </row>
  </sheetData>
  <mergeCells count="8">
    <mergeCell ref="E201:F201"/>
    <mergeCell ref="E202:F202"/>
    <mergeCell ref="E203:F203"/>
    <mergeCell ref="C5:D5"/>
    <mergeCell ref="A1:I3"/>
    <mergeCell ref="E198:F198"/>
    <mergeCell ref="E199:F199"/>
    <mergeCell ref="E200:F200"/>
  </mergeCells>
  <conditionalFormatting sqref="G6">
    <cfRule type="cellIs" dxfId="479" priority="206" operator="between">
      <formula>0</formula>
      <formula>0.3999</formula>
    </cfRule>
    <cfRule type="cellIs" dxfId="478" priority="207" operator="between">
      <formula>0.3955</formula>
      <formula>0.5949</formula>
    </cfRule>
    <cfRule type="cellIs" dxfId="477" priority="208" operator="between">
      <formula>0.595</formula>
      <formula>0.6949</formula>
    </cfRule>
    <cfRule type="cellIs" dxfId="476" priority="209" operator="between">
      <formula>0.695</formula>
      <formula>0.7949</formula>
    </cfRule>
    <cfRule type="cellIs" dxfId="475" priority="210" operator="between">
      <formula>0.795</formula>
      <formula>1</formula>
    </cfRule>
  </conditionalFormatting>
  <conditionalFormatting sqref="G7:G10">
    <cfRule type="cellIs" dxfId="474" priority="201" operator="between">
      <formula>0</formula>
      <formula>0.3999</formula>
    </cfRule>
    <cfRule type="cellIs" dxfId="473" priority="202" operator="between">
      <formula>0.3955</formula>
      <formula>0.5949</formula>
    </cfRule>
    <cfRule type="cellIs" dxfId="472" priority="203" operator="between">
      <formula>0.595</formula>
      <formula>0.6949</formula>
    </cfRule>
    <cfRule type="cellIs" dxfId="471" priority="204" operator="between">
      <formula>0.695</formula>
      <formula>0.7949</formula>
    </cfRule>
    <cfRule type="cellIs" dxfId="470" priority="205" operator="between">
      <formula>0.795</formula>
      <formula>1</formula>
    </cfRule>
  </conditionalFormatting>
  <conditionalFormatting sqref="G12:G16">
    <cfRule type="cellIs" dxfId="469" priority="196" operator="between">
      <formula>0</formula>
      <formula>0.3999</formula>
    </cfRule>
    <cfRule type="cellIs" dxfId="468" priority="197" operator="between">
      <formula>0.3955</formula>
      <formula>0.5949</formula>
    </cfRule>
    <cfRule type="cellIs" dxfId="467" priority="198" operator="between">
      <formula>0.595</formula>
      <formula>0.6949</formula>
    </cfRule>
    <cfRule type="cellIs" dxfId="466" priority="199" operator="between">
      <formula>0.695</formula>
      <formula>0.7949</formula>
    </cfRule>
    <cfRule type="cellIs" dxfId="465" priority="200" operator="between">
      <formula>0.795</formula>
      <formula>1</formula>
    </cfRule>
  </conditionalFormatting>
  <conditionalFormatting sqref="G18:G21">
    <cfRule type="cellIs" dxfId="464" priority="191" operator="between">
      <formula>0</formula>
      <formula>0.3999</formula>
    </cfRule>
    <cfRule type="cellIs" dxfId="463" priority="192" operator="between">
      <formula>0.3955</formula>
      <formula>0.5949</formula>
    </cfRule>
    <cfRule type="cellIs" dxfId="462" priority="193" operator="between">
      <formula>0.595</formula>
      <formula>0.6949</formula>
    </cfRule>
    <cfRule type="cellIs" dxfId="461" priority="194" operator="between">
      <formula>0.695</formula>
      <formula>0.7949</formula>
    </cfRule>
    <cfRule type="cellIs" dxfId="460" priority="195" operator="between">
      <formula>0.795</formula>
      <formula>1</formula>
    </cfRule>
  </conditionalFormatting>
  <conditionalFormatting sqref="G23:G51">
    <cfRule type="cellIs" dxfId="459" priority="186" operator="between">
      <formula>0</formula>
      <formula>0.3999</formula>
    </cfRule>
    <cfRule type="cellIs" dxfId="458" priority="187" operator="between">
      <formula>0.3955</formula>
      <formula>0.5949</formula>
    </cfRule>
    <cfRule type="cellIs" dxfId="457" priority="188" operator="between">
      <formula>0.595</formula>
      <formula>0.6949</formula>
    </cfRule>
    <cfRule type="cellIs" dxfId="456" priority="189" operator="between">
      <formula>0.695</formula>
      <formula>0.7949</formula>
    </cfRule>
    <cfRule type="cellIs" dxfId="455" priority="190" operator="between">
      <formula>0.795</formula>
      <formula>1</formula>
    </cfRule>
  </conditionalFormatting>
  <conditionalFormatting sqref="G53:G73">
    <cfRule type="cellIs" dxfId="454" priority="181" operator="between">
      <formula>0</formula>
      <formula>0.3999</formula>
    </cfRule>
    <cfRule type="cellIs" dxfId="453" priority="182" operator="between">
      <formula>0.3955</formula>
      <formula>0.5949</formula>
    </cfRule>
    <cfRule type="cellIs" dxfId="452" priority="183" operator="between">
      <formula>0.595</formula>
      <formula>0.6949</formula>
    </cfRule>
    <cfRule type="cellIs" dxfId="451" priority="184" operator="between">
      <formula>0.695</formula>
      <formula>0.7949</formula>
    </cfRule>
    <cfRule type="cellIs" dxfId="450" priority="185" operator="between">
      <formula>0.795</formula>
      <formula>1</formula>
    </cfRule>
  </conditionalFormatting>
  <conditionalFormatting sqref="G75:G79">
    <cfRule type="cellIs" dxfId="449" priority="176" operator="between">
      <formula>0</formula>
      <formula>0.3999</formula>
    </cfRule>
    <cfRule type="cellIs" dxfId="448" priority="177" operator="between">
      <formula>0.3955</formula>
      <formula>0.5949</formula>
    </cfRule>
    <cfRule type="cellIs" dxfId="447" priority="178" operator="between">
      <formula>0.595</formula>
      <formula>0.6949</formula>
    </cfRule>
    <cfRule type="cellIs" dxfId="446" priority="179" operator="between">
      <formula>0.695</formula>
      <formula>0.7949</formula>
    </cfRule>
    <cfRule type="cellIs" dxfId="445" priority="180" operator="between">
      <formula>0.795</formula>
      <formula>1</formula>
    </cfRule>
  </conditionalFormatting>
  <conditionalFormatting sqref="G81:G86">
    <cfRule type="cellIs" dxfId="444" priority="171" operator="between">
      <formula>0</formula>
      <formula>0.3999</formula>
    </cfRule>
    <cfRule type="cellIs" dxfId="443" priority="172" operator="between">
      <formula>0.3955</formula>
      <formula>0.5949</formula>
    </cfRule>
    <cfRule type="cellIs" dxfId="442" priority="173" operator="between">
      <formula>0.595</formula>
      <formula>0.6949</formula>
    </cfRule>
    <cfRule type="cellIs" dxfId="441" priority="174" operator="between">
      <formula>0.695</formula>
      <formula>0.7949</formula>
    </cfRule>
    <cfRule type="cellIs" dxfId="440" priority="175" operator="between">
      <formula>0.795</formula>
      <formula>1</formula>
    </cfRule>
  </conditionalFormatting>
  <conditionalFormatting sqref="G88:G106">
    <cfRule type="cellIs" dxfId="439" priority="166" operator="between">
      <formula>0</formula>
      <formula>0.3999</formula>
    </cfRule>
    <cfRule type="cellIs" dxfId="438" priority="167" operator="between">
      <formula>0.3955</formula>
      <formula>0.5949</formula>
    </cfRule>
    <cfRule type="cellIs" dxfId="437" priority="168" operator="between">
      <formula>0.595</formula>
      <formula>0.6949</formula>
    </cfRule>
    <cfRule type="cellIs" dxfId="436" priority="169" operator="between">
      <formula>0.695</formula>
      <formula>0.7949</formula>
    </cfRule>
    <cfRule type="cellIs" dxfId="435" priority="170" operator="between">
      <formula>0.795</formula>
      <formula>1</formula>
    </cfRule>
  </conditionalFormatting>
  <conditionalFormatting sqref="G108:G112">
    <cfRule type="cellIs" dxfId="434" priority="161" operator="between">
      <formula>0</formula>
      <formula>0.3999</formula>
    </cfRule>
    <cfRule type="cellIs" dxfId="433" priority="162" operator="between">
      <formula>0.3955</formula>
      <formula>0.5949</formula>
    </cfRule>
    <cfRule type="cellIs" dxfId="432" priority="163" operator="between">
      <formula>0.595</formula>
      <formula>0.6949</formula>
    </cfRule>
    <cfRule type="cellIs" dxfId="431" priority="164" operator="between">
      <formula>0.695</formula>
      <formula>0.7949</formula>
    </cfRule>
    <cfRule type="cellIs" dxfId="430" priority="165" operator="between">
      <formula>0.795</formula>
      <formula>1</formula>
    </cfRule>
  </conditionalFormatting>
  <conditionalFormatting sqref="G114:G121">
    <cfRule type="cellIs" dxfId="429" priority="156" operator="between">
      <formula>0</formula>
      <formula>0.3999</formula>
    </cfRule>
    <cfRule type="cellIs" dxfId="428" priority="157" operator="between">
      <formula>0.3955</formula>
      <formula>0.5949</formula>
    </cfRule>
    <cfRule type="cellIs" dxfId="427" priority="158" operator="between">
      <formula>0.595</formula>
      <formula>0.6949</formula>
    </cfRule>
    <cfRule type="cellIs" dxfId="426" priority="159" operator="between">
      <formula>0.695</formula>
      <formula>0.7949</formula>
    </cfRule>
    <cfRule type="cellIs" dxfId="425" priority="160" operator="between">
      <formula>0.795</formula>
      <formula>1</formula>
    </cfRule>
  </conditionalFormatting>
  <conditionalFormatting sqref="G123:G140">
    <cfRule type="cellIs" dxfId="424" priority="151" operator="between">
      <formula>0</formula>
      <formula>0.3999</formula>
    </cfRule>
    <cfRule type="cellIs" dxfId="423" priority="152" operator="between">
      <formula>0.3955</formula>
      <formula>0.5949</formula>
    </cfRule>
    <cfRule type="cellIs" dxfId="422" priority="153" operator="between">
      <formula>0.595</formula>
      <formula>0.6949</formula>
    </cfRule>
    <cfRule type="cellIs" dxfId="421" priority="154" operator="between">
      <formula>0.695</formula>
      <formula>0.7949</formula>
    </cfRule>
    <cfRule type="cellIs" dxfId="420" priority="155" operator="between">
      <formula>0.795</formula>
      <formula>1</formula>
    </cfRule>
  </conditionalFormatting>
  <conditionalFormatting sqref="G142:G147">
    <cfRule type="cellIs" dxfId="419" priority="146" operator="between">
      <formula>0</formula>
      <formula>0.3999</formula>
    </cfRule>
    <cfRule type="cellIs" dxfId="418" priority="147" operator="between">
      <formula>0.3955</formula>
      <formula>0.5949</formula>
    </cfRule>
    <cfRule type="cellIs" dxfId="417" priority="148" operator="between">
      <formula>0.595</formula>
      <formula>0.6949</formula>
    </cfRule>
    <cfRule type="cellIs" dxfId="416" priority="149" operator="between">
      <formula>0.695</formula>
      <formula>0.7949</formula>
    </cfRule>
    <cfRule type="cellIs" dxfId="415" priority="150" operator="between">
      <formula>0.795</formula>
      <formula>1</formula>
    </cfRule>
  </conditionalFormatting>
  <conditionalFormatting sqref="G149:G160">
    <cfRule type="cellIs" dxfId="414" priority="141" operator="between">
      <formula>0</formula>
      <formula>0.3999</formula>
    </cfRule>
    <cfRule type="cellIs" dxfId="413" priority="142" operator="between">
      <formula>0.3955</formula>
      <formula>0.5949</formula>
    </cfRule>
    <cfRule type="cellIs" dxfId="412" priority="143" operator="between">
      <formula>0.595</formula>
      <formula>0.6949</formula>
    </cfRule>
    <cfRule type="cellIs" dxfId="411" priority="144" operator="between">
      <formula>0.695</formula>
      <formula>0.7949</formula>
    </cfRule>
    <cfRule type="cellIs" dxfId="410" priority="145" operator="between">
      <formula>0.795</formula>
      <formula>1</formula>
    </cfRule>
  </conditionalFormatting>
  <conditionalFormatting sqref="G162">
    <cfRule type="cellIs" dxfId="409" priority="136" operator="between">
      <formula>0</formula>
      <formula>0.3999</formula>
    </cfRule>
    <cfRule type="cellIs" dxfId="408" priority="137" operator="between">
      <formula>0.3955</formula>
      <formula>0.5949</formula>
    </cfRule>
    <cfRule type="cellIs" dxfId="407" priority="138" operator="between">
      <formula>0.595</formula>
      <formula>0.6949</formula>
    </cfRule>
    <cfRule type="cellIs" dxfId="406" priority="139" operator="between">
      <formula>0.695</formula>
      <formula>0.7949</formula>
    </cfRule>
    <cfRule type="cellIs" dxfId="405" priority="140" operator="between">
      <formula>0.795</formula>
      <formula>1</formula>
    </cfRule>
  </conditionalFormatting>
  <conditionalFormatting sqref="G164:G166">
    <cfRule type="cellIs" dxfId="404" priority="131" operator="between">
      <formula>0</formula>
      <formula>0.3999</formula>
    </cfRule>
    <cfRule type="cellIs" dxfId="403" priority="132" operator="between">
      <formula>0.3955</formula>
      <formula>0.5949</formula>
    </cfRule>
    <cfRule type="cellIs" dxfId="402" priority="133" operator="between">
      <formula>0.595</formula>
      <formula>0.6949</formula>
    </cfRule>
    <cfRule type="cellIs" dxfId="401" priority="134" operator="between">
      <formula>0.695</formula>
      <formula>0.7949</formula>
    </cfRule>
    <cfRule type="cellIs" dxfId="400" priority="135" operator="between">
      <formula>0.795</formula>
      <formula>1</formula>
    </cfRule>
  </conditionalFormatting>
  <conditionalFormatting sqref="G167:G168">
    <cfRule type="cellIs" dxfId="399" priority="126" operator="between">
      <formula>0</formula>
      <formula>0.3999</formula>
    </cfRule>
    <cfRule type="cellIs" dxfId="398" priority="127" operator="between">
      <formula>0.3955</formula>
      <formula>0.5949</formula>
    </cfRule>
    <cfRule type="cellIs" dxfId="397" priority="128" operator="between">
      <formula>0.595</formula>
      <formula>0.6949</formula>
    </cfRule>
    <cfRule type="cellIs" dxfId="396" priority="129" operator="between">
      <formula>0.695</formula>
      <formula>0.7949</formula>
    </cfRule>
    <cfRule type="cellIs" dxfId="395" priority="130" operator="between">
      <formula>0.795</formula>
      <formula>1</formula>
    </cfRule>
  </conditionalFormatting>
  <conditionalFormatting sqref="G170:G184">
    <cfRule type="cellIs" dxfId="394" priority="121" operator="between">
      <formula>0</formula>
      <formula>0.3999</formula>
    </cfRule>
    <cfRule type="cellIs" dxfId="393" priority="122" operator="between">
      <formula>0.3955</formula>
      <formula>0.5949</formula>
    </cfRule>
    <cfRule type="cellIs" dxfId="392" priority="123" operator="between">
      <formula>0.595</formula>
      <formula>0.6949</formula>
    </cfRule>
    <cfRule type="cellIs" dxfId="391" priority="124" operator="between">
      <formula>0.695</formula>
      <formula>0.7949</formula>
    </cfRule>
    <cfRule type="cellIs" dxfId="390" priority="125" operator="between">
      <formula>0.795</formula>
      <formula>1</formula>
    </cfRule>
  </conditionalFormatting>
  <conditionalFormatting sqref="G186:G189">
    <cfRule type="cellIs" dxfId="389" priority="116" operator="between">
      <formula>0</formula>
      <formula>0.3999</formula>
    </cfRule>
    <cfRule type="cellIs" dxfId="388" priority="117" operator="between">
      <formula>0.3955</formula>
      <formula>0.5949</formula>
    </cfRule>
    <cfRule type="cellIs" dxfId="387" priority="118" operator="between">
      <formula>0.595</formula>
      <formula>0.6949</formula>
    </cfRule>
    <cfRule type="cellIs" dxfId="386" priority="119" operator="between">
      <formula>0.695</formula>
      <formula>0.7949</formula>
    </cfRule>
    <cfRule type="cellIs" dxfId="385" priority="120" operator="between">
      <formula>0.795</formula>
      <formula>1</formula>
    </cfRule>
  </conditionalFormatting>
  <conditionalFormatting sqref="G191">
    <cfRule type="cellIs" dxfId="384" priority="111" operator="between">
      <formula>0</formula>
      <formula>0.3999</formula>
    </cfRule>
    <cfRule type="cellIs" dxfId="383" priority="112" operator="between">
      <formula>0.3955</formula>
      <formula>0.5949</formula>
    </cfRule>
    <cfRule type="cellIs" dxfId="382" priority="113" operator="between">
      <formula>0.595</formula>
      <formula>0.6949</formula>
    </cfRule>
    <cfRule type="cellIs" dxfId="381" priority="114" operator="between">
      <formula>0.695</formula>
      <formula>0.7949</formula>
    </cfRule>
    <cfRule type="cellIs" dxfId="380" priority="115" operator="between">
      <formula>0.795</formula>
      <formula>1</formula>
    </cfRule>
  </conditionalFormatting>
  <conditionalFormatting sqref="G193">
    <cfRule type="cellIs" dxfId="379" priority="106" operator="between">
      <formula>0</formula>
      <formula>0.3999</formula>
    </cfRule>
    <cfRule type="cellIs" dxfId="378" priority="107" operator="between">
      <formula>0.3955</formula>
      <formula>0.5949</formula>
    </cfRule>
    <cfRule type="cellIs" dxfId="377" priority="108" operator="between">
      <formula>0.595</formula>
      <formula>0.6949</formula>
    </cfRule>
    <cfRule type="cellIs" dxfId="376" priority="109" operator="between">
      <formula>0.695</formula>
      <formula>0.7949</formula>
    </cfRule>
    <cfRule type="cellIs" dxfId="375" priority="110" operator="between">
      <formula>0.795</formula>
      <formula>1</formula>
    </cfRule>
  </conditionalFormatting>
  <conditionalFormatting sqref="I6">
    <cfRule type="cellIs" dxfId="374" priority="101" operator="between">
      <formula>0</formula>
      <formula>0.3999</formula>
    </cfRule>
    <cfRule type="cellIs" dxfId="373" priority="102" operator="between">
      <formula>0.3955</formula>
      <formula>0.5949</formula>
    </cfRule>
    <cfRule type="cellIs" dxfId="372" priority="103" operator="between">
      <formula>0.595</formula>
      <formula>0.6949</formula>
    </cfRule>
    <cfRule type="cellIs" dxfId="371" priority="104" operator="between">
      <formula>0.695</formula>
      <formula>0.7949</formula>
    </cfRule>
    <cfRule type="cellIs" dxfId="370" priority="105" operator="between">
      <formula>0.795</formula>
      <formula>1</formula>
    </cfRule>
  </conditionalFormatting>
  <conditionalFormatting sqref="I193">
    <cfRule type="cellIs" dxfId="369" priority="1" operator="between">
      <formula>0</formula>
      <formula>0.3999</formula>
    </cfRule>
    <cfRule type="cellIs" dxfId="368" priority="2" operator="between">
      <formula>0.3955</formula>
      <formula>0.5949</formula>
    </cfRule>
    <cfRule type="cellIs" dxfId="367" priority="3" operator="between">
      <formula>0.595</formula>
      <formula>0.6949</formula>
    </cfRule>
    <cfRule type="cellIs" dxfId="366" priority="4" operator="between">
      <formula>0.695</formula>
      <formula>0.7949</formula>
    </cfRule>
    <cfRule type="cellIs" dxfId="365" priority="5" operator="between">
      <formula>0.795</formula>
      <formula>1</formula>
    </cfRule>
  </conditionalFormatting>
  <conditionalFormatting sqref="I7:I10">
    <cfRule type="cellIs" dxfId="364" priority="91" operator="between">
      <formula>0</formula>
      <formula>0.3999</formula>
    </cfRule>
    <cfRule type="cellIs" dxfId="363" priority="92" operator="between">
      <formula>0.3955</formula>
      <formula>0.5949</formula>
    </cfRule>
    <cfRule type="cellIs" dxfId="362" priority="93" operator="between">
      <formula>0.595</formula>
      <formula>0.6949</formula>
    </cfRule>
    <cfRule type="cellIs" dxfId="361" priority="94" operator="between">
      <formula>0.695</formula>
      <formula>0.7949</formula>
    </cfRule>
    <cfRule type="cellIs" dxfId="360" priority="95" operator="between">
      <formula>0.795</formula>
      <formula>1</formula>
    </cfRule>
  </conditionalFormatting>
  <conditionalFormatting sqref="I12:I16">
    <cfRule type="cellIs" dxfId="359" priority="86" operator="between">
      <formula>0</formula>
      <formula>0.3999</formula>
    </cfRule>
    <cfRule type="cellIs" dxfId="358" priority="87" operator="between">
      <formula>0.3955</formula>
      <formula>0.5949</formula>
    </cfRule>
    <cfRule type="cellIs" dxfId="357" priority="88" operator="between">
      <formula>0.595</formula>
      <formula>0.6949</formula>
    </cfRule>
    <cfRule type="cellIs" dxfId="356" priority="89" operator="between">
      <formula>0.695</formula>
      <formula>0.7949</formula>
    </cfRule>
    <cfRule type="cellIs" dxfId="355" priority="90" operator="between">
      <formula>0.795</formula>
      <formula>1</formula>
    </cfRule>
  </conditionalFormatting>
  <conditionalFormatting sqref="I18:I21">
    <cfRule type="cellIs" dxfId="354" priority="81" operator="between">
      <formula>0</formula>
      <formula>0.3999</formula>
    </cfRule>
    <cfRule type="cellIs" dxfId="353" priority="82" operator="between">
      <formula>0.3955</formula>
      <formula>0.5949</formula>
    </cfRule>
    <cfRule type="cellIs" dxfId="352" priority="83" operator="between">
      <formula>0.595</formula>
      <formula>0.6949</formula>
    </cfRule>
    <cfRule type="cellIs" dxfId="351" priority="84" operator="between">
      <formula>0.695</formula>
      <formula>0.7949</formula>
    </cfRule>
    <cfRule type="cellIs" dxfId="350" priority="85" operator="between">
      <formula>0.795</formula>
      <formula>1</formula>
    </cfRule>
  </conditionalFormatting>
  <conditionalFormatting sqref="I23:I51">
    <cfRule type="cellIs" dxfId="349" priority="76" operator="between">
      <formula>0</formula>
      <formula>0.3999</formula>
    </cfRule>
    <cfRule type="cellIs" dxfId="348" priority="77" operator="between">
      <formula>0.3955</formula>
      <formula>0.5949</formula>
    </cfRule>
    <cfRule type="cellIs" dxfId="347" priority="78" operator="between">
      <formula>0.595</formula>
      <formula>0.6949</formula>
    </cfRule>
    <cfRule type="cellIs" dxfId="346" priority="79" operator="between">
      <formula>0.695</formula>
      <formula>0.7949</formula>
    </cfRule>
    <cfRule type="cellIs" dxfId="345" priority="80" operator="between">
      <formula>0.795</formula>
      <formula>1</formula>
    </cfRule>
  </conditionalFormatting>
  <conditionalFormatting sqref="I53:I73">
    <cfRule type="cellIs" dxfId="344" priority="71" operator="between">
      <formula>0</formula>
      <formula>0.3999</formula>
    </cfRule>
    <cfRule type="cellIs" dxfId="343" priority="72" operator="between">
      <formula>0.3955</formula>
      <formula>0.5949</formula>
    </cfRule>
    <cfRule type="cellIs" dxfId="342" priority="73" operator="between">
      <formula>0.595</formula>
      <formula>0.6949</formula>
    </cfRule>
    <cfRule type="cellIs" dxfId="341" priority="74" operator="between">
      <formula>0.695</formula>
      <formula>0.7949</formula>
    </cfRule>
    <cfRule type="cellIs" dxfId="340" priority="75" operator="between">
      <formula>0.795</formula>
      <formula>1</formula>
    </cfRule>
  </conditionalFormatting>
  <conditionalFormatting sqref="I75:I79">
    <cfRule type="cellIs" dxfId="339" priority="66" operator="between">
      <formula>0</formula>
      <formula>0.3999</formula>
    </cfRule>
    <cfRule type="cellIs" dxfId="338" priority="67" operator="between">
      <formula>0.3955</formula>
      <formula>0.5949</formula>
    </cfRule>
    <cfRule type="cellIs" dxfId="337" priority="68" operator="between">
      <formula>0.595</formula>
      <formula>0.6949</formula>
    </cfRule>
    <cfRule type="cellIs" dxfId="336" priority="69" operator="between">
      <formula>0.695</formula>
      <formula>0.7949</formula>
    </cfRule>
    <cfRule type="cellIs" dxfId="335" priority="70" operator="between">
      <formula>0.795</formula>
      <formula>1</formula>
    </cfRule>
  </conditionalFormatting>
  <conditionalFormatting sqref="I81:I86">
    <cfRule type="cellIs" dxfId="334" priority="61" operator="between">
      <formula>0</formula>
      <formula>0.3999</formula>
    </cfRule>
    <cfRule type="cellIs" dxfId="333" priority="62" operator="between">
      <formula>0.3955</formula>
      <formula>0.5949</formula>
    </cfRule>
    <cfRule type="cellIs" dxfId="332" priority="63" operator="between">
      <formula>0.595</formula>
      <formula>0.6949</formula>
    </cfRule>
    <cfRule type="cellIs" dxfId="331" priority="64" operator="between">
      <formula>0.695</formula>
      <formula>0.7949</formula>
    </cfRule>
    <cfRule type="cellIs" dxfId="330" priority="65" operator="between">
      <formula>0.795</formula>
      <formula>1</formula>
    </cfRule>
  </conditionalFormatting>
  <conditionalFormatting sqref="I88:I106">
    <cfRule type="cellIs" dxfId="329" priority="56" operator="between">
      <formula>0</formula>
      <formula>0.3999</formula>
    </cfRule>
    <cfRule type="cellIs" dxfId="328" priority="57" operator="between">
      <formula>0.3955</formula>
      <formula>0.5949</formula>
    </cfRule>
    <cfRule type="cellIs" dxfId="327" priority="58" operator="between">
      <formula>0.595</formula>
      <formula>0.6949</formula>
    </cfRule>
    <cfRule type="cellIs" dxfId="326" priority="59" operator="between">
      <formula>0.695</formula>
      <formula>0.7949</formula>
    </cfRule>
    <cfRule type="cellIs" dxfId="325" priority="60" operator="between">
      <formula>0.795</formula>
      <formula>1</formula>
    </cfRule>
  </conditionalFormatting>
  <conditionalFormatting sqref="I108:I112">
    <cfRule type="cellIs" dxfId="324" priority="51" operator="between">
      <formula>0</formula>
      <formula>0.3999</formula>
    </cfRule>
    <cfRule type="cellIs" dxfId="323" priority="52" operator="between">
      <formula>0.3955</formula>
      <formula>0.5949</formula>
    </cfRule>
    <cfRule type="cellIs" dxfId="322" priority="53" operator="between">
      <formula>0.595</formula>
      <formula>0.6949</formula>
    </cfRule>
    <cfRule type="cellIs" dxfId="321" priority="54" operator="between">
      <formula>0.695</formula>
      <formula>0.7949</formula>
    </cfRule>
    <cfRule type="cellIs" dxfId="320" priority="55" operator="between">
      <formula>0.795</formula>
      <formula>1</formula>
    </cfRule>
  </conditionalFormatting>
  <conditionalFormatting sqref="I114:I121">
    <cfRule type="cellIs" dxfId="319" priority="46" operator="between">
      <formula>0</formula>
      <formula>0.3999</formula>
    </cfRule>
    <cfRule type="cellIs" dxfId="318" priority="47" operator="between">
      <formula>0.3955</formula>
      <formula>0.5949</formula>
    </cfRule>
    <cfRule type="cellIs" dxfId="317" priority="48" operator="between">
      <formula>0.595</formula>
      <formula>0.6949</formula>
    </cfRule>
    <cfRule type="cellIs" dxfId="316" priority="49" operator="between">
      <formula>0.695</formula>
      <formula>0.7949</formula>
    </cfRule>
    <cfRule type="cellIs" dxfId="315" priority="50" operator="between">
      <formula>0.795</formula>
      <formula>1</formula>
    </cfRule>
  </conditionalFormatting>
  <conditionalFormatting sqref="I123:I140">
    <cfRule type="cellIs" dxfId="314" priority="41" operator="between">
      <formula>0</formula>
      <formula>0.3999</formula>
    </cfRule>
    <cfRule type="cellIs" dxfId="313" priority="42" operator="between">
      <formula>0.3955</formula>
      <formula>0.5949</formula>
    </cfRule>
    <cfRule type="cellIs" dxfId="312" priority="43" operator="between">
      <formula>0.595</formula>
      <formula>0.6949</formula>
    </cfRule>
    <cfRule type="cellIs" dxfId="311" priority="44" operator="between">
      <formula>0.695</formula>
      <formula>0.7949</formula>
    </cfRule>
    <cfRule type="cellIs" dxfId="310" priority="45" operator="between">
      <formula>0.795</formula>
      <formula>1</formula>
    </cfRule>
  </conditionalFormatting>
  <conditionalFormatting sqref="I142:I147">
    <cfRule type="cellIs" dxfId="309" priority="36" operator="between">
      <formula>0</formula>
      <formula>0.3999</formula>
    </cfRule>
    <cfRule type="cellIs" dxfId="308" priority="37" operator="between">
      <formula>0.3955</formula>
      <formula>0.5949</formula>
    </cfRule>
    <cfRule type="cellIs" dxfId="307" priority="38" operator="between">
      <formula>0.595</formula>
      <formula>0.6949</formula>
    </cfRule>
    <cfRule type="cellIs" dxfId="306" priority="39" operator="between">
      <formula>0.695</formula>
      <formula>0.7949</formula>
    </cfRule>
    <cfRule type="cellIs" dxfId="305" priority="40" operator="between">
      <formula>0.795</formula>
      <formula>1</formula>
    </cfRule>
  </conditionalFormatting>
  <conditionalFormatting sqref="I149:I160">
    <cfRule type="cellIs" dxfId="304" priority="31" operator="between">
      <formula>0</formula>
      <formula>0.3999</formula>
    </cfRule>
    <cfRule type="cellIs" dxfId="303" priority="32" operator="between">
      <formula>0.3955</formula>
      <formula>0.5949</formula>
    </cfRule>
    <cfRule type="cellIs" dxfId="302" priority="33" operator="between">
      <formula>0.595</formula>
      <formula>0.6949</formula>
    </cfRule>
    <cfRule type="cellIs" dxfId="301" priority="34" operator="between">
      <formula>0.695</formula>
      <formula>0.7949</formula>
    </cfRule>
    <cfRule type="cellIs" dxfId="300" priority="35" operator="between">
      <formula>0.795</formula>
      <formula>1</formula>
    </cfRule>
  </conditionalFormatting>
  <conditionalFormatting sqref="I162">
    <cfRule type="cellIs" dxfId="299" priority="26" operator="between">
      <formula>0</formula>
      <formula>0.3999</formula>
    </cfRule>
    <cfRule type="cellIs" dxfId="298" priority="27" operator="between">
      <formula>0.3955</formula>
      <formula>0.5949</formula>
    </cfRule>
    <cfRule type="cellIs" dxfId="297" priority="28" operator="between">
      <formula>0.595</formula>
      <formula>0.6949</formula>
    </cfRule>
    <cfRule type="cellIs" dxfId="296" priority="29" operator="between">
      <formula>0.695</formula>
      <formula>0.7949</formula>
    </cfRule>
    <cfRule type="cellIs" dxfId="295" priority="30" operator="between">
      <formula>0.795</formula>
      <formula>1</formula>
    </cfRule>
  </conditionalFormatting>
  <conditionalFormatting sqref="I164:I168">
    <cfRule type="cellIs" dxfId="294" priority="21" operator="between">
      <formula>0</formula>
      <formula>0.3999</formula>
    </cfRule>
    <cfRule type="cellIs" dxfId="293" priority="22" operator="between">
      <formula>0.3955</formula>
      <formula>0.5949</formula>
    </cfRule>
    <cfRule type="cellIs" dxfId="292" priority="23" operator="between">
      <formula>0.595</formula>
      <formula>0.6949</formula>
    </cfRule>
    <cfRule type="cellIs" dxfId="291" priority="24" operator="between">
      <formula>0.695</formula>
      <formula>0.7949</formula>
    </cfRule>
    <cfRule type="cellIs" dxfId="290" priority="25" operator="between">
      <formula>0.795</formula>
      <formula>1</formula>
    </cfRule>
  </conditionalFormatting>
  <conditionalFormatting sqref="I170:I184">
    <cfRule type="cellIs" dxfId="289" priority="16" operator="between">
      <formula>0</formula>
      <formula>0.3999</formula>
    </cfRule>
    <cfRule type="cellIs" dxfId="288" priority="17" operator="between">
      <formula>0.3955</formula>
      <formula>0.5949</formula>
    </cfRule>
    <cfRule type="cellIs" dxfId="287" priority="18" operator="between">
      <formula>0.595</formula>
      <formula>0.6949</formula>
    </cfRule>
    <cfRule type="cellIs" dxfId="286" priority="19" operator="between">
      <formula>0.695</formula>
      <formula>0.7949</formula>
    </cfRule>
    <cfRule type="cellIs" dxfId="285" priority="20" operator="between">
      <formula>0.795</formula>
      <formula>1</formula>
    </cfRule>
  </conditionalFormatting>
  <conditionalFormatting sqref="I186:I189">
    <cfRule type="cellIs" dxfId="284" priority="11" operator="between">
      <formula>0</formula>
      <formula>0.3999</formula>
    </cfRule>
    <cfRule type="cellIs" dxfId="283" priority="12" operator="between">
      <formula>0.3955</formula>
      <formula>0.5949</formula>
    </cfRule>
    <cfRule type="cellIs" dxfId="282" priority="13" operator="between">
      <formula>0.595</formula>
      <formula>0.6949</formula>
    </cfRule>
    <cfRule type="cellIs" dxfId="281" priority="14" operator="between">
      <formula>0.695</formula>
      <formula>0.7949</formula>
    </cfRule>
    <cfRule type="cellIs" dxfId="280" priority="15" operator="between">
      <formula>0.795</formula>
      <formula>1</formula>
    </cfRule>
  </conditionalFormatting>
  <conditionalFormatting sqref="I191">
    <cfRule type="cellIs" dxfId="279" priority="6" operator="between">
      <formula>0</formula>
      <formula>0.3999</formula>
    </cfRule>
    <cfRule type="cellIs" dxfId="278" priority="7" operator="between">
      <formula>0.3955</formula>
      <formula>0.5949</formula>
    </cfRule>
    <cfRule type="cellIs" dxfId="277" priority="8" operator="between">
      <formula>0.595</formula>
      <formula>0.6949</formula>
    </cfRule>
    <cfRule type="cellIs" dxfId="276" priority="9" operator="between">
      <formula>0.695</formula>
      <formula>0.7949</formula>
    </cfRule>
    <cfRule type="cellIs" dxfId="275" priority="10" operator="between">
      <formula>0.795</formula>
      <formula>1</formula>
    </cfRule>
  </conditionalFormatting>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91"/>
  <sheetViews>
    <sheetView showGridLines="0" zoomScale="70" zoomScaleNormal="70" workbookViewId="0">
      <selection sqref="A1:G3"/>
    </sheetView>
  </sheetViews>
  <sheetFormatPr baseColWidth="10" defaultColWidth="11.42578125" defaultRowHeight="15"/>
  <cols>
    <col min="1" max="1" width="15.28515625" style="5" customWidth="1"/>
    <col min="2" max="2" width="49" style="6" customWidth="1"/>
    <col min="3" max="3" width="34.42578125" style="6" customWidth="1"/>
    <col min="4" max="4" width="29.7109375" style="1" customWidth="1"/>
    <col min="5" max="5" width="19.85546875" style="1" customWidth="1"/>
    <col min="6" max="6" width="30.42578125" style="1" customWidth="1"/>
    <col min="7" max="7" width="20.7109375" style="1" customWidth="1"/>
    <col min="8" max="16384" width="11.42578125" style="1"/>
  </cols>
  <sheetData>
    <row r="1" spans="1:7" ht="21" customHeight="1">
      <c r="A1" s="511" t="s">
        <v>1464</v>
      </c>
      <c r="B1" s="512"/>
      <c r="C1" s="512"/>
      <c r="D1" s="512"/>
      <c r="E1" s="512"/>
      <c r="F1" s="512"/>
      <c r="G1" s="513"/>
    </row>
    <row r="2" spans="1:7" ht="27" customHeight="1">
      <c r="A2" s="514"/>
      <c r="B2" s="515"/>
      <c r="C2" s="515"/>
      <c r="D2" s="515"/>
      <c r="E2" s="515"/>
      <c r="F2" s="515"/>
      <c r="G2" s="516"/>
    </row>
    <row r="3" spans="1:7" ht="21" customHeight="1">
      <c r="A3" s="488"/>
      <c r="B3" s="489"/>
      <c r="C3" s="489"/>
      <c r="D3" s="489"/>
      <c r="E3" s="489"/>
      <c r="F3" s="489"/>
      <c r="G3" s="517"/>
    </row>
    <row r="4" spans="1:7" ht="9" customHeight="1">
      <c r="A4" s="10"/>
      <c r="B4" s="11"/>
      <c r="C4" s="11"/>
    </row>
    <row r="5" spans="1:7" s="3" customFormat="1" ht="30" customHeight="1">
      <c r="A5" s="83" t="s">
        <v>1312</v>
      </c>
      <c r="B5" s="85" t="s">
        <v>1313</v>
      </c>
      <c r="C5" s="84" t="s">
        <v>1314</v>
      </c>
      <c r="D5" s="84" t="s">
        <v>1466</v>
      </c>
      <c r="E5" s="84" t="s">
        <v>1475</v>
      </c>
      <c r="F5" s="84" t="s">
        <v>1467</v>
      </c>
      <c r="G5" s="84" t="s">
        <v>1476</v>
      </c>
    </row>
    <row r="6" spans="1:7" s="4" customFormat="1" ht="30" customHeight="1">
      <c r="A6" s="65" t="s">
        <v>1279</v>
      </c>
      <c r="B6" s="61"/>
      <c r="C6" s="64">
        <f>C7+C8</f>
        <v>10549509202</v>
      </c>
      <c r="D6" s="64">
        <f t="shared" ref="D6:F6" si="0">D7+D8</f>
        <v>4687830730</v>
      </c>
      <c r="E6" s="164">
        <f>D6/C6</f>
        <v>0.44436481738043987</v>
      </c>
      <c r="F6" s="64">
        <f t="shared" si="0"/>
        <v>209642000</v>
      </c>
      <c r="G6" s="164">
        <f>F6/C6</f>
        <v>1.9872204098391192E-2</v>
      </c>
    </row>
    <row r="7" spans="1:7" ht="30" customHeight="1">
      <c r="A7" s="16"/>
      <c r="B7" s="86" t="s">
        <v>1315</v>
      </c>
      <c r="C7" s="29">
        <f>SUM('SGTO POAI 2023 MARZO'!AT8:AT11)</f>
        <v>1149509202</v>
      </c>
      <c r="D7" s="29">
        <f>SUM('SGTO POAI 2023 MARZO'!AU8:AU11)</f>
        <v>610573000</v>
      </c>
      <c r="E7" s="164">
        <f t="shared" ref="E7" si="1">D7/C7</f>
        <v>0.53115973229068592</v>
      </c>
      <c r="F7" s="29">
        <f>SUM('SGTO POAI 2023 MARZO'!AV8:AV11)</f>
        <v>209642000</v>
      </c>
      <c r="G7" s="164">
        <f t="shared" ref="G7:G69" si="2">F7/C7</f>
        <v>0.18237522556170019</v>
      </c>
    </row>
    <row r="8" spans="1:7" ht="30" customHeight="1">
      <c r="A8" s="16"/>
      <c r="B8" s="86" t="s">
        <v>1461</v>
      </c>
      <c r="C8" s="29">
        <f>'SGTO POAI 2023 MARZO'!AZ11</f>
        <v>9400000000</v>
      </c>
      <c r="D8" s="29">
        <f>'SGTO POAI 2023 MARZO'!BA11</f>
        <v>4077257730</v>
      </c>
      <c r="E8" s="164">
        <f>D8/C8</f>
        <v>0.43375082234042556</v>
      </c>
      <c r="F8" s="29">
        <f>'SGTO POAI 2023 MARZO'!BB11</f>
        <v>0</v>
      </c>
      <c r="G8" s="164">
        <f t="shared" si="2"/>
        <v>0</v>
      </c>
    </row>
    <row r="9" spans="1:7" ht="30" customHeight="1">
      <c r="A9" s="19"/>
      <c r="B9" s="126"/>
      <c r="C9" s="8"/>
      <c r="D9" s="8"/>
      <c r="E9" s="8"/>
      <c r="F9" s="8"/>
    </row>
    <row r="10" spans="1:7" s="4" customFormat="1" ht="30" customHeight="1">
      <c r="A10" s="70" t="s">
        <v>1283</v>
      </c>
      <c r="B10" s="72"/>
      <c r="C10" s="73">
        <f>C11</f>
        <v>1182099650</v>
      </c>
      <c r="D10" s="73">
        <f t="shared" ref="D10:F10" si="3">D11</f>
        <v>350060001</v>
      </c>
      <c r="E10" s="164">
        <f t="shared" ref="E10:E11" si="4">D10/C10</f>
        <v>0.29613408734195973</v>
      </c>
      <c r="F10" s="73">
        <f t="shared" si="3"/>
        <v>153550000</v>
      </c>
      <c r="G10" s="164">
        <f t="shared" si="2"/>
        <v>0.12989598634937419</v>
      </c>
    </row>
    <row r="11" spans="1:7" ht="30" customHeight="1">
      <c r="A11" s="16"/>
      <c r="B11" s="86" t="s">
        <v>1315</v>
      </c>
      <c r="C11" s="29">
        <f>SUM('SGTO POAI 2023 MARZO'!AT12:AT23)</f>
        <v>1182099650</v>
      </c>
      <c r="D11" s="29">
        <f>SUM('SGTO POAI 2023 MARZO'!AU12:AU23)</f>
        <v>350060001</v>
      </c>
      <c r="E11" s="164">
        <f t="shared" si="4"/>
        <v>0.29613408734195973</v>
      </c>
      <c r="F11" s="29">
        <f>SUM('SGTO POAI 2023 MARZO'!AV12:AV23)</f>
        <v>153550000</v>
      </c>
      <c r="G11" s="164">
        <f t="shared" si="2"/>
        <v>0.12989598634937419</v>
      </c>
    </row>
    <row r="12" spans="1:7" ht="30" customHeight="1">
      <c r="D12" s="6"/>
      <c r="E12" s="6"/>
      <c r="F12" s="6"/>
    </row>
    <row r="13" spans="1:7" ht="30" customHeight="1">
      <c r="A13" s="70" t="s">
        <v>1284</v>
      </c>
      <c r="B13" s="72"/>
      <c r="C13" s="73">
        <f>SUM(C14:C15)</f>
        <v>3041154599.1599998</v>
      </c>
      <c r="D13" s="73">
        <f t="shared" ref="D13:F13" si="5">SUM(D14:D15)</f>
        <v>1634890667</v>
      </c>
      <c r="E13" s="164">
        <f t="shared" ref="E13:E15" si="6">D13/C13</f>
        <v>0.53758880507146023</v>
      </c>
      <c r="F13" s="73">
        <f t="shared" si="5"/>
        <v>446404000</v>
      </c>
      <c r="G13" s="164">
        <f t="shared" si="2"/>
        <v>0.14678767074955731</v>
      </c>
    </row>
    <row r="14" spans="1:7" ht="30" customHeight="1">
      <c r="A14" s="31"/>
      <c r="B14" s="87" t="s">
        <v>1315</v>
      </c>
      <c r="C14" s="29">
        <f>SUM('SGTO POAI 2023 MARZO'!AT24:AT25)</f>
        <v>2343767972</v>
      </c>
      <c r="D14" s="29">
        <f>SUM('SGTO POAI 2023 MARZO'!AU24:AU25)</f>
        <v>1456120000</v>
      </c>
      <c r="E14" s="164">
        <f t="shared" si="6"/>
        <v>0.62127310271138048</v>
      </c>
      <c r="F14" s="29">
        <f>SUM('SGTO POAI 2023 MARZO'!AV24:AV25)</f>
        <v>365673333</v>
      </c>
      <c r="G14" s="164">
        <f t="shared" si="2"/>
        <v>0.15601942571472258</v>
      </c>
    </row>
    <row r="15" spans="1:7" s="39" customFormat="1" ht="30" customHeight="1">
      <c r="A15" s="31"/>
      <c r="B15" s="23" t="s">
        <v>1316</v>
      </c>
      <c r="C15" s="29">
        <f>'SGTO POAI 2023 MARZO'!BC24</f>
        <v>697386627.15999997</v>
      </c>
      <c r="D15" s="29">
        <f>'SGTO POAI 2023 MARZO'!BD24</f>
        <v>178770667</v>
      </c>
      <c r="E15" s="164">
        <f t="shared" si="6"/>
        <v>0.25634369808325136</v>
      </c>
      <c r="F15" s="29">
        <f>'SGTO POAI 2023 MARZO'!BE24</f>
        <v>80730667</v>
      </c>
      <c r="G15" s="164">
        <f t="shared" si="2"/>
        <v>0.11576170786176852</v>
      </c>
    </row>
    <row r="16" spans="1:7" ht="30" customHeight="1">
      <c r="C16" s="38"/>
      <c r="D16" s="38"/>
      <c r="E16" s="38"/>
      <c r="F16" s="38"/>
    </row>
    <row r="17" spans="1:7" ht="30" customHeight="1">
      <c r="A17" s="65" t="s">
        <v>1285</v>
      </c>
      <c r="B17" s="63"/>
      <c r="C17" s="64">
        <f>SUM(C18:C23)</f>
        <v>91905449878.460007</v>
      </c>
      <c r="D17" s="64">
        <f t="shared" ref="D17:F17" si="7">SUM(D18:D23)</f>
        <v>5560583941</v>
      </c>
      <c r="E17" s="164">
        <f t="shared" ref="E17:E23" si="8">D17/C17</f>
        <v>6.0503310177509297E-2</v>
      </c>
      <c r="F17" s="64">
        <f t="shared" si="7"/>
        <v>258300000</v>
      </c>
      <c r="G17" s="164">
        <f t="shared" si="2"/>
        <v>2.8104970961089662E-3</v>
      </c>
    </row>
    <row r="18" spans="1:7" ht="30" customHeight="1">
      <c r="A18" s="16"/>
      <c r="B18" s="20" t="s">
        <v>1317</v>
      </c>
      <c r="C18" s="29">
        <f>SUM('SGTO POAI 2023 MARZO'!AB26:AB51)</f>
        <v>10709007229.1</v>
      </c>
      <c r="D18" s="29">
        <f>SUM('SGTO POAI 2023 MARZO'!AC26:AC51)</f>
        <v>1201078155</v>
      </c>
      <c r="E18" s="164">
        <f t="shared" si="8"/>
        <v>0.11215588236193022</v>
      </c>
      <c r="F18" s="29">
        <f>SUM('SGTO POAI 2023 MARZO'!AD26:AD51)</f>
        <v>164550000</v>
      </c>
      <c r="G18" s="164">
        <f t="shared" si="2"/>
        <v>1.5365569980461112E-2</v>
      </c>
    </row>
    <row r="19" spans="1:7" ht="30" customHeight="1">
      <c r="A19" s="16"/>
      <c r="B19" s="20" t="s">
        <v>1318</v>
      </c>
      <c r="C19" s="29">
        <f>SUM('SGTO POAI 2023 MARZO'!AQ26:AQ51)</f>
        <v>3720411051.8400002</v>
      </c>
      <c r="D19" s="29">
        <f>SUM('SGTO POAI 2023 MARZO'!AR26:AR51)</f>
        <v>3701358406</v>
      </c>
      <c r="E19" s="164">
        <f t="shared" si="8"/>
        <v>0.99487888688251869</v>
      </c>
      <c r="F19" s="29">
        <f>SUM('SGTO POAI 2023 MARZO'!AS26:AS51)</f>
        <v>0</v>
      </c>
      <c r="G19" s="164">
        <f t="shared" si="2"/>
        <v>0</v>
      </c>
    </row>
    <row r="20" spans="1:7" ht="30" customHeight="1">
      <c r="A20" s="16"/>
      <c r="B20" s="86" t="s">
        <v>1315</v>
      </c>
      <c r="C20" s="29">
        <f>SUM('SGTO POAI 2023 MARZO'!AT26:AT51)</f>
        <v>4272294212</v>
      </c>
      <c r="D20" s="29">
        <f>SUM('SGTO POAI 2023 MARZO'!AU26:AU51)</f>
        <v>285833333</v>
      </c>
      <c r="E20" s="164">
        <f t="shared" si="8"/>
        <v>6.6903944067604859E-2</v>
      </c>
      <c r="F20" s="29">
        <f>SUM('SGTO POAI 2023 MARZO'!AV26:AV51)</f>
        <v>40650000</v>
      </c>
      <c r="G20" s="164">
        <f t="shared" si="2"/>
        <v>9.5147941557541769E-3</v>
      </c>
    </row>
    <row r="21" spans="1:7" ht="30" customHeight="1">
      <c r="A21" s="16"/>
      <c r="B21" s="20" t="s">
        <v>1319</v>
      </c>
      <c r="C21" s="29">
        <f>SUM('SGTO POAI 2023 MARZO'!AW32:AW51)</f>
        <v>3126038875.52</v>
      </c>
      <c r="D21" s="29">
        <f>SUM('SGTO POAI 2023 MARZO'!AX32:AX51)</f>
        <v>356564047</v>
      </c>
      <c r="E21" s="164">
        <f t="shared" si="8"/>
        <v>0.11406257605823519</v>
      </c>
      <c r="F21" s="29">
        <f>SUM('SGTO POAI 2023 MARZO'!AY32:AY51)</f>
        <v>50650000</v>
      </c>
      <c r="G21" s="164">
        <f t="shared" si="2"/>
        <v>1.6202613600438554E-2</v>
      </c>
    </row>
    <row r="22" spans="1:7" ht="30" customHeight="1">
      <c r="A22" s="27"/>
      <c r="B22" s="120" t="s">
        <v>1517</v>
      </c>
      <c r="C22" s="121">
        <f>SUM('SGTO POAI 2023 MARZO'!BC26:BC51)</f>
        <v>44727698510</v>
      </c>
      <c r="D22" s="121">
        <f>SUM('SGTO POAI 2023 MARZO'!BD26:BD51)</f>
        <v>15750000</v>
      </c>
      <c r="E22" s="164">
        <f t="shared" si="8"/>
        <v>3.5213079422091644E-4</v>
      </c>
      <c r="F22" s="121">
        <f>SUM('SGTO POAI 2023 MARZO'!BE26:BE51)</f>
        <v>2450000</v>
      </c>
      <c r="G22" s="164">
        <f t="shared" si="2"/>
        <v>5.4775901323253666E-5</v>
      </c>
    </row>
    <row r="23" spans="1:7" ht="30" customHeight="1">
      <c r="A23" s="16"/>
      <c r="B23" s="17" t="s">
        <v>1461</v>
      </c>
      <c r="C23" s="44">
        <f>SUM('SGTO POAI 2023 MARZO'!AZ26:AZ51)</f>
        <v>25350000000</v>
      </c>
      <c r="D23" s="44">
        <f>SUM('SGTO POAI 2023 MARZO'!BA26:BA51)</f>
        <v>0</v>
      </c>
      <c r="E23" s="164">
        <f t="shared" si="8"/>
        <v>0</v>
      </c>
      <c r="F23" s="44">
        <f>SUM('SGTO POAI 2023 MARZO'!BB26:BB51)</f>
        <v>0</v>
      </c>
      <c r="G23" s="164">
        <f t="shared" si="2"/>
        <v>0</v>
      </c>
    </row>
    <row r="24" spans="1:7" ht="30" customHeight="1">
      <c r="C24" s="38"/>
      <c r="D24" s="38"/>
      <c r="E24" s="38"/>
      <c r="F24" s="38"/>
    </row>
    <row r="25" spans="1:7" ht="30" customHeight="1">
      <c r="A25" s="88" t="s">
        <v>1292</v>
      </c>
      <c r="B25" s="89"/>
      <c r="C25" s="90">
        <f>SUM(C26:C27)</f>
        <v>9005666049.1399994</v>
      </c>
      <c r="D25" s="90">
        <f t="shared" ref="D25:F25" si="9">SUM(D26:D27)</f>
        <v>1519297794.3499999</v>
      </c>
      <c r="E25" s="164">
        <f t="shared" ref="E25:E27" si="10">D25/C25</f>
        <v>0.1687046561642252</v>
      </c>
      <c r="F25" s="90">
        <f t="shared" si="9"/>
        <v>336093935.85000002</v>
      </c>
      <c r="G25" s="164">
        <f t="shared" si="2"/>
        <v>3.7320275259606753E-2</v>
      </c>
    </row>
    <row r="26" spans="1:7" ht="30" customHeight="1">
      <c r="A26" s="16"/>
      <c r="B26" s="87" t="s">
        <v>1315</v>
      </c>
      <c r="C26" s="91">
        <f>SUM('SGTO POAI 2023 MARZO'!AT52:AT72)</f>
        <v>1712389488</v>
      </c>
      <c r="D26" s="91">
        <f>SUM('SGTO POAI 2023 MARZO'!AU52:AU72)</f>
        <v>618264200</v>
      </c>
      <c r="E26" s="164">
        <f t="shared" si="10"/>
        <v>0.3610534894850978</v>
      </c>
      <c r="F26" s="91">
        <f>SUM('SGTO POAI 2023 MARZO'!AV52:AV72)</f>
        <v>273729200</v>
      </c>
      <c r="G26" s="164">
        <f t="shared" si="2"/>
        <v>0.15985218428297196</v>
      </c>
    </row>
    <row r="27" spans="1:7" ht="30" customHeight="1">
      <c r="A27" s="16"/>
      <c r="B27" s="20" t="s">
        <v>1320</v>
      </c>
      <c r="C27" s="29">
        <f>SUM('SGTO POAI 2023 MARZO'!AW52:AW72)</f>
        <v>7293276561.1399994</v>
      </c>
      <c r="D27" s="29">
        <f>SUM('SGTO POAI 2023 MARZO'!AX52:AX72)</f>
        <v>901033594.35000002</v>
      </c>
      <c r="E27" s="164">
        <f t="shared" si="10"/>
        <v>0.12354304499446557</v>
      </c>
      <c r="F27" s="29">
        <f>SUM('SGTO POAI 2023 MARZO'!AY52:AY72)</f>
        <v>62364735.850000001</v>
      </c>
      <c r="G27" s="164">
        <f t="shared" si="2"/>
        <v>8.5509901245609532E-3</v>
      </c>
    </row>
    <row r="28" spans="1:7" ht="30" customHeight="1">
      <c r="C28" s="38"/>
      <c r="D28" s="38"/>
      <c r="E28" s="38"/>
      <c r="F28" s="38"/>
    </row>
    <row r="29" spans="1:7" ht="30" customHeight="1">
      <c r="A29" s="65" t="s">
        <v>1294</v>
      </c>
      <c r="B29" s="63"/>
      <c r="C29" s="64">
        <f>SUM(C30:C32)</f>
        <v>3959930987.3400002</v>
      </c>
      <c r="D29" s="64">
        <f t="shared" ref="D29:F29" si="11">SUM(D30:D32)</f>
        <v>581014999.67000008</v>
      </c>
      <c r="E29" s="164">
        <f t="shared" ref="E29:E32" si="12">D29/C29</f>
        <v>0.14672351652781823</v>
      </c>
      <c r="F29" s="64">
        <f t="shared" si="11"/>
        <v>216539999.67000002</v>
      </c>
      <c r="G29" s="164">
        <f t="shared" si="2"/>
        <v>5.4682771079163722E-2</v>
      </c>
    </row>
    <row r="30" spans="1:7" ht="30" customHeight="1">
      <c r="A30" s="16"/>
      <c r="B30" s="20" t="s">
        <v>1321</v>
      </c>
      <c r="C30" s="29">
        <f>SUM('SGTO POAI 2023 MARZO'!AB73:AB82)</f>
        <v>2648373464.04</v>
      </c>
      <c r="D30" s="29">
        <f>SUM('SGTO POAI 2023 MARZO'!AC73:AC82)</f>
        <v>233755000</v>
      </c>
      <c r="E30" s="164">
        <f t="shared" si="12"/>
        <v>8.8263609031716775E-2</v>
      </c>
      <c r="F30" s="29">
        <f>SUM('SGTO POAI 2023 MARZO'!AD73:AD82)</f>
        <v>90685000</v>
      </c>
      <c r="G30" s="164">
        <f t="shared" si="2"/>
        <v>3.424177187671381E-2</v>
      </c>
    </row>
    <row r="31" spans="1:7" ht="30" customHeight="1">
      <c r="A31" s="16"/>
      <c r="B31" s="86" t="s">
        <v>1315</v>
      </c>
      <c r="C31" s="29">
        <f>SUM('SGTO POAI 2023 MARZO'!AT73:AT82)</f>
        <v>1183838679</v>
      </c>
      <c r="D31" s="29">
        <f>SUM('SGTO POAI 2023 MARZO'!AU73:AU82)</f>
        <v>347259999.67000002</v>
      </c>
      <c r="E31" s="164">
        <f t="shared" si="12"/>
        <v>0.29333388562986801</v>
      </c>
      <c r="F31" s="29">
        <f>SUM('SGTO POAI 2023 MARZO'!AV73:AV82)</f>
        <v>125854999.67</v>
      </c>
      <c r="G31" s="164">
        <f t="shared" si="2"/>
        <v>0.10631093737899402</v>
      </c>
    </row>
    <row r="32" spans="1:7" s="39" customFormat="1" ht="30" customHeight="1">
      <c r="A32" s="16"/>
      <c r="B32" s="20" t="s">
        <v>1322</v>
      </c>
      <c r="C32" s="21">
        <f>'SGTO POAI 2023 MARZO'!AW82</f>
        <v>127718844.30000001</v>
      </c>
      <c r="D32" s="21">
        <f>'SGTO POAI 2023 MARZO'!AX82</f>
        <v>0</v>
      </c>
      <c r="E32" s="164">
        <f t="shared" si="12"/>
        <v>0</v>
      </c>
      <c r="F32" s="21">
        <f>'SGTO POAI 2023 MARZO'!AY82</f>
        <v>0</v>
      </c>
      <c r="G32" s="164">
        <f t="shared" si="2"/>
        <v>0</v>
      </c>
    </row>
    <row r="33" spans="1:7" ht="30" customHeight="1">
      <c r="C33" s="38"/>
      <c r="D33" s="38"/>
      <c r="E33" s="38"/>
      <c r="F33" s="38"/>
    </row>
    <row r="34" spans="1:7" ht="30" customHeight="1">
      <c r="A34" s="65" t="s">
        <v>1295</v>
      </c>
      <c r="B34" s="63"/>
      <c r="C34" s="64">
        <f>SUM(C35:C36)</f>
        <v>2740910173.9000001</v>
      </c>
      <c r="D34" s="64">
        <f t="shared" ref="D34:F34" si="13">SUM(D35:D36)</f>
        <v>981947000</v>
      </c>
      <c r="E34" s="164">
        <f t="shared" ref="E34:E36" si="14">D34/C34</f>
        <v>0.35825581201108914</v>
      </c>
      <c r="F34" s="64">
        <f t="shared" si="13"/>
        <v>356901999.00999999</v>
      </c>
      <c r="G34" s="164">
        <f t="shared" si="2"/>
        <v>0.13021294984730181</v>
      </c>
    </row>
    <row r="35" spans="1:7" ht="30" customHeight="1">
      <c r="A35" s="16"/>
      <c r="B35" s="86" t="s">
        <v>1315</v>
      </c>
      <c r="C35" s="29">
        <f>SUM('SGTO POAI 2023 MARZO'!AT83:AT93)</f>
        <v>1630879143</v>
      </c>
      <c r="D35" s="29">
        <f>SUM('SGTO POAI 2023 MARZO'!AU83:AU93)</f>
        <v>416805000</v>
      </c>
      <c r="E35" s="164">
        <f t="shared" si="14"/>
        <v>0.25557074648295997</v>
      </c>
      <c r="F35" s="29">
        <f>SUM('SGTO POAI 2023 MARZO'!AV83:AV93)</f>
        <v>113250000</v>
      </c>
      <c r="G35" s="164">
        <f t="shared" si="2"/>
        <v>6.9441074457348678E-2</v>
      </c>
    </row>
    <row r="36" spans="1:7" s="39" customFormat="1" ht="30" customHeight="1">
      <c r="A36" s="16"/>
      <c r="B36" s="20" t="s">
        <v>1323</v>
      </c>
      <c r="C36" s="29">
        <f>'SGTO POAI 2023 MARZO'!AW88</f>
        <v>1110031030.9000001</v>
      </c>
      <c r="D36" s="29">
        <f>'SGTO POAI 2023 MARZO'!AX88</f>
        <v>565142000</v>
      </c>
      <c r="E36" s="164">
        <f t="shared" si="14"/>
        <v>0.5091227040218772</v>
      </c>
      <c r="F36" s="29">
        <f>'SGTO POAI 2023 MARZO'!AY88</f>
        <v>243651999.00999999</v>
      </c>
      <c r="G36" s="164">
        <f t="shared" si="2"/>
        <v>0.21950016911910095</v>
      </c>
    </row>
    <row r="37" spans="1:7" ht="30" customHeight="1">
      <c r="C37" s="38"/>
      <c r="D37" s="38"/>
      <c r="E37" s="38"/>
      <c r="F37" s="38"/>
    </row>
    <row r="38" spans="1:7" ht="30" customHeight="1">
      <c r="A38" s="65" t="s">
        <v>1297</v>
      </c>
      <c r="B38" s="63"/>
      <c r="C38" s="64">
        <f>C39</f>
        <v>4551806900</v>
      </c>
      <c r="D38" s="64">
        <f t="shared" ref="D38:F38" si="15">D39</f>
        <v>590241617</v>
      </c>
      <c r="E38" s="164">
        <f t="shared" ref="E38:E39" si="16">D38/C38</f>
        <v>0.12967193687412354</v>
      </c>
      <c r="F38" s="64">
        <f t="shared" si="15"/>
        <v>203196666</v>
      </c>
      <c r="G38" s="164">
        <f t="shared" si="2"/>
        <v>4.4640880086543211E-2</v>
      </c>
    </row>
    <row r="39" spans="1:7" ht="30" customHeight="1">
      <c r="A39" s="16"/>
      <c r="B39" s="86" t="s">
        <v>1315</v>
      </c>
      <c r="C39" s="29">
        <f>SUM('SGTO POAI 2023 MARZO'!AT94:AT130)</f>
        <v>4551806900</v>
      </c>
      <c r="D39" s="29">
        <f>SUM('SGTO POAI 2023 MARZO'!AU94:AU130)</f>
        <v>590241617</v>
      </c>
      <c r="E39" s="164">
        <f t="shared" si="16"/>
        <v>0.12967193687412354</v>
      </c>
      <c r="F39" s="29">
        <f>SUM('SGTO POAI 2023 MARZO'!AV94:AV130)</f>
        <v>203196666</v>
      </c>
      <c r="G39" s="164">
        <f t="shared" si="2"/>
        <v>4.4640880086543211E-2</v>
      </c>
    </row>
    <row r="40" spans="1:7" ht="30" customHeight="1">
      <c r="C40" s="38"/>
      <c r="D40" s="38"/>
      <c r="E40" s="38"/>
      <c r="F40" s="38"/>
    </row>
    <row r="41" spans="1:7" ht="30" customHeight="1">
      <c r="A41" s="65" t="s">
        <v>1419</v>
      </c>
      <c r="B41" s="63"/>
      <c r="C41" s="64">
        <f>C42</f>
        <v>3343243430</v>
      </c>
      <c r="D41" s="64">
        <f t="shared" ref="D41:F41" si="17">D42</f>
        <v>1018928000</v>
      </c>
      <c r="E41" s="164">
        <f t="shared" ref="E41:E42" si="18">D41/C41</f>
        <v>0.30477230310447362</v>
      </c>
      <c r="F41" s="64">
        <f t="shared" si="17"/>
        <v>235130000</v>
      </c>
      <c r="G41" s="164">
        <f t="shared" si="2"/>
        <v>7.0329907146486195E-2</v>
      </c>
    </row>
    <row r="42" spans="1:7" ht="30" customHeight="1">
      <c r="A42" s="16"/>
      <c r="B42" s="86" t="s">
        <v>1315</v>
      </c>
      <c r="C42" s="29">
        <f>SUM('SGTO POAI 2023 MARZO'!AT131:AT134)</f>
        <v>3343243430</v>
      </c>
      <c r="D42" s="29">
        <f>SUM('SGTO POAI 2023 MARZO'!AU131:AU134)</f>
        <v>1018928000</v>
      </c>
      <c r="E42" s="164">
        <f t="shared" si="18"/>
        <v>0.30477230310447362</v>
      </c>
      <c r="F42" s="29">
        <f>SUM('SGTO POAI 2023 MARZO'!AV131:AV134)</f>
        <v>235130000</v>
      </c>
      <c r="G42" s="164">
        <f t="shared" si="2"/>
        <v>7.0329907146486195E-2</v>
      </c>
    </row>
    <row r="43" spans="1:7" ht="30" customHeight="1">
      <c r="B43" s="59"/>
      <c r="C43" s="60"/>
      <c r="D43" s="60"/>
      <c r="E43" s="60"/>
      <c r="F43" s="60"/>
    </row>
    <row r="44" spans="1:7" ht="30" customHeight="1">
      <c r="A44" s="65" t="s">
        <v>1374</v>
      </c>
      <c r="B44" s="63"/>
      <c r="C44" s="64">
        <f>SUM(C45:C48)</f>
        <v>213645814849.24997</v>
      </c>
      <c r="D44" s="64">
        <f t="shared" ref="D44:F44" si="19">SUM(D45:D48)</f>
        <v>58593949470.360008</v>
      </c>
      <c r="E44" s="164">
        <f t="shared" ref="E44:E48" si="20">D44/C44</f>
        <v>0.27425741764098832</v>
      </c>
      <c r="F44" s="64">
        <f t="shared" si="19"/>
        <v>40947479903.300003</v>
      </c>
      <c r="G44" s="164">
        <f t="shared" si="2"/>
        <v>0.19166057585632015</v>
      </c>
    </row>
    <row r="45" spans="1:7" ht="30" customHeight="1">
      <c r="A45" s="16"/>
      <c r="B45" s="20" t="s">
        <v>1324</v>
      </c>
      <c r="C45" s="21">
        <f>SUM('SGTO POAI 2023 MARZO'!AE135:AE170)</f>
        <v>4513641871.3699999</v>
      </c>
      <c r="D45" s="21">
        <f>SUM('SGTO POAI 2023 MARZO'!AF135:AF170)</f>
        <v>2773183027</v>
      </c>
      <c r="E45" s="164">
        <f t="shared" si="20"/>
        <v>0.6144003237364225</v>
      </c>
      <c r="F45" s="21">
        <f>SUM('SGTO POAI 2023 MARZO'!AG135:AG170)</f>
        <v>60197609</v>
      </c>
      <c r="G45" s="164">
        <f t="shared" si="2"/>
        <v>1.3336815528461181E-2</v>
      </c>
    </row>
    <row r="46" spans="1:7" ht="30" customHeight="1">
      <c r="A46" s="16"/>
      <c r="B46" s="20" t="s">
        <v>1325</v>
      </c>
      <c r="C46" s="29">
        <f>SUM('SGTO POAI 2023 MARZO'!AN135:AN170)</f>
        <v>187146608586.22998</v>
      </c>
      <c r="D46" s="29">
        <f>SUM('SGTO POAI 2023 MARZO'!AO135:AO170)</f>
        <v>41201225150.620003</v>
      </c>
      <c r="E46" s="164">
        <f t="shared" si="20"/>
        <v>0.22015480516514976</v>
      </c>
      <c r="F46" s="29">
        <f>SUM('SGTO POAI 2023 MARZO'!AP135:AP170)</f>
        <v>39850816546</v>
      </c>
      <c r="G46" s="164">
        <f t="shared" si="2"/>
        <v>0.21293902597031714</v>
      </c>
    </row>
    <row r="47" spans="1:7" ht="30" customHeight="1">
      <c r="A47" s="92"/>
      <c r="B47" s="95" t="s">
        <v>1315</v>
      </c>
      <c r="C47" s="96">
        <f>SUM('SGTO POAI 2023 MARZO'!AT135:AT170)</f>
        <v>12044728478</v>
      </c>
      <c r="D47" s="96">
        <f>SUM('SGTO POAI 2023 MARZO'!AU135:AU170)</f>
        <v>7757184281.3000002</v>
      </c>
      <c r="E47" s="164">
        <f t="shared" si="20"/>
        <v>0.64403147779285297</v>
      </c>
      <c r="F47" s="96">
        <f>SUM('SGTO POAI 2023 MARZO'!AV135:AV170)</f>
        <v>1018465748.3</v>
      </c>
      <c r="G47" s="164">
        <f t="shared" si="2"/>
        <v>8.4556970309480478E-2</v>
      </c>
    </row>
    <row r="48" spans="1:7" ht="30" customHeight="1">
      <c r="A48" s="16"/>
      <c r="B48" s="93" t="s">
        <v>1326</v>
      </c>
      <c r="C48" s="97">
        <f>'SGTO POAI 2023 MARZO'!BC140</f>
        <v>9940835913.6499996</v>
      </c>
      <c r="D48" s="97">
        <f>'SGTO POAI 2023 MARZO'!BD140</f>
        <v>6862357011.4399996</v>
      </c>
      <c r="E48" s="164">
        <f t="shared" si="20"/>
        <v>0.69031991585507746</v>
      </c>
      <c r="F48" s="97">
        <f>'SGTO POAI 2023 MARZO'!BE140</f>
        <v>18000000</v>
      </c>
      <c r="G48" s="164">
        <f t="shared" si="2"/>
        <v>1.8107129175408449E-3</v>
      </c>
    </row>
    <row r="49" spans="1:7" s="39" customFormat="1" ht="30" customHeight="1">
      <c r="A49" s="5"/>
      <c r="B49" s="6"/>
      <c r="C49" s="38"/>
      <c r="D49" s="38"/>
      <c r="E49" s="38"/>
      <c r="F49" s="38"/>
    </row>
    <row r="50" spans="1:7" s="39" customFormat="1" ht="30" customHeight="1">
      <c r="A50" s="65" t="s">
        <v>1301</v>
      </c>
      <c r="B50" s="63"/>
      <c r="C50" s="64">
        <f>SUM(C51:C52)</f>
        <v>7537461518.4300003</v>
      </c>
      <c r="D50" s="64">
        <f t="shared" ref="D50:F50" si="21">SUM(D51:D52)</f>
        <v>1710985106.4300001</v>
      </c>
      <c r="E50" s="164">
        <f t="shared" ref="E50:E52" si="22">D50/C50</f>
        <v>0.22699752459716518</v>
      </c>
      <c r="F50" s="64">
        <f t="shared" si="21"/>
        <v>1241735106.4300001</v>
      </c>
      <c r="G50" s="164">
        <f t="shared" si="2"/>
        <v>0.16474181704195881</v>
      </c>
    </row>
    <row r="51" spans="1:7" s="39" customFormat="1" ht="30" customHeight="1">
      <c r="A51" s="16"/>
      <c r="B51" s="20" t="s">
        <v>1327</v>
      </c>
      <c r="C51" s="29">
        <f>'SGTO POAI 2023 MARZO'!AB194</f>
        <v>5341788546.4300003</v>
      </c>
      <c r="D51" s="29">
        <f>'SGTO POAI 2023 MARZO'!AC194</f>
        <v>934325106.43000007</v>
      </c>
      <c r="E51" s="164">
        <f t="shared" si="22"/>
        <v>0.17490866557314852</v>
      </c>
      <c r="F51" s="29">
        <f>'SGTO POAI 2023 MARZO'!AD194</f>
        <v>934325106.43000007</v>
      </c>
      <c r="G51" s="164">
        <f t="shared" si="2"/>
        <v>0.17490866557314852</v>
      </c>
    </row>
    <row r="52" spans="1:7" s="39" customFormat="1" ht="30" customHeight="1">
      <c r="A52" s="16"/>
      <c r="B52" s="86" t="s">
        <v>1315</v>
      </c>
      <c r="C52" s="29">
        <f>SUM('SGTO POAI 2023 MARZO'!AT171:AT201)</f>
        <v>2195672972</v>
      </c>
      <c r="D52" s="29">
        <f>SUM('SGTO POAI 2023 MARZO'!AU171:AU201)</f>
        <v>776660000</v>
      </c>
      <c r="E52" s="164">
        <f t="shared" si="22"/>
        <v>0.3537229860294514</v>
      </c>
      <c r="F52" s="29">
        <f>SUM('SGTO POAI 2023 MARZO'!AV171:AV201)</f>
        <v>307410000</v>
      </c>
      <c r="G52" s="164">
        <f t="shared" si="2"/>
        <v>0.1400071886479459</v>
      </c>
    </row>
    <row r="53" spans="1:7" ht="30" customHeight="1">
      <c r="C53" s="38"/>
      <c r="D53" s="38"/>
      <c r="E53" s="38"/>
      <c r="F53" s="38"/>
    </row>
    <row r="54" spans="1:7" ht="30" customHeight="1">
      <c r="A54" s="65" t="s">
        <v>1302</v>
      </c>
      <c r="B54" s="63"/>
      <c r="C54" s="64">
        <f>SUM(C55:C59)</f>
        <v>53313292857.790001</v>
      </c>
      <c r="D54" s="64">
        <f t="shared" ref="D54:F54" si="23">SUM(D55:D59)</f>
        <v>39176601827.099998</v>
      </c>
      <c r="E54" s="164">
        <f t="shared" ref="E54:E59" si="24">D54/C54</f>
        <v>0.73483740596554836</v>
      </c>
      <c r="F54" s="64">
        <f t="shared" si="23"/>
        <v>8534465634.1400003</v>
      </c>
      <c r="G54" s="164">
        <f t="shared" si="2"/>
        <v>0.16008138264701027</v>
      </c>
    </row>
    <row r="55" spans="1:7" ht="30" customHeight="1">
      <c r="A55" s="16"/>
      <c r="B55" s="20" t="s">
        <v>1324</v>
      </c>
      <c r="C55" s="29">
        <f>SUM('SGTO POAI 2023 MARZO'!AE202:AE260)</f>
        <v>700000000</v>
      </c>
      <c r="D55" s="29">
        <f>SUM('SGTO POAI 2023 MARZO'!AF202:AF260)</f>
        <v>32878332</v>
      </c>
      <c r="E55" s="164">
        <f t="shared" si="24"/>
        <v>4.6969045714285715E-2</v>
      </c>
      <c r="F55" s="29">
        <f>SUM('SGTO POAI 2023 MARZO'!AG202:AG260)</f>
        <v>10600000</v>
      </c>
      <c r="G55" s="164">
        <f t="shared" si="2"/>
        <v>1.5142857142857144E-2</v>
      </c>
    </row>
    <row r="56" spans="1:7" ht="30" customHeight="1">
      <c r="A56" s="16"/>
      <c r="B56" s="20" t="s">
        <v>1328</v>
      </c>
      <c r="C56" s="29">
        <f>SUM('SGTO POAI 2023 MARZO'!AH202:AH260)</f>
        <v>7896965616.3899994</v>
      </c>
      <c r="D56" s="29">
        <f>SUM('SGTO POAI 2023 MARZO'!AI202:AI260)</f>
        <v>3432728191.0999999</v>
      </c>
      <c r="E56" s="164">
        <f t="shared" si="24"/>
        <v>0.43468951972836745</v>
      </c>
      <c r="F56" s="29">
        <f>SUM('SGTO POAI 2023 MARZO'!AJ202:AJ260)</f>
        <v>347136000</v>
      </c>
      <c r="G56" s="164">
        <f t="shared" si="2"/>
        <v>4.3958150112687076E-2</v>
      </c>
    </row>
    <row r="57" spans="1:7" ht="30" customHeight="1">
      <c r="A57" s="16"/>
      <c r="B57" s="20" t="s">
        <v>1329</v>
      </c>
      <c r="C57" s="29">
        <f>SUM('SGTO POAI 2023 MARZO'!AK202:AK260)</f>
        <v>40120770457.75</v>
      </c>
      <c r="D57" s="29">
        <f>SUM('SGTO POAI 2023 MARZO'!AL202:AL260)</f>
        <v>35150576446</v>
      </c>
      <c r="E57" s="164">
        <f t="shared" si="24"/>
        <v>0.87611917829484443</v>
      </c>
      <c r="F57" s="29">
        <f>SUM('SGTO POAI 2023 MARZO'!AM202:AM260)</f>
        <v>7918561831.1400003</v>
      </c>
      <c r="G57" s="164">
        <f t="shared" si="2"/>
        <v>0.19736813976388626</v>
      </c>
    </row>
    <row r="58" spans="1:7" ht="30" customHeight="1">
      <c r="A58" s="16"/>
      <c r="B58" s="20" t="s">
        <v>1315</v>
      </c>
      <c r="C58" s="29">
        <f>SUM('SGTO POAI 2023 MARZO'!AT202:AT260)</f>
        <v>1266975478</v>
      </c>
      <c r="D58" s="29">
        <f>SUM('SGTO POAI 2023 MARZO'!AU202:AU260)</f>
        <v>393806838</v>
      </c>
      <c r="E58" s="164">
        <f t="shared" si="24"/>
        <v>0.31082435677575126</v>
      </c>
      <c r="F58" s="29">
        <f>SUM('SGTO POAI 2023 MARZO'!AV202:AV260)</f>
        <v>222730174</v>
      </c>
      <c r="G58" s="164">
        <f t="shared" si="2"/>
        <v>0.17579675208204779</v>
      </c>
    </row>
    <row r="59" spans="1:7" ht="30" customHeight="1">
      <c r="A59" s="16"/>
      <c r="B59" s="20" t="s">
        <v>1330</v>
      </c>
      <c r="C59" s="29">
        <f>SUM('SGTO POAI 2023 MARZO'!BC202:BC260)</f>
        <v>3328581305.6500001</v>
      </c>
      <c r="D59" s="29">
        <f>SUM('SGTO POAI 2023 MARZO'!BD202:BD260)</f>
        <v>166612020</v>
      </c>
      <c r="E59" s="164">
        <f t="shared" si="24"/>
        <v>5.0054964773487566E-2</v>
      </c>
      <c r="F59" s="29">
        <f>SUM('SGTO POAI 2023 MARZO'!BE202:BE260)</f>
        <v>35437629</v>
      </c>
      <c r="G59" s="164">
        <f t="shared" si="2"/>
        <v>1.0646466390905778E-2</v>
      </c>
    </row>
    <row r="60" spans="1:7" s="4" customFormat="1" ht="30" customHeight="1">
      <c r="A60" s="5"/>
      <c r="B60" s="6"/>
      <c r="C60" s="38"/>
      <c r="D60" s="38"/>
      <c r="E60" s="38"/>
      <c r="F60" s="38"/>
    </row>
    <row r="61" spans="1:7" s="4" customFormat="1" ht="30" customHeight="1">
      <c r="A61" s="56" t="s">
        <v>1331</v>
      </c>
      <c r="B61" s="63"/>
      <c r="C61" s="64">
        <f>C62</f>
        <v>1266894018</v>
      </c>
      <c r="D61" s="64">
        <f t="shared" ref="D61:F61" si="25">D62</f>
        <v>579300000</v>
      </c>
      <c r="E61" s="164">
        <f t="shared" ref="E61:E62" si="26">D61/C61</f>
        <v>0.45726003262255516</v>
      </c>
      <c r="F61" s="64">
        <f t="shared" si="25"/>
        <v>242300000</v>
      </c>
      <c r="G61" s="164">
        <f t="shared" si="2"/>
        <v>0.19125514570075111</v>
      </c>
    </row>
    <row r="62" spans="1:7" s="4" customFormat="1" ht="30" customHeight="1">
      <c r="A62" s="31"/>
      <c r="B62" s="23" t="s">
        <v>1315</v>
      </c>
      <c r="C62" s="29">
        <f>'SGTO POAI 2023 MARZO'!BF261+'SGTO POAI 2023 MARZO'!BF262+'SGTO POAI 2023 MARZO'!BF263+'SGTO POAI 2023 MARZO'!BF264+'SGTO POAI 2023 MARZO'!BF265+'SGTO POAI 2023 MARZO'!BF266+'SGTO POAI 2023 MARZO'!BF267+'SGTO POAI 2023 MARZO'!BF268+'SGTO POAI 2023 MARZO'!BF269+'SGTO POAI 2023 MARZO'!BF270+'SGTO POAI 2023 MARZO'!BF271+'SGTO POAI 2023 MARZO'!BF272+'SGTO POAI 2023 MARZO'!BF273+'SGTO POAI 2023 MARZO'!BF274+'SGTO POAI 2023 MARZO'!BF275+'SGTO POAI 2023 MARZO'!BF276+'SGTO POAI 2023 MARZO'!BF277+'SGTO POAI 2023 MARZO'!BF278+'SGTO POAI 2023 MARZO'!BF279+'SGTO POAI 2023 MARZO'!BF280+'SGTO POAI 2023 MARZO'!BF281+'SGTO POAI 2023 MARZO'!BF282+'SGTO POAI 2023 MARZO'!BF283</f>
        <v>1266894018</v>
      </c>
      <c r="D62" s="29">
        <f>'SGTO POAI 2023 MARZO'!BG261+'SGTO POAI 2023 MARZO'!BG262+'SGTO POAI 2023 MARZO'!BG263+'SGTO POAI 2023 MARZO'!BG264+'SGTO POAI 2023 MARZO'!BG265+'SGTO POAI 2023 MARZO'!BG266+'SGTO POAI 2023 MARZO'!BG267+'SGTO POAI 2023 MARZO'!BG268+'SGTO POAI 2023 MARZO'!BG269+'SGTO POAI 2023 MARZO'!BG270+'SGTO POAI 2023 MARZO'!BG271+'SGTO POAI 2023 MARZO'!BG272+'SGTO POAI 2023 MARZO'!BG273+'SGTO POAI 2023 MARZO'!BG274+'SGTO POAI 2023 MARZO'!BG275+'SGTO POAI 2023 MARZO'!BG276+'SGTO POAI 2023 MARZO'!BG277+'SGTO POAI 2023 MARZO'!BG278+'SGTO POAI 2023 MARZO'!BG279+'SGTO POAI 2023 MARZO'!BG280+'SGTO POAI 2023 MARZO'!BG281+'SGTO POAI 2023 MARZO'!BG282+'SGTO POAI 2023 MARZO'!BG283</f>
        <v>579300000</v>
      </c>
      <c r="E62" s="164">
        <f t="shared" si="26"/>
        <v>0.45726003262255516</v>
      </c>
      <c r="F62" s="29">
        <f>'SGTO POAI 2023 MARZO'!BH261+'SGTO POAI 2023 MARZO'!BH262+'SGTO POAI 2023 MARZO'!BH263+'SGTO POAI 2023 MARZO'!BH264+'SGTO POAI 2023 MARZO'!BH265+'SGTO POAI 2023 MARZO'!BH266+'SGTO POAI 2023 MARZO'!BH267+'SGTO POAI 2023 MARZO'!BH268+'SGTO POAI 2023 MARZO'!BH269+'SGTO POAI 2023 MARZO'!BH270+'SGTO POAI 2023 MARZO'!BH271+'SGTO POAI 2023 MARZO'!BH272+'SGTO POAI 2023 MARZO'!BH273+'SGTO POAI 2023 MARZO'!BH274+'SGTO POAI 2023 MARZO'!BH275+'SGTO POAI 2023 MARZO'!BH276+'SGTO POAI 2023 MARZO'!BH277+'SGTO POAI 2023 MARZO'!BH278+'SGTO POAI 2023 MARZO'!BH279+'SGTO POAI 2023 MARZO'!BH280+'SGTO POAI 2023 MARZO'!BH281+'SGTO POAI 2023 MARZO'!BH282+'SGTO POAI 2023 MARZO'!BH283</f>
        <v>242300000</v>
      </c>
      <c r="G62" s="164">
        <f t="shared" si="2"/>
        <v>0.19125514570075111</v>
      </c>
    </row>
    <row r="63" spans="1:7" s="9" customFormat="1" ht="30" customHeight="1">
      <c r="A63" s="5"/>
      <c r="B63" s="6"/>
      <c r="C63" s="38"/>
      <c r="D63" s="38"/>
      <c r="E63" s="38"/>
      <c r="F63" s="38"/>
    </row>
    <row r="64" spans="1:7" s="39" customFormat="1" ht="30" customHeight="1">
      <c r="A64" s="78" t="s">
        <v>1306</v>
      </c>
      <c r="B64" s="81"/>
      <c r="C64" s="82">
        <f>C6+C10+C13+C17+C25+C29+C34+C38+C41+C44+C50+C54+C61</f>
        <v>406043234113.46997</v>
      </c>
      <c r="D64" s="82">
        <f t="shared" ref="D64:F64" si="27">D6+D10+D13+D17+D25+D29+D34+D38+D41+D44+D50+D54+D61</f>
        <v>116985631153.91</v>
      </c>
      <c r="E64" s="164">
        <f>D64/C64</f>
        <v>0.28811126827252592</v>
      </c>
      <c r="F64" s="82">
        <f t="shared" si="27"/>
        <v>53381739244.400002</v>
      </c>
      <c r="G64" s="164">
        <f t="shared" si="2"/>
        <v>0.13146811659342245</v>
      </c>
    </row>
    <row r="65" spans="1:7" ht="30" customHeight="1">
      <c r="C65" s="38"/>
      <c r="D65" s="38"/>
      <c r="E65" s="38"/>
      <c r="F65" s="38"/>
    </row>
    <row r="66" spans="1:7" ht="30" customHeight="1">
      <c r="A66" s="65" t="s">
        <v>1307</v>
      </c>
      <c r="B66" s="63"/>
      <c r="C66" s="64">
        <f>SUM(C67:C70)</f>
        <v>9310061302.6199989</v>
      </c>
      <c r="D66" s="64">
        <f>SUM(D67:D70)</f>
        <v>2357978628</v>
      </c>
      <c r="E66" s="164">
        <f t="shared" ref="E66:E70" si="28">D66/C66</f>
        <v>0.2532720839696756</v>
      </c>
      <c r="F66" s="64">
        <f>SUM(F67:F70)</f>
        <v>436643218</v>
      </c>
      <c r="G66" s="164">
        <f t="shared" si="2"/>
        <v>4.6900144242564938E-2</v>
      </c>
    </row>
    <row r="67" spans="1:7" ht="30" customHeight="1">
      <c r="A67" s="16"/>
      <c r="B67" s="94" t="s">
        <v>1521</v>
      </c>
      <c r="C67" s="29">
        <f>SUM('SGTO POAI 2023 MARZO'!AB284:AB289)</f>
        <v>5147947220.8199997</v>
      </c>
      <c r="D67" s="29">
        <f>SUM('SGTO POAI 2023 MARZO'!AC284:AC289)</f>
        <v>1523556178</v>
      </c>
      <c r="E67" s="164">
        <f t="shared" si="28"/>
        <v>0.29595411775750835</v>
      </c>
      <c r="F67" s="29">
        <f>SUM('SGTO POAI 2023 MARZO'!AD284:AD289)</f>
        <v>173641490</v>
      </c>
      <c r="G67" s="164">
        <f t="shared" si="2"/>
        <v>3.3730238977147324E-2</v>
      </c>
    </row>
    <row r="68" spans="1:7" ht="30" customHeight="1">
      <c r="A68" s="16"/>
      <c r="B68" s="94" t="s">
        <v>1332</v>
      </c>
      <c r="C68" s="29">
        <f>SUM('SGTO POAI 2023 MARZO'!AE284:AE289)</f>
        <v>944078928.96000004</v>
      </c>
      <c r="D68" s="29">
        <f>SUM('SGTO POAI 2023 MARZO'!AF284:AF289)</f>
        <v>343239692.64999998</v>
      </c>
      <c r="E68" s="164">
        <f t="shared" si="28"/>
        <v>0.36357097073240874</v>
      </c>
      <c r="F68" s="29">
        <f>SUM('SGTO POAI 2023 MARZO'!AG284:AG289)</f>
        <v>65500000</v>
      </c>
      <c r="G68" s="164">
        <f t="shared" si="2"/>
        <v>6.9379792293590301E-2</v>
      </c>
    </row>
    <row r="69" spans="1:7" ht="30" customHeight="1">
      <c r="A69" s="16"/>
      <c r="B69" s="94" t="s">
        <v>1523</v>
      </c>
      <c r="C69" s="29">
        <f>SUM('SGTO POAI 2023 MARZO'!AW284:AW289)</f>
        <v>2018035152.8399997</v>
      </c>
      <c r="D69" s="29">
        <f>SUM('SGTO POAI 2023 MARZO'!AX284:AX289)</f>
        <v>296182757.35000002</v>
      </c>
      <c r="E69" s="164">
        <f t="shared" si="28"/>
        <v>0.14676788802869925</v>
      </c>
      <c r="F69" s="29">
        <f>SUM('SGTO POAI 2023 MARZO'!AY284:AY289)</f>
        <v>104751728</v>
      </c>
      <c r="G69" s="164">
        <f t="shared" si="2"/>
        <v>5.1907781612516468E-2</v>
      </c>
    </row>
    <row r="70" spans="1:7" s="39" customFormat="1" ht="30" customHeight="1">
      <c r="A70" s="16"/>
      <c r="B70" s="94" t="s">
        <v>1333</v>
      </c>
      <c r="C70" s="29">
        <f>SUM('SGTO POAI 2023 MARZO'!BC284:BC289)</f>
        <v>1200000000</v>
      </c>
      <c r="D70" s="29">
        <f>SUM('SGTO POAI 2023 MARZO'!BD284:BD289)</f>
        <v>195000000</v>
      </c>
      <c r="E70" s="164">
        <f t="shared" si="28"/>
        <v>0.16250000000000001</v>
      </c>
      <c r="F70" s="29">
        <f>SUM('SGTO POAI 2023 MARZO'!BE284:BE289)</f>
        <v>92750000</v>
      </c>
      <c r="G70" s="164">
        <f t="shared" ref="G70" si="29">F70/C70</f>
        <v>7.7291666666666661E-2</v>
      </c>
    </row>
    <row r="71" spans="1:7" s="39" customFormat="1" ht="30" customHeight="1">
      <c r="A71" s="5"/>
      <c r="B71" s="6"/>
      <c r="C71" s="38"/>
      <c r="D71" s="38"/>
      <c r="E71" s="38"/>
      <c r="F71" s="38"/>
    </row>
    <row r="72" spans="1:7" s="39" customFormat="1" ht="30" customHeight="1">
      <c r="A72" s="65" t="s">
        <v>1308</v>
      </c>
      <c r="B72" s="63"/>
      <c r="C72" s="64">
        <f>SUM(C73:C74)</f>
        <v>4454923248</v>
      </c>
      <c r="D72" s="64">
        <f t="shared" ref="D72:F72" si="30">SUM(D73:D74)</f>
        <v>778829000</v>
      </c>
      <c r="E72" s="164">
        <f t="shared" ref="E72:E74" si="31">D72/C72</f>
        <v>0.17482433627776836</v>
      </c>
      <c r="F72" s="64">
        <f t="shared" si="30"/>
        <v>198298500</v>
      </c>
      <c r="G72" s="164">
        <f t="shared" ref="G72:G74" si="32">F72/C72</f>
        <v>4.4512214680471639E-2</v>
      </c>
    </row>
    <row r="73" spans="1:7" ht="30" customHeight="1">
      <c r="A73" s="45"/>
      <c r="B73" s="20" t="s">
        <v>1334</v>
      </c>
      <c r="C73" s="29">
        <f>SUM('SGTO POAI 2023 MARZO'!AB290:AB301)</f>
        <v>3158923248</v>
      </c>
      <c r="D73" s="29">
        <f>SUM('SGTO POAI 2023 MARZO'!AC290:AC301)</f>
        <v>558079000</v>
      </c>
      <c r="E73" s="164">
        <f t="shared" si="31"/>
        <v>0.17666747691743856</v>
      </c>
      <c r="F73" s="29">
        <f>SUM('SGTO POAI 2023 MARZO'!AD290:AD301)</f>
        <v>142399500</v>
      </c>
      <c r="G73" s="164">
        <f t="shared" si="32"/>
        <v>4.5078493151157438E-2</v>
      </c>
    </row>
    <row r="74" spans="1:7" s="39" customFormat="1" ht="30" customHeight="1">
      <c r="A74" s="45"/>
      <c r="B74" s="20" t="s">
        <v>1335</v>
      </c>
      <c r="C74" s="29">
        <f>SUM('SGTO POAI 2023 MARZO'!AW290:AW301)</f>
        <v>1296000000</v>
      </c>
      <c r="D74" s="29">
        <f>SUM('SGTO POAI 2023 MARZO'!AX290:AX301)</f>
        <v>220750000</v>
      </c>
      <c r="E74" s="164">
        <f t="shared" si="31"/>
        <v>0.17033179012345678</v>
      </c>
      <c r="F74" s="29">
        <f>SUM('SGTO POAI 2023 MARZO'!AY290:AY301)</f>
        <v>55899000</v>
      </c>
      <c r="G74" s="164">
        <f t="shared" si="32"/>
        <v>4.3131944444444445E-2</v>
      </c>
    </row>
    <row r="75" spans="1:7" ht="30" customHeight="1">
      <c r="C75" s="38"/>
      <c r="D75" s="38"/>
      <c r="E75" s="38"/>
      <c r="F75" s="38"/>
    </row>
    <row r="76" spans="1:7" ht="30" customHeight="1">
      <c r="A76" s="56" t="s">
        <v>1309</v>
      </c>
      <c r="B76" s="63"/>
      <c r="C76" s="64">
        <f>C77</f>
        <v>118932650</v>
      </c>
      <c r="D76" s="64">
        <f t="shared" ref="D76:F76" si="33">D77</f>
        <v>61000000</v>
      </c>
      <c r="E76" s="164">
        <f t="shared" ref="E76:E77" si="34">D76/C76</f>
        <v>0.51289532352974565</v>
      </c>
      <c r="F76" s="64">
        <f t="shared" si="33"/>
        <v>25750000</v>
      </c>
      <c r="G76" s="164">
        <f t="shared" ref="G76:G77" si="35">F76/C76</f>
        <v>0.21650909149001557</v>
      </c>
    </row>
    <row r="77" spans="1:7" s="39" customFormat="1" ht="30" customHeight="1">
      <c r="A77" s="31"/>
      <c r="B77" s="23" t="s">
        <v>1336</v>
      </c>
      <c r="C77" s="29">
        <f>'SGTO POAI 2023 MARZO'!BF302+'SGTO POAI 2023 MARZO'!BF303+'SGTO POAI 2023 MARZO'!BF304+'SGTO POAI 2023 MARZO'!BF305</f>
        <v>118932650</v>
      </c>
      <c r="D77" s="29">
        <f>'SGTO POAI 2023 MARZO'!BG302+'SGTO POAI 2023 MARZO'!BG303+'SGTO POAI 2023 MARZO'!BG304+'SGTO POAI 2023 MARZO'!BG305</f>
        <v>61000000</v>
      </c>
      <c r="E77" s="164">
        <f t="shared" si="34"/>
        <v>0.51289532352974565</v>
      </c>
      <c r="F77" s="29">
        <f>'SGTO POAI 2023 MARZO'!BH302+'SGTO POAI 2023 MARZO'!BH303+'SGTO POAI 2023 MARZO'!BH304+'SGTO POAI 2023 MARZO'!BH305</f>
        <v>25750000</v>
      </c>
      <c r="G77" s="164">
        <f t="shared" si="35"/>
        <v>0.21650909149001557</v>
      </c>
    </row>
    <row r="78" spans="1:7" s="9" customFormat="1" ht="30" customHeight="1">
      <c r="A78" s="5"/>
      <c r="B78" s="6"/>
      <c r="C78" s="51"/>
      <c r="D78" s="51"/>
      <c r="E78" s="51"/>
      <c r="F78" s="51"/>
    </row>
    <row r="79" spans="1:7" s="9" customFormat="1" ht="30" customHeight="1">
      <c r="A79" s="78" t="s">
        <v>1310</v>
      </c>
      <c r="B79" s="78"/>
      <c r="C79" s="79">
        <f>C76+C72+C66</f>
        <v>13883917200.619999</v>
      </c>
      <c r="D79" s="79">
        <f>D76+D72+D66</f>
        <v>3197807628</v>
      </c>
      <c r="E79" s="164">
        <f>D79/C79</f>
        <v>0.23032459656682475</v>
      </c>
      <c r="F79" s="79">
        <f>F76+F72+F66</f>
        <v>660691718</v>
      </c>
      <c r="G79" s="164">
        <f t="shared" ref="G79" si="36">F79/C79</f>
        <v>4.7586837954528872E-2</v>
      </c>
    </row>
    <row r="80" spans="1:7" s="9" customFormat="1" ht="30" customHeight="1" thickBot="1">
      <c r="A80" s="52"/>
      <c r="B80" s="53"/>
      <c r="C80" s="54"/>
      <c r="D80" s="54"/>
      <c r="E80" s="54"/>
      <c r="F80" s="54"/>
    </row>
    <row r="81" spans="1:7" ht="30" customHeight="1" thickBot="1">
      <c r="A81" s="74" t="s">
        <v>1311</v>
      </c>
      <c r="B81" s="76"/>
      <c r="C81" s="77">
        <f>C64+C79</f>
        <v>419927151314.08997</v>
      </c>
      <c r="D81" s="77">
        <f>D64+D79</f>
        <v>120183438781.91</v>
      </c>
      <c r="E81" s="165">
        <f>D81/C81</f>
        <v>0.28620068601379206</v>
      </c>
      <c r="F81" s="77">
        <f>F64+F79</f>
        <v>54042430962.400002</v>
      </c>
      <c r="G81" s="165">
        <f t="shared" ref="G81" si="37">F81/C81</f>
        <v>0.12869477668515475</v>
      </c>
    </row>
    <row r="82" spans="1:7" ht="28.5" customHeight="1"/>
    <row r="85" spans="1:7" ht="15.75" thickBot="1"/>
    <row r="86" spans="1:7" ht="15.75">
      <c r="C86" s="518" t="s">
        <v>1508</v>
      </c>
      <c r="D86" s="519"/>
    </row>
    <row r="87" spans="1:7">
      <c r="C87" s="520" t="s">
        <v>1500</v>
      </c>
      <c r="D87" s="521"/>
    </row>
    <row r="88" spans="1:7">
      <c r="C88" s="522" t="s">
        <v>1502</v>
      </c>
      <c r="D88" s="523"/>
    </row>
    <row r="89" spans="1:7">
      <c r="C89" s="503" t="s">
        <v>1504</v>
      </c>
      <c r="D89" s="504"/>
    </row>
    <row r="90" spans="1:7">
      <c r="C90" s="505" t="s">
        <v>1506</v>
      </c>
      <c r="D90" s="506"/>
    </row>
    <row r="91" spans="1:7">
      <c r="C91" s="507" t="s">
        <v>1507</v>
      </c>
      <c r="D91" s="508"/>
    </row>
  </sheetData>
  <mergeCells count="7">
    <mergeCell ref="C90:D90"/>
    <mergeCell ref="C91:D91"/>
    <mergeCell ref="A1:G3"/>
    <mergeCell ref="C86:D86"/>
    <mergeCell ref="C87:D87"/>
    <mergeCell ref="C88:D88"/>
    <mergeCell ref="C89:D89"/>
  </mergeCells>
  <conditionalFormatting sqref="E6 G66:G70 E66:E70">
    <cfRule type="cellIs" dxfId="274" priority="201" operator="between">
      <formula>0</formula>
      <formula>0.3999</formula>
    </cfRule>
    <cfRule type="cellIs" dxfId="273" priority="202" operator="between">
      <formula>0.3955</formula>
      <formula>0.5949</formula>
    </cfRule>
    <cfRule type="cellIs" dxfId="272" priority="203" operator="between">
      <formula>0.595</formula>
      <formula>0.6949</formula>
    </cfRule>
    <cfRule type="cellIs" dxfId="271" priority="204" operator="between">
      <formula>0.695</formula>
      <formula>0.7949</formula>
    </cfRule>
    <cfRule type="cellIs" dxfId="270" priority="205" operator="between">
      <formula>0.795</formula>
      <formula>1</formula>
    </cfRule>
  </conditionalFormatting>
  <conditionalFormatting sqref="E7:E8">
    <cfRule type="cellIs" dxfId="269" priority="196" operator="between">
      <formula>0</formula>
      <formula>0.3999</formula>
    </cfRule>
    <cfRule type="cellIs" dxfId="268" priority="197" operator="between">
      <formula>0.3955</formula>
      <formula>0.5949</formula>
    </cfRule>
    <cfRule type="cellIs" dxfId="267" priority="198" operator="between">
      <formula>0.595</formula>
      <formula>0.6949</formula>
    </cfRule>
    <cfRule type="cellIs" dxfId="266" priority="199" operator="between">
      <formula>0.695</formula>
      <formula>0.7949</formula>
    </cfRule>
    <cfRule type="cellIs" dxfId="265" priority="200" operator="between">
      <formula>0.795</formula>
      <formula>1</formula>
    </cfRule>
  </conditionalFormatting>
  <conditionalFormatting sqref="G6">
    <cfRule type="cellIs" dxfId="264" priority="191" operator="between">
      <formula>0</formula>
      <formula>0.3999</formula>
    </cfRule>
    <cfRule type="cellIs" dxfId="263" priority="192" operator="between">
      <formula>0.3955</formula>
      <formula>0.5949</formula>
    </cfRule>
    <cfRule type="cellIs" dxfId="262" priority="193" operator="between">
      <formula>0.595</formula>
      <formula>0.6949</formula>
    </cfRule>
    <cfRule type="cellIs" dxfId="261" priority="194" operator="between">
      <formula>0.695</formula>
      <formula>0.7949</formula>
    </cfRule>
    <cfRule type="cellIs" dxfId="260" priority="195" operator="between">
      <formula>0.795</formula>
      <formula>1</formula>
    </cfRule>
  </conditionalFormatting>
  <conditionalFormatting sqref="E81">
    <cfRule type="cellIs" dxfId="259" priority="1" operator="between">
      <formula>0</formula>
      <formula>0.3999</formula>
    </cfRule>
    <cfRule type="cellIs" dxfId="258" priority="2" operator="between">
      <formula>0.3955</formula>
      <formula>0.5949</formula>
    </cfRule>
    <cfRule type="cellIs" dxfId="257" priority="3" operator="between">
      <formula>0.595</formula>
      <formula>0.6949</formula>
    </cfRule>
    <cfRule type="cellIs" dxfId="256" priority="4" operator="between">
      <formula>0.695</formula>
      <formula>0.7949</formula>
    </cfRule>
    <cfRule type="cellIs" dxfId="255" priority="5" operator="between">
      <formula>0.795</formula>
      <formula>1</formula>
    </cfRule>
  </conditionalFormatting>
  <conditionalFormatting sqref="G7:G8">
    <cfRule type="cellIs" dxfId="254" priority="181" operator="between">
      <formula>0</formula>
      <formula>0.3999</formula>
    </cfRule>
    <cfRule type="cellIs" dxfId="253" priority="182" operator="between">
      <formula>0.3955</formula>
      <formula>0.5949</formula>
    </cfRule>
    <cfRule type="cellIs" dxfId="252" priority="183" operator="between">
      <formula>0.595</formula>
      <formula>0.6949</formula>
    </cfRule>
    <cfRule type="cellIs" dxfId="251" priority="184" operator="between">
      <formula>0.695</formula>
      <formula>0.7949</formula>
    </cfRule>
    <cfRule type="cellIs" dxfId="250" priority="185" operator="between">
      <formula>0.795</formula>
      <formula>1</formula>
    </cfRule>
  </conditionalFormatting>
  <conditionalFormatting sqref="G10:G11">
    <cfRule type="cellIs" dxfId="249" priority="176" operator="between">
      <formula>0</formula>
      <formula>0.3999</formula>
    </cfRule>
    <cfRule type="cellIs" dxfId="248" priority="177" operator="between">
      <formula>0.3955</formula>
      <formula>0.5949</formula>
    </cfRule>
    <cfRule type="cellIs" dxfId="247" priority="178" operator="between">
      <formula>0.595</formula>
      <formula>0.6949</formula>
    </cfRule>
    <cfRule type="cellIs" dxfId="246" priority="179" operator="between">
      <formula>0.695</formula>
      <formula>0.7949</formula>
    </cfRule>
    <cfRule type="cellIs" dxfId="245" priority="180" operator="between">
      <formula>0.795</formula>
      <formula>1</formula>
    </cfRule>
  </conditionalFormatting>
  <conditionalFormatting sqref="G13:G15">
    <cfRule type="cellIs" dxfId="244" priority="171" operator="between">
      <formula>0</formula>
      <formula>0.3999</formula>
    </cfRule>
    <cfRule type="cellIs" dxfId="243" priority="172" operator="between">
      <formula>0.3955</formula>
      <formula>0.5949</formula>
    </cfRule>
    <cfRule type="cellIs" dxfId="242" priority="173" operator="between">
      <formula>0.595</formula>
      <formula>0.6949</formula>
    </cfRule>
    <cfRule type="cellIs" dxfId="241" priority="174" operator="between">
      <formula>0.695</formula>
      <formula>0.7949</formula>
    </cfRule>
    <cfRule type="cellIs" dxfId="240" priority="175" operator="between">
      <formula>0.795</formula>
      <formula>1</formula>
    </cfRule>
  </conditionalFormatting>
  <conditionalFormatting sqref="G17:G23">
    <cfRule type="cellIs" dxfId="239" priority="166" operator="between">
      <formula>0</formula>
      <formula>0.3999</formula>
    </cfRule>
    <cfRule type="cellIs" dxfId="238" priority="167" operator="between">
      <formula>0.3955</formula>
      <formula>0.5949</formula>
    </cfRule>
    <cfRule type="cellIs" dxfId="237" priority="168" operator="between">
      <formula>0.595</formula>
      <formula>0.6949</formula>
    </cfRule>
    <cfRule type="cellIs" dxfId="236" priority="169" operator="between">
      <formula>0.695</formula>
      <formula>0.7949</formula>
    </cfRule>
    <cfRule type="cellIs" dxfId="235" priority="170" operator="between">
      <formula>0.795</formula>
      <formula>1</formula>
    </cfRule>
  </conditionalFormatting>
  <conditionalFormatting sqref="G25:G27">
    <cfRule type="cellIs" dxfId="234" priority="161" operator="between">
      <formula>0</formula>
      <formula>0.3999</formula>
    </cfRule>
    <cfRule type="cellIs" dxfId="233" priority="162" operator="between">
      <formula>0.3955</formula>
      <formula>0.5949</formula>
    </cfRule>
    <cfRule type="cellIs" dxfId="232" priority="163" operator="between">
      <formula>0.595</formula>
      <formula>0.6949</formula>
    </cfRule>
    <cfRule type="cellIs" dxfId="231" priority="164" operator="between">
      <formula>0.695</formula>
      <formula>0.7949</formula>
    </cfRule>
    <cfRule type="cellIs" dxfId="230" priority="165" operator="between">
      <formula>0.795</formula>
      <formula>1</formula>
    </cfRule>
  </conditionalFormatting>
  <conditionalFormatting sqref="G29:G32">
    <cfRule type="cellIs" dxfId="229" priority="156" operator="between">
      <formula>0</formula>
      <formula>0.3999</formula>
    </cfRule>
    <cfRule type="cellIs" dxfId="228" priority="157" operator="between">
      <formula>0.3955</formula>
      <formula>0.5949</formula>
    </cfRule>
    <cfRule type="cellIs" dxfId="227" priority="158" operator="between">
      <formula>0.595</formula>
      <formula>0.6949</formula>
    </cfRule>
    <cfRule type="cellIs" dxfId="226" priority="159" operator="between">
      <formula>0.695</formula>
      <formula>0.7949</formula>
    </cfRule>
    <cfRule type="cellIs" dxfId="225" priority="160" operator="between">
      <formula>0.795</formula>
      <formula>1</formula>
    </cfRule>
  </conditionalFormatting>
  <conditionalFormatting sqref="G34:G36">
    <cfRule type="cellIs" dxfId="224" priority="151" operator="between">
      <formula>0</formula>
      <formula>0.3999</formula>
    </cfRule>
    <cfRule type="cellIs" dxfId="223" priority="152" operator="between">
      <formula>0.3955</formula>
      <formula>0.5949</formula>
    </cfRule>
    <cfRule type="cellIs" dxfId="222" priority="153" operator="between">
      <formula>0.595</formula>
      <formula>0.6949</formula>
    </cfRule>
    <cfRule type="cellIs" dxfId="221" priority="154" operator="between">
      <formula>0.695</formula>
      <formula>0.7949</formula>
    </cfRule>
    <cfRule type="cellIs" dxfId="220" priority="155" operator="between">
      <formula>0.795</formula>
      <formula>1</formula>
    </cfRule>
  </conditionalFormatting>
  <conditionalFormatting sqref="G38:G39">
    <cfRule type="cellIs" dxfId="219" priority="146" operator="between">
      <formula>0</formula>
      <formula>0.3999</formula>
    </cfRule>
    <cfRule type="cellIs" dxfId="218" priority="147" operator="between">
      <formula>0.3955</formula>
      <formula>0.5949</formula>
    </cfRule>
    <cfRule type="cellIs" dxfId="217" priority="148" operator="between">
      <formula>0.595</formula>
      <formula>0.6949</formula>
    </cfRule>
    <cfRule type="cellIs" dxfId="216" priority="149" operator="between">
      <formula>0.695</formula>
      <formula>0.7949</formula>
    </cfRule>
    <cfRule type="cellIs" dxfId="215" priority="150" operator="between">
      <formula>0.795</formula>
      <formula>1</formula>
    </cfRule>
  </conditionalFormatting>
  <conditionalFormatting sqref="G41:G42">
    <cfRule type="cellIs" dxfId="214" priority="141" operator="between">
      <formula>0</formula>
      <formula>0.3999</formula>
    </cfRule>
    <cfRule type="cellIs" dxfId="213" priority="142" operator="between">
      <formula>0.3955</formula>
      <formula>0.5949</formula>
    </cfRule>
    <cfRule type="cellIs" dxfId="212" priority="143" operator="between">
      <formula>0.595</formula>
      <formula>0.6949</formula>
    </cfRule>
    <cfRule type="cellIs" dxfId="211" priority="144" operator="between">
      <formula>0.695</formula>
      <formula>0.7949</formula>
    </cfRule>
    <cfRule type="cellIs" dxfId="210" priority="145" operator="between">
      <formula>0.795</formula>
      <formula>1</formula>
    </cfRule>
  </conditionalFormatting>
  <conditionalFormatting sqref="G44:G48">
    <cfRule type="cellIs" dxfId="209" priority="136" operator="between">
      <formula>0</formula>
      <formula>0.3999</formula>
    </cfRule>
    <cfRule type="cellIs" dxfId="208" priority="137" operator="between">
      <formula>0.3955</formula>
      <formula>0.5949</formula>
    </cfRule>
    <cfRule type="cellIs" dxfId="207" priority="138" operator="between">
      <formula>0.595</formula>
      <formula>0.6949</formula>
    </cfRule>
    <cfRule type="cellIs" dxfId="206" priority="139" operator="between">
      <formula>0.695</formula>
      <formula>0.7949</formula>
    </cfRule>
    <cfRule type="cellIs" dxfId="205" priority="140" operator="between">
      <formula>0.795</formula>
      <formula>1</formula>
    </cfRule>
  </conditionalFormatting>
  <conditionalFormatting sqref="G50:G52">
    <cfRule type="cellIs" dxfId="204" priority="131" operator="between">
      <formula>0</formula>
      <formula>0.3999</formula>
    </cfRule>
    <cfRule type="cellIs" dxfId="203" priority="132" operator="between">
      <formula>0.3955</formula>
      <formula>0.5949</formula>
    </cfRule>
    <cfRule type="cellIs" dxfId="202" priority="133" operator="between">
      <formula>0.595</formula>
      <formula>0.6949</formula>
    </cfRule>
    <cfRule type="cellIs" dxfId="201" priority="134" operator="between">
      <formula>0.695</formula>
      <formula>0.7949</formula>
    </cfRule>
    <cfRule type="cellIs" dxfId="200" priority="135" operator="between">
      <formula>0.795</formula>
      <formula>1</formula>
    </cfRule>
  </conditionalFormatting>
  <conditionalFormatting sqref="G54:G59">
    <cfRule type="cellIs" dxfId="199" priority="126" operator="between">
      <formula>0</formula>
      <formula>0.3999</formula>
    </cfRule>
    <cfRule type="cellIs" dxfId="198" priority="127" operator="between">
      <formula>0.3955</formula>
      <formula>0.5949</formula>
    </cfRule>
    <cfRule type="cellIs" dxfId="197" priority="128" operator="between">
      <formula>0.595</formula>
      <formula>0.6949</formula>
    </cfRule>
    <cfRule type="cellIs" dxfId="196" priority="129" operator="between">
      <formula>0.695</formula>
      <formula>0.7949</formula>
    </cfRule>
    <cfRule type="cellIs" dxfId="195" priority="130" operator="between">
      <formula>0.795</formula>
      <formula>1</formula>
    </cfRule>
  </conditionalFormatting>
  <conditionalFormatting sqref="G61:G62">
    <cfRule type="cellIs" dxfId="194" priority="121" operator="between">
      <formula>0</formula>
      <formula>0.3999</formula>
    </cfRule>
    <cfRule type="cellIs" dxfId="193" priority="122" operator="between">
      <formula>0.3955</formula>
      <formula>0.5949</formula>
    </cfRule>
    <cfRule type="cellIs" dxfId="192" priority="123" operator="between">
      <formula>0.595</formula>
      <formula>0.6949</formula>
    </cfRule>
    <cfRule type="cellIs" dxfId="191" priority="124" operator="between">
      <formula>0.695</formula>
      <formula>0.7949</formula>
    </cfRule>
    <cfRule type="cellIs" dxfId="190" priority="125" operator="between">
      <formula>0.795</formula>
      <formula>1</formula>
    </cfRule>
  </conditionalFormatting>
  <conditionalFormatting sqref="G64">
    <cfRule type="cellIs" dxfId="189" priority="116" operator="between">
      <formula>0</formula>
      <formula>0.3999</formula>
    </cfRule>
    <cfRule type="cellIs" dxfId="188" priority="117" operator="between">
      <formula>0.3955</formula>
      <formula>0.5949</formula>
    </cfRule>
    <cfRule type="cellIs" dxfId="187" priority="118" operator="between">
      <formula>0.595</formula>
      <formula>0.6949</formula>
    </cfRule>
    <cfRule type="cellIs" dxfId="186" priority="119" operator="between">
      <formula>0.695</formula>
      <formula>0.7949</formula>
    </cfRule>
    <cfRule type="cellIs" dxfId="185" priority="120" operator="between">
      <formula>0.795</formula>
      <formula>1</formula>
    </cfRule>
  </conditionalFormatting>
  <conditionalFormatting sqref="G72:G74">
    <cfRule type="cellIs" dxfId="184" priority="106" operator="between">
      <formula>0</formula>
      <formula>0.3999</formula>
    </cfRule>
    <cfRule type="cellIs" dxfId="183" priority="107" operator="between">
      <formula>0.3955</formula>
      <formula>0.5949</formula>
    </cfRule>
    <cfRule type="cellIs" dxfId="182" priority="108" operator="between">
      <formula>0.595</formula>
      <formula>0.6949</formula>
    </cfRule>
    <cfRule type="cellIs" dxfId="181" priority="109" operator="between">
      <formula>0.695</formula>
      <formula>0.7949</formula>
    </cfRule>
    <cfRule type="cellIs" dxfId="180" priority="110" operator="between">
      <formula>0.795</formula>
      <formula>1</formula>
    </cfRule>
  </conditionalFormatting>
  <conditionalFormatting sqref="G76:G77">
    <cfRule type="cellIs" dxfId="179" priority="101" operator="between">
      <formula>0</formula>
      <formula>0.3999</formula>
    </cfRule>
    <cfRule type="cellIs" dxfId="178" priority="102" operator="between">
      <formula>0.3955</formula>
      <formula>0.5949</formula>
    </cfRule>
    <cfRule type="cellIs" dxfId="177" priority="103" operator="between">
      <formula>0.595</formula>
      <formula>0.6949</formula>
    </cfRule>
    <cfRule type="cellIs" dxfId="176" priority="104" operator="between">
      <formula>0.695</formula>
      <formula>0.7949</formula>
    </cfRule>
    <cfRule type="cellIs" dxfId="175" priority="105" operator="between">
      <formula>0.795</formula>
      <formula>1</formula>
    </cfRule>
  </conditionalFormatting>
  <conditionalFormatting sqref="G79">
    <cfRule type="cellIs" dxfId="174" priority="96" operator="between">
      <formula>0</formula>
      <formula>0.3999</formula>
    </cfRule>
    <cfRule type="cellIs" dxfId="173" priority="97" operator="between">
      <formula>0.3955</formula>
      <formula>0.5949</formula>
    </cfRule>
    <cfRule type="cellIs" dxfId="172" priority="98" operator="between">
      <formula>0.595</formula>
      <formula>0.6949</formula>
    </cfRule>
    <cfRule type="cellIs" dxfId="171" priority="99" operator="between">
      <formula>0.695</formula>
      <formula>0.7949</formula>
    </cfRule>
    <cfRule type="cellIs" dxfId="170" priority="100" operator="between">
      <formula>0.795</formula>
      <formula>1</formula>
    </cfRule>
  </conditionalFormatting>
  <conditionalFormatting sqref="G81">
    <cfRule type="cellIs" dxfId="169" priority="91" operator="between">
      <formula>0</formula>
      <formula>0.3999</formula>
    </cfRule>
    <cfRule type="cellIs" dxfId="168" priority="92" operator="between">
      <formula>0.3955</formula>
      <formula>0.5949</formula>
    </cfRule>
    <cfRule type="cellIs" dxfId="167" priority="93" operator="between">
      <formula>0.595</formula>
      <formula>0.6949</formula>
    </cfRule>
    <cfRule type="cellIs" dxfId="166" priority="94" operator="between">
      <formula>0.695</formula>
      <formula>0.7949</formula>
    </cfRule>
    <cfRule type="cellIs" dxfId="165" priority="95" operator="between">
      <formula>0.795</formula>
      <formula>1</formula>
    </cfRule>
  </conditionalFormatting>
  <conditionalFormatting sqref="E10:E11">
    <cfRule type="cellIs" dxfId="164" priority="86" operator="between">
      <formula>0</formula>
      <formula>0.3999</formula>
    </cfRule>
    <cfRule type="cellIs" dxfId="163" priority="87" operator="between">
      <formula>0.3955</formula>
      <formula>0.5949</formula>
    </cfRule>
    <cfRule type="cellIs" dxfId="162" priority="88" operator="between">
      <formula>0.595</formula>
      <formula>0.6949</formula>
    </cfRule>
    <cfRule type="cellIs" dxfId="161" priority="89" operator="between">
      <formula>0.695</formula>
      <formula>0.7949</formula>
    </cfRule>
    <cfRule type="cellIs" dxfId="160" priority="90" operator="between">
      <formula>0.795</formula>
      <formula>1</formula>
    </cfRule>
  </conditionalFormatting>
  <conditionalFormatting sqref="E13:E15">
    <cfRule type="cellIs" dxfId="159" priority="81" operator="between">
      <formula>0</formula>
      <formula>0.3999</formula>
    </cfRule>
    <cfRule type="cellIs" dxfId="158" priority="82" operator="between">
      <formula>0.3955</formula>
      <formula>0.5949</formula>
    </cfRule>
    <cfRule type="cellIs" dxfId="157" priority="83" operator="between">
      <formula>0.595</formula>
      <formula>0.6949</formula>
    </cfRule>
    <cfRule type="cellIs" dxfId="156" priority="84" operator="between">
      <formula>0.695</formula>
      <formula>0.7949</formula>
    </cfRule>
    <cfRule type="cellIs" dxfId="155" priority="85" operator="between">
      <formula>0.795</formula>
      <formula>1</formula>
    </cfRule>
  </conditionalFormatting>
  <conditionalFormatting sqref="E17:E23">
    <cfRule type="cellIs" dxfId="154" priority="76" operator="between">
      <formula>0</formula>
      <formula>0.3999</formula>
    </cfRule>
    <cfRule type="cellIs" dxfId="153" priority="77" operator="between">
      <formula>0.3955</formula>
      <formula>0.5949</formula>
    </cfRule>
    <cfRule type="cellIs" dxfId="152" priority="78" operator="between">
      <formula>0.595</formula>
      <formula>0.6949</formula>
    </cfRule>
    <cfRule type="cellIs" dxfId="151" priority="79" operator="between">
      <formula>0.695</formula>
      <formula>0.7949</formula>
    </cfRule>
    <cfRule type="cellIs" dxfId="150" priority="80" operator="between">
      <formula>0.795</formula>
      <formula>1</formula>
    </cfRule>
  </conditionalFormatting>
  <conditionalFormatting sqref="E25:E27">
    <cfRule type="cellIs" dxfId="149" priority="71" operator="between">
      <formula>0</formula>
      <formula>0.3999</formula>
    </cfRule>
    <cfRule type="cellIs" dxfId="148" priority="72" operator="between">
      <formula>0.3955</formula>
      <formula>0.5949</formula>
    </cfRule>
    <cfRule type="cellIs" dxfId="147" priority="73" operator="between">
      <formula>0.595</formula>
      <formula>0.6949</formula>
    </cfRule>
    <cfRule type="cellIs" dxfId="146" priority="74" operator="between">
      <formula>0.695</formula>
      <formula>0.7949</formula>
    </cfRule>
    <cfRule type="cellIs" dxfId="145" priority="75" operator="between">
      <formula>0.795</formula>
      <formula>1</formula>
    </cfRule>
  </conditionalFormatting>
  <conditionalFormatting sqref="E29:E32">
    <cfRule type="cellIs" dxfId="144" priority="66" operator="between">
      <formula>0</formula>
      <formula>0.3999</formula>
    </cfRule>
    <cfRule type="cellIs" dxfId="143" priority="67" operator="between">
      <formula>0.3955</formula>
      <formula>0.5949</formula>
    </cfRule>
    <cfRule type="cellIs" dxfId="142" priority="68" operator="between">
      <formula>0.595</formula>
      <formula>0.6949</formula>
    </cfRule>
    <cfRule type="cellIs" dxfId="141" priority="69" operator="between">
      <formula>0.695</formula>
      <formula>0.7949</formula>
    </cfRule>
    <cfRule type="cellIs" dxfId="140" priority="70" operator="between">
      <formula>0.795</formula>
      <formula>1</formula>
    </cfRule>
  </conditionalFormatting>
  <conditionalFormatting sqref="E34:E36">
    <cfRule type="cellIs" dxfId="139" priority="61" operator="between">
      <formula>0</formula>
      <formula>0.3999</formula>
    </cfRule>
    <cfRule type="cellIs" dxfId="138" priority="62" operator="between">
      <formula>0.3955</formula>
      <formula>0.5949</formula>
    </cfRule>
    <cfRule type="cellIs" dxfId="137" priority="63" operator="between">
      <formula>0.595</formula>
      <formula>0.6949</formula>
    </cfRule>
    <cfRule type="cellIs" dxfId="136" priority="64" operator="between">
      <formula>0.695</formula>
      <formula>0.7949</formula>
    </cfRule>
    <cfRule type="cellIs" dxfId="135" priority="65" operator="between">
      <formula>0.795</formula>
      <formula>1</formula>
    </cfRule>
  </conditionalFormatting>
  <conditionalFormatting sqref="E38:E39">
    <cfRule type="cellIs" dxfId="134" priority="56" operator="between">
      <formula>0</formula>
      <formula>0.3999</formula>
    </cfRule>
    <cfRule type="cellIs" dxfId="133" priority="57" operator="between">
      <formula>0.3955</formula>
      <formula>0.5949</formula>
    </cfRule>
    <cfRule type="cellIs" dxfId="132" priority="58" operator="between">
      <formula>0.595</formula>
      <formula>0.6949</formula>
    </cfRule>
    <cfRule type="cellIs" dxfId="131" priority="59" operator="between">
      <formula>0.695</formula>
      <formula>0.7949</formula>
    </cfRule>
    <cfRule type="cellIs" dxfId="130" priority="60" operator="between">
      <formula>0.795</formula>
      <formula>1</formula>
    </cfRule>
  </conditionalFormatting>
  <conditionalFormatting sqref="E41:E42">
    <cfRule type="cellIs" dxfId="129" priority="51" operator="between">
      <formula>0</formula>
      <formula>0.3999</formula>
    </cfRule>
    <cfRule type="cellIs" dxfId="128" priority="52" operator="between">
      <formula>0.3955</formula>
      <formula>0.5949</formula>
    </cfRule>
    <cfRule type="cellIs" dxfId="127" priority="53" operator="between">
      <formula>0.595</formula>
      <formula>0.6949</formula>
    </cfRule>
    <cfRule type="cellIs" dxfId="126" priority="54" operator="between">
      <formula>0.695</formula>
      <formula>0.7949</formula>
    </cfRule>
    <cfRule type="cellIs" dxfId="125" priority="55" operator="between">
      <formula>0.795</formula>
      <formula>1</formula>
    </cfRule>
  </conditionalFormatting>
  <conditionalFormatting sqref="E44:E48">
    <cfRule type="cellIs" dxfId="124" priority="46" operator="between">
      <formula>0</formula>
      <formula>0.3999</formula>
    </cfRule>
    <cfRule type="cellIs" dxfId="123" priority="47" operator="between">
      <formula>0.3955</formula>
      <formula>0.5949</formula>
    </cfRule>
    <cfRule type="cellIs" dxfId="122" priority="48" operator="between">
      <formula>0.595</formula>
      <formula>0.6949</formula>
    </cfRule>
    <cfRule type="cellIs" dxfId="121" priority="49" operator="between">
      <formula>0.695</formula>
      <formula>0.7949</formula>
    </cfRule>
    <cfRule type="cellIs" dxfId="120" priority="50" operator="between">
      <formula>0.795</formula>
      <formula>1</formula>
    </cfRule>
  </conditionalFormatting>
  <conditionalFormatting sqref="E50:E52">
    <cfRule type="cellIs" dxfId="119" priority="41" operator="between">
      <formula>0</formula>
      <formula>0.3999</formula>
    </cfRule>
    <cfRule type="cellIs" dxfId="118" priority="42" operator="between">
      <formula>0.3955</formula>
      <formula>0.5949</formula>
    </cfRule>
    <cfRule type="cellIs" dxfId="117" priority="43" operator="between">
      <formula>0.595</formula>
      <formula>0.6949</formula>
    </cfRule>
    <cfRule type="cellIs" dxfId="116" priority="44" operator="between">
      <formula>0.695</formula>
      <formula>0.7949</formula>
    </cfRule>
    <cfRule type="cellIs" dxfId="115" priority="45" operator="between">
      <formula>0.795</formula>
      <formula>1</formula>
    </cfRule>
  </conditionalFormatting>
  <conditionalFormatting sqref="E54:E59">
    <cfRule type="cellIs" dxfId="114" priority="36" operator="between">
      <formula>0</formula>
      <formula>0.3999</formula>
    </cfRule>
    <cfRule type="cellIs" dxfId="113" priority="37" operator="between">
      <formula>0.3955</formula>
      <formula>0.5949</formula>
    </cfRule>
    <cfRule type="cellIs" dxfId="112" priority="38" operator="between">
      <formula>0.595</formula>
      <formula>0.6949</formula>
    </cfRule>
    <cfRule type="cellIs" dxfId="111" priority="39" operator="between">
      <formula>0.695</formula>
      <formula>0.7949</formula>
    </cfRule>
    <cfRule type="cellIs" dxfId="110" priority="40" operator="between">
      <formula>0.795</formula>
      <formula>1</formula>
    </cfRule>
  </conditionalFormatting>
  <conditionalFormatting sqref="E61:E62">
    <cfRule type="cellIs" dxfId="109" priority="31" operator="between">
      <formula>0</formula>
      <formula>0.3999</formula>
    </cfRule>
    <cfRule type="cellIs" dxfId="108" priority="32" operator="between">
      <formula>0.3955</formula>
      <formula>0.5949</formula>
    </cfRule>
    <cfRule type="cellIs" dxfId="107" priority="33" operator="between">
      <formula>0.595</formula>
      <formula>0.6949</formula>
    </cfRule>
    <cfRule type="cellIs" dxfId="106" priority="34" operator="between">
      <formula>0.695</formula>
      <formula>0.7949</formula>
    </cfRule>
    <cfRule type="cellIs" dxfId="105" priority="35" operator="between">
      <formula>0.795</formula>
      <formula>1</formula>
    </cfRule>
  </conditionalFormatting>
  <conditionalFormatting sqref="E64">
    <cfRule type="cellIs" dxfId="104" priority="26" operator="between">
      <formula>0</formula>
      <formula>0.3999</formula>
    </cfRule>
    <cfRule type="cellIs" dxfId="103" priority="27" operator="between">
      <formula>0.3955</formula>
      <formula>0.5949</formula>
    </cfRule>
    <cfRule type="cellIs" dxfId="102" priority="28" operator="between">
      <formula>0.595</formula>
      <formula>0.6949</formula>
    </cfRule>
    <cfRule type="cellIs" dxfId="101" priority="29" operator="between">
      <formula>0.695</formula>
      <formula>0.7949</formula>
    </cfRule>
    <cfRule type="cellIs" dxfId="100" priority="30" operator="between">
      <formula>0.795</formula>
      <formula>1</formula>
    </cfRule>
  </conditionalFormatting>
  <conditionalFormatting sqref="E72:E74">
    <cfRule type="cellIs" dxfId="99" priority="16" operator="between">
      <formula>0</formula>
      <formula>0.3999</formula>
    </cfRule>
    <cfRule type="cellIs" dxfId="98" priority="17" operator="between">
      <formula>0.3955</formula>
      <formula>0.5949</formula>
    </cfRule>
    <cfRule type="cellIs" dxfId="97" priority="18" operator="between">
      <formula>0.595</formula>
      <formula>0.6949</formula>
    </cfRule>
    <cfRule type="cellIs" dxfId="96" priority="19" operator="between">
      <formula>0.695</formula>
      <formula>0.7949</formula>
    </cfRule>
    <cfRule type="cellIs" dxfId="95" priority="20" operator="between">
      <formula>0.795</formula>
      <formula>1</formula>
    </cfRule>
  </conditionalFormatting>
  <conditionalFormatting sqref="E76:E77">
    <cfRule type="cellIs" dxfId="94" priority="11" operator="between">
      <formula>0</formula>
      <formula>0.3999</formula>
    </cfRule>
    <cfRule type="cellIs" dxfId="93" priority="12" operator="between">
      <formula>0.3955</formula>
      <formula>0.5949</formula>
    </cfRule>
    <cfRule type="cellIs" dxfId="92" priority="13" operator="between">
      <formula>0.595</formula>
      <formula>0.6949</formula>
    </cfRule>
    <cfRule type="cellIs" dxfId="91" priority="14" operator="between">
      <formula>0.695</formula>
      <formula>0.7949</formula>
    </cfRule>
    <cfRule type="cellIs" dxfId="90" priority="15" operator="between">
      <formula>0.795</formula>
      <formula>1</formula>
    </cfRule>
  </conditionalFormatting>
  <conditionalFormatting sqref="E79">
    <cfRule type="cellIs" dxfId="89" priority="6" operator="between">
      <formula>0</formula>
      <formula>0.3999</formula>
    </cfRule>
    <cfRule type="cellIs" dxfId="88" priority="7" operator="between">
      <formula>0.3955</formula>
      <formula>0.5949</formula>
    </cfRule>
    <cfRule type="cellIs" dxfId="87" priority="8" operator="between">
      <formula>0.595</formula>
      <formula>0.6949</formula>
    </cfRule>
    <cfRule type="cellIs" dxfId="86" priority="9" operator="between">
      <formula>0.695</formula>
      <formula>0.7949</formula>
    </cfRule>
    <cfRule type="cellIs" dxfId="85" priority="10" operator="between">
      <formula>0.795</formula>
      <formula>1</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19"/>
  <sheetViews>
    <sheetView showGridLines="0" zoomScale="70" zoomScaleNormal="70" workbookViewId="0">
      <selection activeCell="B1" sqref="B1:G3"/>
    </sheetView>
  </sheetViews>
  <sheetFormatPr baseColWidth="10" defaultColWidth="11.42578125" defaultRowHeight="15"/>
  <cols>
    <col min="2" max="2" width="49.5703125" customWidth="1"/>
    <col min="3" max="6" width="28.7109375" customWidth="1"/>
    <col min="7" max="7" width="16" customWidth="1"/>
  </cols>
  <sheetData>
    <row r="1" spans="2:7" ht="15" customHeight="1">
      <c r="B1" s="528" t="s">
        <v>1477</v>
      </c>
      <c r="C1" s="529"/>
      <c r="D1" s="529"/>
      <c r="E1" s="529"/>
      <c r="F1" s="529"/>
      <c r="G1" s="530"/>
    </row>
    <row r="2" spans="2:7" ht="15" customHeight="1">
      <c r="B2" s="531"/>
      <c r="C2" s="532"/>
      <c r="D2" s="532"/>
      <c r="E2" s="532"/>
      <c r="F2" s="532"/>
      <c r="G2" s="533"/>
    </row>
    <row r="3" spans="2:7" ht="60.75" customHeight="1">
      <c r="B3" s="534"/>
      <c r="C3" s="535"/>
      <c r="D3" s="535"/>
      <c r="E3" s="535"/>
      <c r="F3" s="535"/>
      <c r="G3" s="536"/>
    </row>
    <row r="4" spans="2:7" ht="26.25" customHeight="1">
      <c r="B4" s="66" t="s">
        <v>23</v>
      </c>
      <c r="C4" s="69" t="s">
        <v>1314</v>
      </c>
      <c r="D4" s="167" t="s">
        <v>1466</v>
      </c>
      <c r="E4" s="167" t="s">
        <v>1524</v>
      </c>
      <c r="F4" s="167" t="s">
        <v>1467</v>
      </c>
      <c r="G4" s="167" t="s">
        <v>1476</v>
      </c>
    </row>
    <row r="5" spans="2:7" ht="30.75" customHeight="1">
      <c r="B5" s="55" t="s">
        <v>148</v>
      </c>
      <c r="C5" s="44">
        <f>'RESUMEN PROGRAMAS'!E24+'RESUMEN PROGRAMAS'!E54+'RESUMEN PROGRAMAS'!E76+'RESUMEN PROGRAMAS'!E115+'RESUMEN PROGRAMAS'!E124+'RESUMEN PROGRAMAS'!E143+'RESUMEN PROGRAMAS'!E150+'RESUMEN PROGRAMAS'!E165+'RESUMEN PROGRAMAS'!E171</f>
        <v>335561062838.66998</v>
      </c>
      <c r="D5" s="44">
        <f>'RESUMEN PROGRAMAS'!F24+'RESUMEN PROGRAMAS'!F54+'RESUMEN PROGRAMAS'!F76+'RESUMEN PROGRAMAS'!F115+'RESUMEN PROGRAMAS'!F124+'RESUMEN PROGRAMAS'!F143+'RESUMEN PROGRAMAS'!F150+'RESUMEN PROGRAMAS'!F165+'RESUMEN PROGRAMAS'!F171</f>
        <v>105454470519.91</v>
      </c>
      <c r="E5" s="164">
        <f>D5/C5</f>
        <v>0.31426313180623727</v>
      </c>
      <c r="F5" s="44">
        <f>'RESUMEN PROGRAMAS'!H24+'RESUMEN PROGRAMAS'!H54+'RESUMEN PROGRAMAS'!H76+'RESUMEN PROGRAMAS'!H115+'RESUMEN PROGRAMAS'!H124+'RESUMEN PROGRAMAS'!H143+'RESUMEN PROGRAMAS'!H150+'RESUMEN PROGRAMAS'!H165+'RESUMEN PROGRAMAS'!H171</f>
        <v>51999678547.389999</v>
      </c>
      <c r="G5" s="164">
        <f>F5/C5</f>
        <v>0.15496338611965313</v>
      </c>
    </row>
    <row r="6" spans="2:7" ht="30.75" customHeight="1">
      <c r="B6" s="55" t="s">
        <v>199</v>
      </c>
      <c r="C6" s="117">
        <f>'RESUMEN PROGRAMAS'!E37+'RESUMEN PROGRAMAS'!E82+'RESUMEN PROGRAMAS'!E89+'RESUMEN PROGRAMAS'!E119+'RESUMEN PROGRAMAS'!E133+'RESUMEN PROGRAMAS'!E154</f>
        <v>4415758617.8999996</v>
      </c>
      <c r="D6" s="117">
        <f>'RESUMEN PROGRAMAS'!F37+'RESUMEN PROGRAMAS'!F82+'RESUMEN PROGRAMAS'!F89+'RESUMEN PROGRAMAS'!F119+'RESUMEN PROGRAMAS'!F133+'RESUMEN PROGRAMAS'!F154</f>
        <v>1406034963</v>
      </c>
      <c r="E6" s="164">
        <f t="shared" ref="E6:E9" si="0">D6/C6</f>
        <v>0.31841300321544014</v>
      </c>
      <c r="F6" s="117">
        <f>'RESUMEN PROGRAMAS'!H37+'RESUMEN PROGRAMAS'!H82+'RESUMEN PROGRAMAS'!H89+'RESUMEN PROGRAMAS'!H119+'RESUMEN PROGRAMAS'!H133+'RESUMEN PROGRAMAS'!H154</f>
        <v>499498665.00999999</v>
      </c>
      <c r="G6" s="164">
        <f>F6/C6</f>
        <v>0.1131172938179185</v>
      </c>
    </row>
    <row r="7" spans="2:7" ht="30.75" customHeight="1">
      <c r="B7" s="55" t="s">
        <v>211</v>
      </c>
      <c r="C7" s="117">
        <f>'RESUMEN PROGRAMAS'!E40+'RESUMEN PROGRAMAS'!E66+'RESUMEN PROGRAMAS'!E100+'RESUMEN PROGRAMAS'!E176+'RESUMEN PROGRAMAS'!E187</f>
        <v>58976770618.360001</v>
      </c>
      <c r="D7" s="117">
        <f>'RESUMEN PROGRAMAS'!F40+'RESUMEN PROGRAMAS'!F66+'RESUMEN PROGRAMAS'!F100+'RESUMEN PROGRAMAS'!F176+'RESUMEN PROGRAMAS'!F187</f>
        <v>5085248429</v>
      </c>
      <c r="E7" s="164">
        <f t="shared" si="0"/>
        <v>8.6224599544569097E-2</v>
      </c>
      <c r="F7" s="117">
        <f>'RESUMEN PROGRAMAS'!H40+'RESUMEN PROGRAMAS'!H66+'RESUMEN PROGRAMAS'!H100+'RESUMEN PROGRAMAS'!H176+'RESUMEN PROGRAMAS'!H187</f>
        <v>316925750</v>
      </c>
      <c r="G7" s="164">
        <f>F7/C7</f>
        <v>5.3737386207670405E-3</v>
      </c>
    </row>
    <row r="8" spans="2:7" ht="30.75" customHeight="1">
      <c r="B8" s="55" t="s">
        <v>59</v>
      </c>
      <c r="C8" s="117">
        <f>'RESUMEN PROGRAMAS'!E7+'RESUMEN PROGRAMAS'!E13+'RESUMEN PROGRAMAS'!E19+'RESUMEN PROGRAMAS'!E48+'RESUMEN PROGRAMAS'!E71+'RESUMEN PROGRAMAS'!E109+'RESUMEN PROGRAMAS'!E138+'RESUMEN PROGRAMAS'!E158+'RESUMEN PROGRAMAS'!E182</f>
        <v>20973559239.16</v>
      </c>
      <c r="D8" s="117">
        <f>'RESUMEN PROGRAMAS'!F7+'RESUMEN PROGRAMAS'!F13+'RESUMEN PROGRAMAS'!F19+'RESUMEN PROGRAMAS'!F48+'RESUMEN PROGRAMAS'!F71+'RESUMEN PROGRAMAS'!F109+'RESUMEN PROGRAMAS'!F138+'RESUMEN PROGRAMAS'!F158+'RESUMEN PROGRAMAS'!F182</f>
        <v>8237684870</v>
      </c>
      <c r="E8" s="164">
        <f t="shared" si="0"/>
        <v>0.39276523245607803</v>
      </c>
      <c r="F8" s="117">
        <f>'RESUMEN PROGRAMAS'!H7+'RESUMEN PROGRAMAS'!H13+'RESUMEN PROGRAMAS'!H19+'RESUMEN PROGRAMAS'!H48+'RESUMEN PROGRAMAS'!H71+'RESUMEN PROGRAMAS'!H109+'RESUMEN PROGRAMAS'!H138+'RESUMEN PROGRAMAS'!H158+'RESUMEN PROGRAMAS'!H182</f>
        <v>1226328000</v>
      </c>
      <c r="G8" s="164">
        <f>F8/C8</f>
        <v>5.8470190300857823E-2</v>
      </c>
    </row>
    <row r="9" spans="2:7" s="68" customFormat="1" ht="30.75" customHeight="1">
      <c r="B9" s="67" t="s">
        <v>1337</v>
      </c>
      <c r="C9" s="118">
        <f>SUM(C5:C8)</f>
        <v>419927151314.08997</v>
      </c>
      <c r="D9" s="118">
        <f t="shared" ref="D9:F9" si="1">SUM(D5:D8)</f>
        <v>120183438781.91</v>
      </c>
      <c r="E9" s="166">
        <f t="shared" si="0"/>
        <v>0.28620068601379206</v>
      </c>
      <c r="F9" s="118">
        <f t="shared" si="1"/>
        <v>54042430962.400002</v>
      </c>
      <c r="G9" s="166">
        <f>F9/C9</f>
        <v>0.12869477668515475</v>
      </c>
    </row>
    <row r="14" spans="2:7" ht="15.75" customHeight="1">
      <c r="D14" s="537" t="s">
        <v>1508</v>
      </c>
      <c r="E14" s="538"/>
    </row>
    <row r="15" spans="2:7" ht="15" customHeight="1">
      <c r="D15" s="539" t="s">
        <v>1500</v>
      </c>
      <c r="E15" s="540"/>
    </row>
    <row r="16" spans="2:7" ht="15" customHeight="1">
      <c r="D16" s="541" t="s">
        <v>1502</v>
      </c>
      <c r="E16" s="542"/>
    </row>
    <row r="17" spans="4:5">
      <c r="D17" s="543" t="s">
        <v>1504</v>
      </c>
      <c r="E17" s="544"/>
    </row>
    <row r="18" spans="4:5">
      <c r="D18" s="524" t="s">
        <v>1506</v>
      </c>
      <c r="E18" s="525"/>
    </row>
    <row r="19" spans="4:5">
      <c r="D19" s="526" t="s">
        <v>1507</v>
      </c>
      <c r="E19" s="527"/>
    </row>
  </sheetData>
  <mergeCells count="7">
    <mergeCell ref="D18:E18"/>
    <mergeCell ref="D19:E19"/>
    <mergeCell ref="B1:G3"/>
    <mergeCell ref="D14:E14"/>
    <mergeCell ref="D15:E15"/>
    <mergeCell ref="D16:E16"/>
    <mergeCell ref="D17:E17"/>
  </mergeCells>
  <conditionalFormatting sqref="G5">
    <cfRule type="cellIs" dxfId="84" priority="31" operator="between">
      <formula>0</formula>
      <formula>0.3999</formula>
    </cfRule>
    <cfRule type="cellIs" dxfId="83" priority="32" operator="between">
      <formula>0.3955</formula>
      <formula>0.5949</formula>
    </cfRule>
    <cfRule type="cellIs" dxfId="82" priority="33" operator="between">
      <formula>0.595</formula>
      <formula>0.6949</formula>
    </cfRule>
    <cfRule type="cellIs" dxfId="81" priority="34" operator="between">
      <formula>0.695</formula>
      <formula>0.7949</formula>
    </cfRule>
    <cfRule type="cellIs" dxfId="80" priority="35" operator="between">
      <formula>0.795</formula>
      <formula>1</formula>
    </cfRule>
  </conditionalFormatting>
  <conditionalFormatting sqref="G6:G9">
    <cfRule type="cellIs" dxfId="79" priority="26" operator="between">
      <formula>0</formula>
      <formula>0.3999</formula>
    </cfRule>
    <cfRule type="cellIs" dxfId="78" priority="27" operator="between">
      <formula>0.3955</formula>
      <formula>0.5949</formula>
    </cfRule>
    <cfRule type="cellIs" dxfId="77" priority="28" operator="between">
      <formula>0.595</formula>
      <formula>0.6949</formula>
    </cfRule>
    <cfRule type="cellIs" dxfId="76" priority="29" operator="between">
      <formula>0.695</formula>
      <formula>0.7949</formula>
    </cfRule>
    <cfRule type="cellIs" dxfId="75" priority="30" operator="between">
      <formula>0.795</formula>
      <formula>1</formula>
    </cfRule>
  </conditionalFormatting>
  <conditionalFormatting sqref="E5">
    <cfRule type="cellIs" dxfId="74" priority="16" operator="between">
      <formula>0</formula>
      <formula>0.3999</formula>
    </cfRule>
    <cfRule type="cellIs" dxfId="73" priority="17" operator="between">
      <formula>0.3955</formula>
      <formula>0.5949</formula>
    </cfRule>
    <cfRule type="cellIs" dxfId="72" priority="18" operator="between">
      <formula>0.595</formula>
      <formula>0.6949</formula>
    </cfRule>
    <cfRule type="cellIs" dxfId="71" priority="19" operator="between">
      <formula>0.695</formula>
      <formula>0.7949</formula>
    </cfRule>
    <cfRule type="cellIs" dxfId="70" priority="20" operator="between">
      <formula>0.795</formula>
      <formula>1</formula>
    </cfRule>
  </conditionalFormatting>
  <conditionalFormatting sqref="E6:E8">
    <cfRule type="cellIs" dxfId="69" priority="6" operator="between">
      <formula>0</formula>
      <formula>0.3999</formula>
    </cfRule>
    <cfRule type="cellIs" dxfId="68" priority="7" operator="between">
      <formula>0.3955</formula>
      <formula>0.5949</formula>
    </cfRule>
    <cfRule type="cellIs" dxfId="67" priority="8" operator="between">
      <formula>0.595</formula>
      <formula>0.6949</formula>
    </cfRule>
    <cfRule type="cellIs" dxfId="66" priority="9" operator="between">
      <formula>0.695</formula>
      <formula>0.7949</formula>
    </cfRule>
    <cfRule type="cellIs" dxfId="65" priority="10" operator="between">
      <formula>0.795</formula>
      <formula>1</formula>
    </cfRule>
  </conditionalFormatting>
  <conditionalFormatting sqref="E9">
    <cfRule type="cellIs" dxfId="64" priority="1" operator="between">
      <formula>0</formula>
      <formula>0.3999</formula>
    </cfRule>
    <cfRule type="cellIs" dxfId="63" priority="2" operator="between">
      <formula>0.3955</formula>
      <formula>0.5949</formula>
    </cfRule>
    <cfRule type="cellIs" dxfId="62" priority="3" operator="between">
      <formula>0.595</formula>
      <formula>0.6949</formula>
    </cfRule>
    <cfRule type="cellIs" dxfId="61" priority="4" operator="between">
      <formula>0.695</formula>
      <formula>0.7949</formula>
    </cfRule>
    <cfRule type="cellIs" dxfId="60" priority="5" operator="between">
      <formula>0.795</formula>
      <formula>1</formula>
    </cfRule>
  </conditionalFormatting>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18"/>
  <sheetViews>
    <sheetView showGridLines="0" zoomScale="70" zoomScaleNormal="70" workbookViewId="0">
      <selection activeCell="A181" sqref="A181:C181"/>
    </sheetView>
  </sheetViews>
  <sheetFormatPr baseColWidth="10" defaultColWidth="11.42578125" defaultRowHeight="15"/>
  <cols>
    <col min="1" max="1" width="11.42578125" style="460"/>
    <col min="2" max="2" width="17.85546875" style="39" customWidth="1"/>
    <col min="3" max="3" width="66.5703125" style="39" customWidth="1"/>
    <col min="4" max="4" width="24.140625" style="39" customWidth="1"/>
    <col min="5" max="5" width="23" style="39" customWidth="1"/>
    <col min="6" max="6" width="23.85546875" style="39" customWidth="1"/>
    <col min="7" max="7" width="22.140625" style="39" customWidth="1"/>
    <col min="8" max="8" width="20.42578125" style="39" customWidth="1"/>
    <col min="9" max="16384" width="11.42578125" style="39"/>
  </cols>
  <sheetData>
    <row r="1" spans="1:8" ht="71.25" customHeight="1" thickBot="1">
      <c r="A1" s="562" t="s">
        <v>1463</v>
      </c>
      <c r="B1" s="563"/>
      <c r="C1" s="563"/>
      <c r="D1" s="563"/>
      <c r="E1" s="563"/>
      <c r="F1" s="563"/>
      <c r="G1" s="563"/>
      <c r="H1" s="563"/>
    </row>
    <row r="2" spans="1:8" ht="30" customHeight="1" thickBot="1">
      <c r="A2" s="383" t="s">
        <v>1425</v>
      </c>
      <c r="B2" s="384" t="s">
        <v>48</v>
      </c>
      <c r="C2" s="383" t="s">
        <v>49</v>
      </c>
      <c r="D2" s="385" t="s">
        <v>1314</v>
      </c>
      <c r="E2" s="383" t="s">
        <v>1466</v>
      </c>
      <c r="F2" s="386" t="s">
        <v>1475</v>
      </c>
      <c r="G2" s="387" t="s">
        <v>1467</v>
      </c>
      <c r="H2" s="386" t="s">
        <v>1476</v>
      </c>
    </row>
    <row r="3" spans="1:8" ht="30" customHeight="1" thickBot="1">
      <c r="A3" s="551" t="s">
        <v>1279</v>
      </c>
      <c r="B3" s="552"/>
      <c r="C3" s="553"/>
      <c r="D3" s="388">
        <f>D4</f>
        <v>10549509202</v>
      </c>
      <c r="E3" s="389">
        <f t="shared" ref="E3:G3" si="0">E4</f>
        <v>4687830730</v>
      </c>
      <c r="F3" s="390">
        <f>E3/D3</f>
        <v>0.44436481738043987</v>
      </c>
      <c r="G3" s="391">
        <f t="shared" si="0"/>
        <v>209642000</v>
      </c>
      <c r="H3" s="390">
        <f>G3/D3</f>
        <v>1.9872204098391192E-2</v>
      </c>
    </row>
    <row r="4" spans="1:8" ht="30" customHeight="1">
      <c r="A4" s="392">
        <v>4</v>
      </c>
      <c r="B4" s="546" t="s">
        <v>1462</v>
      </c>
      <c r="C4" s="547"/>
      <c r="D4" s="393">
        <f>SUM(D5:D8)</f>
        <v>10549509202</v>
      </c>
      <c r="E4" s="394">
        <f t="shared" ref="E4:G4" si="1">SUM(E5:E8)</f>
        <v>4687830730</v>
      </c>
      <c r="F4" s="395">
        <f t="shared" ref="F4:F67" si="2">E4/D4</f>
        <v>0.44436481738043987</v>
      </c>
      <c r="G4" s="396">
        <f t="shared" si="1"/>
        <v>209642000</v>
      </c>
      <c r="H4" s="395">
        <f t="shared" ref="H4:H67" si="3">G4/D4</f>
        <v>1.9872204098391192E-2</v>
      </c>
    </row>
    <row r="5" spans="1:8" ht="66" customHeight="1">
      <c r="A5" s="397">
        <v>1</v>
      </c>
      <c r="B5" s="398">
        <v>2020003630006</v>
      </c>
      <c r="C5" s="399" t="s">
        <v>70</v>
      </c>
      <c r="D5" s="400">
        <f>'SGTO POAI 2023 MARZO'!BF8</f>
        <v>666247000</v>
      </c>
      <c r="E5" s="401">
        <f>'SGTO POAI 2023 MARZO'!BG8</f>
        <v>347101000</v>
      </c>
      <c r="F5" s="381">
        <f t="shared" si="2"/>
        <v>0.52097945656790945</v>
      </c>
      <c r="G5" s="402">
        <f>'SGTO POAI 2023 MARZO'!BH8</f>
        <v>111685000</v>
      </c>
      <c r="H5" s="381">
        <f t="shared" si="3"/>
        <v>0.16763302498923072</v>
      </c>
    </row>
    <row r="6" spans="1:8" ht="66" customHeight="1">
      <c r="A6" s="403">
        <v>2</v>
      </c>
      <c r="B6" s="404">
        <v>2020003630007</v>
      </c>
      <c r="C6" s="405" t="s">
        <v>76</v>
      </c>
      <c r="D6" s="400">
        <f>'SGTO POAI 2023 MARZO'!BF9</f>
        <v>399814202</v>
      </c>
      <c r="E6" s="401">
        <f>'SGTO POAI 2023 MARZO'!BG9</f>
        <v>216948000</v>
      </c>
      <c r="F6" s="381">
        <f t="shared" si="2"/>
        <v>0.54262204522689772</v>
      </c>
      <c r="G6" s="402">
        <f>'SGTO POAI 2023 MARZO'!BH9</f>
        <v>72041000</v>
      </c>
      <c r="H6" s="381">
        <f t="shared" si="3"/>
        <v>0.18018619558691915</v>
      </c>
    </row>
    <row r="7" spans="1:8" ht="66" customHeight="1">
      <c r="A7" s="403">
        <v>3</v>
      </c>
      <c r="B7" s="406">
        <v>2020003630005</v>
      </c>
      <c r="C7" s="407" t="s">
        <v>85</v>
      </c>
      <c r="D7" s="400">
        <f>'SGTO POAI 2023 MARZO'!BF10</f>
        <v>83448000</v>
      </c>
      <c r="E7" s="401">
        <f>'SGTO POAI 2023 MARZO'!BG10</f>
        <v>46524000</v>
      </c>
      <c r="F7" s="381">
        <f t="shared" si="2"/>
        <v>0.55752085130859941</v>
      </c>
      <c r="G7" s="408">
        <f>'SGTO POAI 2023 MARZO'!BH10</f>
        <v>25916000</v>
      </c>
      <c r="H7" s="381">
        <f t="shared" si="3"/>
        <v>0.31056466302367941</v>
      </c>
    </row>
    <row r="8" spans="1:8" ht="66" customHeight="1" thickBot="1">
      <c r="A8" s="409">
        <v>4</v>
      </c>
      <c r="B8" s="410">
        <v>2022003630011</v>
      </c>
      <c r="C8" s="411" t="s">
        <v>1431</v>
      </c>
      <c r="D8" s="412">
        <f>'SGTO POAI 2023 MARZO'!BF11</f>
        <v>9400000000</v>
      </c>
      <c r="E8" s="413">
        <f>'SGTO POAI 2023 MARZO'!BG11</f>
        <v>4077257730</v>
      </c>
      <c r="F8" s="414">
        <f t="shared" si="2"/>
        <v>0.43375082234042556</v>
      </c>
      <c r="G8" s="415">
        <f>'SGTO POAI 2023 MARZO'!BH11</f>
        <v>0</v>
      </c>
      <c r="H8" s="414">
        <f t="shared" si="3"/>
        <v>0</v>
      </c>
    </row>
    <row r="9" spans="1:8" ht="30" customHeight="1" thickBot="1">
      <c r="A9" s="548" t="s">
        <v>1338</v>
      </c>
      <c r="B9" s="549"/>
      <c r="C9" s="550"/>
      <c r="D9" s="416">
        <f>D10</f>
        <v>1182099650</v>
      </c>
      <c r="E9" s="417">
        <f t="shared" ref="E9:G9" si="4">E10</f>
        <v>350060001</v>
      </c>
      <c r="F9" s="390">
        <f t="shared" si="2"/>
        <v>0.29613408734195973</v>
      </c>
      <c r="G9" s="418">
        <f t="shared" si="4"/>
        <v>153550000</v>
      </c>
      <c r="H9" s="390">
        <f t="shared" si="3"/>
        <v>0.12989598634937419</v>
      </c>
    </row>
    <row r="10" spans="1:8" ht="30" customHeight="1">
      <c r="A10" s="419">
        <v>4</v>
      </c>
      <c r="B10" s="546" t="s">
        <v>1462</v>
      </c>
      <c r="C10" s="547"/>
      <c r="D10" s="393">
        <f>SUM(D11:D17)</f>
        <v>1182099650</v>
      </c>
      <c r="E10" s="394">
        <f t="shared" ref="E10:G10" si="5">SUM(E11:E17)</f>
        <v>350060001</v>
      </c>
      <c r="F10" s="395">
        <f t="shared" si="2"/>
        <v>0.29613408734195973</v>
      </c>
      <c r="G10" s="396">
        <f t="shared" si="5"/>
        <v>153550000</v>
      </c>
      <c r="H10" s="395">
        <f t="shared" si="3"/>
        <v>0.12989598634937419</v>
      </c>
    </row>
    <row r="11" spans="1:8" ht="66" customHeight="1">
      <c r="A11" s="397">
        <f>A8+1</f>
        <v>5</v>
      </c>
      <c r="B11" s="420">
        <v>2020003630042</v>
      </c>
      <c r="C11" s="399" t="s">
        <v>1339</v>
      </c>
      <c r="D11" s="400">
        <f>'SGTO POAI 2023 MARZO'!BF12</f>
        <v>140000000</v>
      </c>
      <c r="E11" s="401">
        <f>'SGTO POAI 2023 MARZO'!BG12</f>
        <v>0</v>
      </c>
      <c r="F11" s="381">
        <f t="shared" si="2"/>
        <v>0</v>
      </c>
      <c r="G11" s="402">
        <f>'SGTO POAI 2023 MARZO'!BH12</f>
        <v>0</v>
      </c>
      <c r="H11" s="381">
        <f t="shared" si="3"/>
        <v>0</v>
      </c>
    </row>
    <row r="12" spans="1:8" ht="66" customHeight="1">
      <c r="A12" s="403">
        <f>A11+1</f>
        <v>6</v>
      </c>
      <c r="B12" s="406">
        <v>2020003630043</v>
      </c>
      <c r="C12" s="407" t="s">
        <v>1340</v>
      </c>
      <c r="D12" s="400">
        <f>'SGTO POAI 2023 MARZO'!BF13</f>
        <v>55000000</v>
      </c>
      <c r="E12" s="401">
        <f>'SGTO POAI 2023 MARZO'!BG13</f>
        <v>9600000</v>
      </c>
      <c r="F12" s="381">
        <f t="shared" si="2"/>
        <v>0.17454545454545456</v>
      </c>
      <c r="G12" s="402">
        <f>'SGTO POAI 2023 MARZO'!BH13</f>
        <v>6400000</v>
      </c>
      <c r="H12" s="381">
        <f t="shared" si="3"/>
        <v>0.11636363636363636</v>
      </c>
    </row>
    <row r="13" spans="1:8" ht="66" customHeight="1">
      <c r="A13" s="403">
        <f t="shared" ref="A13:A17" si="6">A12+1</f>
        <v>7</v>
      </c>
      <c r="B13" s="406">
        <v>2020003630044</v>
      </c>
      <c r="C13" s="407" t="s">
        <v>1341</v>
      </c>
      <c r="D13" s="400">
        <f>'SGTO POAI 2023 MARZO'!BF14</f>
        <v>191334750</v>
      </c>
      <c r="E13" s="401">
        <f>'SGTO POAI 2023 MARZO'!BG14</f>
        <v>49950000</v>
      </c>
      <c r="F13" s="381">
        <f t="shared" si="2"/>
        <v>0.26106078482868378</v>
      </c>
      <c r="G13" s="402">
        <f>'SGTO POAI 2023 MARZO'!BH14</f>
        <v>26300000</v>
      </c>
      <c r="H13" s="381">
        <f t="shared" si="3"/>
        <v>0.13745542824813578</v>
      </c>
    </row>
    <row r="14" spans="1:8" ht="66" customHeight="1">
      <c r="A14" s="403">
        <f t="shared" si="6"/>
        <v>8</v>
      </c>
      <c r="B14" s="406">
        <v>2020003630045</v>
      </c>
      <c r="C14" s="405" t="s">
        <v>1342</v>
      </c>
      <c r="D14" s="400">
        <f>'SGTO POAI 2023 MARZO'!BF15</f>
        <v>71317200</v>
      </c>
      <c r="E14" s="401">
        <f>'SGTO POAI 2023 MARZO'!BG15</f>
        <v>30826667</v>
      </c>
      <c r="F14" s="381">
        <f t="shared" si="2"/>
        <v>0.43224729798702138</v>
      </c>
      <c r="G14" s="402">
        <f>'SGTO POAI 2023 MARZO'!BH15</f>
        <v>19200000</v>
      </c>
      <c r="H14" s="381">
        <f t="shared" si="3"/>
        <v>0.26921976746142584</v>
      </c>
    </row>
    <row r="15" spans="1:8" ht="66" customHeight="1">
      <c r="A15" s="403">
        <f t="shared" si="6"/>
        <v>9</v>
      </c>
      <c r="B15" s="406">
        <v>2020003630046</v>
      </c>
      <c r="C15" s="405" t="s">
        <v>115</v>
      </c>
      <c r="D15" s="400">
        <f>'SGTO POAI 2023 MARZO'!BF16</f>
        <v>453230700</v>
      </c>
      <c r="E15" s="401">
        <f>'SGTO POAI 2023 MARZO'!BG16</f>
        <v>154320000</v>
      </c>
      <c r="F15" s="381">
        <f t="shared" si="2"/>
        <v>0.34048885038017063</v>
      </c>
      <c r="G15" s="402">
        <f>'SGTO POAI 2023 MARZO'!BH16</f>
        <v>55000000</v>
      </c>
      <c r="H15" s="381">
        <f t="shared" si="3"/>
        <v>0.12135100292191152</v>
      </c>
    </row>
    <row r="16" spans="1:8" ht="66" customHeight="1">
      <c r="A16" s="403">
        <f t="shared" si="6"/>
        <v>10</v>
      </c>
      <c r="B16" s="406">
        <v>2020003630047</v>
      </c>
      <c r="C16" s="407" t="s">
        <v>122</v>
      </c>
      <c r="D16" s="400">
        <f>SUM('SGTO POAI 2023 MARZO'!BF17:BF22)</f>
        <v>190035000</v>
      </c>
      <c r="E16" s="401">
        <f>SUM('SGTO POAI 2023 MARZO'!BG17:BG22)</f>
        <v>71853334</v>
      </c>
      <c r="F16" s="381">
        <f t="shared" si="2"/>
        <v>0.3781057910384929</v>
      </c>
      <c r="G16" s="402">
        <f>SUM('SGTO POAI 2023 MARZO'!BH17:BH22)</f>
        <v>29800000</v>
      </c>
      <c r="H16" s="381">
        <f t="shared" si="3"/>
        <v>0.15681321861762307</v>
      </c>
    </row>
    <row r="17" spans="1:8" ht="66" customHeight="1" thickBot="1">
      <c r="A17" s="403">
        <f t="shared" si="6"/>
        <v>11</v>
      </c>
      <c r="B17" s="421">
        <v>2020003630008</v>
      </c>
      <c r="C17" s="422" t="s">
        <v>1343</v>
      </c>
      <c r="D17" s="412">
        <f>'SGTO POAI 2023 MARZO'!BF23</f>
        <v>81182000</v>
      </c>
      <c r="E17" s="413">
        <f>'SGTO POAI 2023 MARZO'!BG23</f>
        <v>33510000</v>
      </c>
      <c r="F17" s="414">
        <f t="shared" si="2"/>
        <v>0.41277623118425266</v>
      </c>
      <c r="G17" s="402">
        <f>'SGTO POAI 2023 MARZO'!BH23</f>
        <v>16850000</v>
      </c>
      <c r="H17" s="414">
        <f t="shared" si="3"/>
        <v>0.2075583257372324</v>
      </c>
    </row>
    <row r="18" spans="1:8" ht="30" customHeight="1" thickBot="1">
      <c r="A18" s="548" t="s">
        <v>1344</v>
      </c>
      <c r="B18" s="549"/>
      <c r="C18" s="550"/>
      <c r="D18" s="417">
        <f>D19</f>
        <v>3041154599.1599998</v>
      </c>
      <c r="E18" s="417">
        <f t="shared" ref="E18:G18" si="7">E19</f>
        <v>1634890667</v>
      </c>
      <c r="F18" s="390">
        <f t="shared" si="2"/>
        <v>0.53758880507146023</v>
      </c>
      <c r="G18" s="423">
        <f t="shared" si="7"/>
        <v>446404000</v>
      </c>
      <c r="H18" s="390">
        <f t="shared" si="3"/>
        <v>0.14678767074955731</v>
      </c>
    </row>
    <row r="19" spans="1:8" ht="30" customHeight="1">
      <c r="A19" s="419">
        <v>4</v>
      </c>
      <c r="B19" s="546" t="s">
        <v>1462</v>
      </c>
      <c r="C19" s="547"/>
      <c r="D19" s="393">
        <f>SUM(D20:D21)</f>
        <v>3041154599.1599998</v>
      </c>
      <c r="E19" s="394">
        <f t="shared" ref="E19:G19" si="8">SUM(E20:E21)</f>
        <v>1634890667</v>
      </c>
      <c r="F19" s="395">
        <f t="shared" si="2"/>
        <v>0.53758880507146023</v>
      </c>
      <c r="G19" s="396">
        <f t="shared" si="8"/>
        <v>446404000</v>
      </c>
      <c r="H19" s="395">
        <f t="shared" si="3"/>
        <v>0.14678767074955731</v>
      </c>
    </row>
    <row r="20" spans="1:8" ht="66" customHeight="1">
      <c r="A20" s="397">
        <f>A17+1</f>
        <v>12</v>
      </c>
      <c r="B20" s="420">
        <v>2020003630048</v>
      </c>
      <c r="C20" s="424" t="s">
        <v>139</v>
      </c>
      <c r="D20" s="400">
        <f>'SGTO POAI 2023 MARZO'!BF24</f>
        <v>2371154599.1599998</v>
      </c>
      <c r="E20" s="401">
        <f>'SGTO POAI 2023 MARZO'!BG24</f>
        <v>1221290667</v>
      </c>
      <c r="F20" s="381">
        <f t="shared" si="2"/>
        <v>0.5150615938044073</v>
      </c>
      <c r="G20" s="402">
        <f>'SGTO POAI 2023 MARZO'!BH24</f>
        <v>283904000</v>
      </c>
      <c r="H20" s="381">
        <f t="shared" si="3"/>
        <v>0.11973238695636937</v>
      </c>
    </row>
    <row r="21" spans="1:8" ht="66" customHeight="1" thickBot="1">
      <c r="A21" s="425">
        <f>A20+1</f>
        <v>13</v>
      </c>
      <c r="B21" s="421">
        <v>2020003630049</v>
      </c>
      <c r="C21" s="426" t="s">
        <v>1345</v>
      </c>
      <c r="D21" s="412">
        <f>'SGTO POAI 2023 MARZO'!BF25</f>
        <v>670000000</v>
      </c>
      <c r="E21" s="413">
        <f>'SGTO POAI 2023 MARZO'!BG25</f>
        <v>413600000</v>
      </c>
      <c r="F21" s="414">
        <f t="shared" si="2"/>
        <v>0.61731343283582085</v>
      </c>
      <c r="G21" s="402">
        <f>'SGTO POAI 2023 MARZO'!BH25</f>
        <v>162500000</v>
      </c>
      <c r="H21" s="414">
        <f t="shared" si="3"/>
        <v>0.24253731343283583</v>
      </c>
    </row>
    <row r="22" spans="1:8" ht="30" customHeight="1" thickBot="1">
      <c r="A22" s="548" t="s">
        <v>1346</v>
      </c>
      <c r="B22" s="549"/>
      <c r="C22" s="550"/>
      <c r="D22" s="417">
        <f>D23+D31+D34+D43</f>
        <v>91905449878.459991</v>
      </c>
      <c r="E22" s="417">
        <f t="shared" ref="E22:G22" si="9">E23+E31+E34+E43</f>
        <v>5560583941</v>
      </c>
      <c r="F22" s="390">
        <f t="shared" si="2"/>
        <v>6.050331017750931E-2</v>
      </c>
      <c r="G22" s="423">
        <f t="shared" si="9"/>
        <v>258300000</v>
      </c>
      <c r="H22" s="390">
        <f t="shared" si="3"/>
        <v>2.8104970961089666E-3</v>
      </c>
    </row>
    <row r="23" spans="1:8" ht="30" customHeight="1">
      <c r="A23" s="419">
        <v>1</v>
      </c>
      <c r="B23" s="546" t="s">
        <v>148</v>
      </c>
      <c r="C23" s="547"/>
      <c r="D23" s="393">
        <f>SUM(D24:D30)</f>
        <v>36873014664.099998</v>
      </c>
      <c r="E23" s="394">
        <f t="shared" ref="E23:G23" si="10">SUM(E24:E30)</f>
        <v>1062340000</v>
      </c>
      <c r="F23" s="395">
        <f t="shared" si="2"/>
        <v>2.8810771499904148E-2</v>
      </c>
      <c r="G23" s="396">
        <f t="shared" si="10"/>
        <v>172400000</v>
      </c>
      <c r="H23" s="395">
        <f t="shared" si="3"/>
        <v>4.6755059647414906E-3</v>
      </c>
    </row>
    <row r="24" spans="1:8" ht="66" customHeight="1">
      <c r="A24" s="397">
        <f>A21+1</f>
        <v>14</v>
      </c>
      <c r="B24" s="420">
        <v>2020003630017</v>
      </c>
      <c r="C24" s="424" t="s">
        <v>158</v>
      </c>
      <c r="D24" s="427">
        <f>'SGTO POAI 2023 MARZO'!BF26</f>
        <v>74327300</v>
      </c>
      <c r="E24" s="401">
        <f>'SGTO POAI 2023 MARZO'!BG26</f>
        <v>9800000</v>
      </c>
      <c r="F24" s="381">
        <f t="shared" si="2"/>
        <v>0.13184926668935909</v>
      </c>
      <c r="G24" s="402">
        <f>'SGTO POAI 2023 MARZO'!BH26</f>
        <v>7850000</v>
      </c>
      <c r="H24" s="381">
        <f t="shared" si="3"/>
        <v>0.10561395341953764</v>
      </c>
    </row>
    <row r="25" spans="1:8" ht="66" customHeight="1">
      <c r="A25" s="403">
        <f>A24+1</f>
        <v>15</v>
      </c>
      <c r="B25" s="406">
        <v>2020003630050</v>
      </c>
      <c r="C25" s="407" t="s">
        <v>1347</v>
      </c>
      <c r="D25" s="427">
        <f>'SGTO POAI 2023 MARZO'!BF27</f>
        <v>2917024296</v>
      </c>
      <c r="E25" s="401">
        <f>'SGTO POAI 2023 MARZO'!BG27</f>
        <v>733982500</v>
      </c>
      <c r="F25" s="381">
        <f t="shared" si="2"/>
        <v>0.25162029024114785</v>
      </c>
      <c r="G25" s="402">
        <f>'SGTO POAI 2023 MARZO'!BH27</f>
        <v>149450000</v>
      </c>
      <c r="H25" s="381">
        <f t="shared" si="3"/>
        <v>5.123371793815186E-2</v>
      </c>
    </row>
    <row r="26" spans="1:8" ht="66" customHeight="1">
      <c r="A26" s="403">
        <f t="shared" ref="A26:A42" si="11">A25+1</f>
        <v>16</v>
      </c>
      <c r="B26" s="406">
        <v>2021003630001</v>
      </c>
      <c r="C26" s="407" t="s">
        <v>1348</v>
      </c>
      <c r="D26" s="427">
        <f>'SGTO POAI 2023 MARZO'!BF28</f>
        <v>73966912</v>
      </c>
      <c r="E26" s="401">
        <f>'SGTO POAI 2023 MARZO'!BG28</f>
        <v>20500000</v>
      </c>
      <c r="F26" s="381">
        <f t="shared" si="2"/>
        <v>0.27715095095493508</v>
      </c>
      <c r="G26" s="402">
        <f>'SGTO POAI 2023 MARZO'!BH28</f>
        <v>0</v>
      </c>
      <c r="H26" s="381">
        <f t="shared" si="3"/>
        <v>0</v>
      </c>
    </row>
    <row r="27" spans="1:8" ht="66" customHeight="1">
      <c r="A27" s="403">
        <f t="shared" si="11"/>
        <v>17</v>
      </c>
      <c r="B27" s="406">
        <v>2021003630017</v>
      </c>
      <c r="C27" s="407" t="s">
        <v>1349</v>
      </c>
      <c r="D27" s="427">
        <f>'SGTO POAI 2023 MARZO'!BF29</f>
        <v>3050000000</v>
      </c>
      <c r="E27" s="401">
        <f>'SGTO POAI 2023 MARZO'!BG29</f>
        <v>0</v>
      </c>
      <c r="F27" s="381">
        <f t="shared" si="2"/>
        <v>0</v>
      </c>
      <c r="G27" s="402">
        <f>'SGTO POAI 2023 MARZO'!BH29</f>
        <v>0</v>
      </c>
      <c r="H27" s="381">
        <f t="shared" si="3"/>
        <v>0</v>
      </c>
    </row>
    <row r="28" spans="1:8" ht="66" customHeight="1">
      <c r="A28" s="403">
        <f t="shared" si="11"/>
        <v>18</v>
      </c>
      <c r="B28" s="406">
        <v>2022003630007</v>
      </c>
      <c r="C28" s="407" t="s">
        <v>1455</v>
      </c>
      <c r="D28" s="427">
        <f>'SGTO POAI 2023 MARZO'!BF30</f>
        <v>3179932867</v>
      </c>
      <c r="E28" s="401">
        <f>'SGTO POAI 2023 MARZO'!BG30</f>
        <v>0</v>
      </c>
      <c r="F28" s="381">
        <f t="shared" si="2"/>
        <v>0</v>
      </c>
      <c r="G28" s="402">
        <f>'SGTO POAI 2023 MARZO'!BH30</f>
        <v>0</v>
      </c>
      <c r="H28" s="381">
        <f t="shared" si="3"/>
        <v>0</v>
      </c>
    </row>
    <row r="29" spans="1:8" ht="66" customHeight="1">
      <c r="A29" s="403">
        <f t="shared" si="11"/>
        <v>19</v>
      </c>
      <c r="B29" s="406">
        <v>2020003630052</v>
      </c>
      <c r="C29" s="407" t="s">
        <v>197</v>
      </c>
      <c r="D29" s="427">
        <f>'SGTO POAI 2023 MARZO'!BF31</f>
        <v>5965563289.1000004</v>
      </c>
      <c r="E29" s="401">
        <f>'SGTO POAI 2023 MARZO'!BG31</f>
        <v>298057500</v>
      </c>
      <c r="F29" s="381">
        <f t="shared" si="2"/>
        <v>4.9963010290176087E-2</v>
      </c>
      <c r="G29" s="402">
        <f>'SGTO POAI 2023 MARZO'!BH31</f>
        <v>15100000</v>
      </c>
      <c r="H29" s="381">
        <f t="shared" si="3"/>
        <v>2.5311943345886576E-3</v>
      </c>
    </row>
    <row r="30" spans="1:8" ht="66" customHeight="1">
      <c r="A30" s="425">
        <f t="shared" si="11"/>
        <v>20</v>
      </c>
      <c r="B30" s="421">
        <v>2022000040007</v>
      </c>
      <c r="C30" s="426" t="s">
        <v>1450</v>
      </c>
      <c r="D30" s="427">
        <f>'SGTO POAI 2023 MARZO'!BF51</f>
        <v>21612200000</v>
      </c>
      <c r="E30" s="401">
        <f>'SGTO POAI 2023 MARZO'!BG51</f>
        <v>0</v>
      </c>
      <c r="F30" s="381">
        <f t="shared" si="2"/>
        <v>0</v>
      </c>
      <c r="G30" s="415">
        <f>'SGTO POAI 2023 MARZO'!BH51</f>
        <v>0</v>
      </c>
      <c r="H30" s="381">
        <f t="shared" si="3"/>
        <v>0</v>
      </c>
    </row>
    <row r="31" spans="1:8" ht="30" customHeight="1">
      <c r="A31" s="428">
        <v>2</v>
      </c>
      <c r="B31" s="545" t="s">
        <v>199</v>
      </c>
      <c r="C31" s="545"/>
      <c r="D31" s="429">
        <f>SUM(D32:D33)</f>
        <v>41000000</v>
      </c>
      <c r="E31" s="429">
        <f t="shared" ref="E31:G31" si="12">SUM(E32:E33)</f>
        <v>30900000</v>
      </c>
      <c r="F31" s="381">
        <f t="shared" si="2"/>
        <v>0.75365853658536586</v>
      </c>
      <c r="G31" s="430">
        <f t="shared" si="12"/>
        <v>0</v>
      </c>
      <c r="H31" s="381">
        <f t="shared" si="3"/>
        <v>0</v>
      </c>
    </row>
    <row r="32" spans="1:8" ht="39.75" customHeight="1">
      <c r="A32" s="397">
        <f>A30+1</f>
        <v>21</v>
      </c>
      <c r="B32" s="420">
        <v>2021003630018</v>
      </c>
      <c r="C32" s="424" t="s">
        <v>206</v>
      </c>
      <c r="D32" s="427">
        <f>'SGTO POAI 2023 MARZO'!BF32</f>
        <v>1000000</v>
      </c>
      <c r="E32" s="401">
        <f>'SGTO POAI 2023 MARZO'!BG32</f>
        <v>0</v>
      </c>
      <c r="F32" s="381">
        <f t="shared" si="2"/>
        <v>0</v>
      </c>
      <c r="G32" s="402">
        <f>'SGTO POAI 2023 MARZO'!BH32</f>
        <v>0</v>
      </c>
      <c r="H32" s="381">
        <f t="shared" si="3"/>
        <v>0</v>
      </c>
    </row>
    <row r="33" spans="1:8" ht="66" customHeight="1">
      <c r="A33" s="397">
        <f>A32+1</f>
        <v>22</v>
      </c>
      <c r="B33" s="420">
        <v>2021003630019</v>
      </c>
      <c r="C33" s="424" t="s">
        <v>209</v>
      </c>
      <c r="D33" s="427">
        <f>'SGTO POAI 2023 MARZO'!BF33</f>
        <v>40000000</v>
      </c>
      <c r="E33" s="401">
        <f>'SGTO POAI 2023 MARZO'!BG33</f>
        <v>30900000</v>
      </c>
      <c r="F33" s="381">
        <f t="shared" si="2"/>
        <v>0.77249999999999996</v>
      </c>
      <c r="G33" s="402">
        <f>'SGTO POAI 2023 MARZO'!BH33</f>
        <v>0</v>
      </c>
      <c r="H33" s="381">
        <f t="shared" si="3"/>
        <v>0</v>
      </c>
    </row>
    <row r="34" spans="1:8" ht="28.5" customHeight="1">
      <c r="A34" s="428">
        <v>3</v>
      </c>
      <c r="B34" s="545" t="s">
        <v>211</v>
      </c>
      <c r="C34" s="545"/>
      <c r="D34" s="429">
        <f>SUM(D35:D42)</f>
        <v>53888455828.360001</v>
      </c>
      <c r="E34" s="429">
        <f t="shared" ref="E34:G34" si="13">SUM(E35:E42)</f>
        <v>4377543941</v>
      </c>
      <c r="F34" s="381">
        <f t="shared" si="2"/>
        <v>8.1233426968902303E-2</v>
      </c>
      <c r="G34" s="430">
        <f t="shared" si="13"/>
        <v>80650000</v>
      </c>
      <c r="H34" s="381">
        <f t="shared" si="3"/>
        <v>1.4966099651635618E-3</v>
      </c>
    </row>
    <row r="35" spans="1:8" ht="66" customHeight="1">
      <c r="A35" s="403">
        <f>A33+1</f>
        <v>23</v>
      </c>
      <c r="B35" s="406">
        <v>2020003630053</v>
      </c>
      <c r="C35" s="407" t="s">
        <v>220</v>
      </c>
      <c r="D35" s="427">
        <f>SUM('SGTO POAI 2023 MARZO'!BF34:BF35)</f>
        <v>30419023338.52</v>
      </c>
      <c r="E35" s="401">
        <f>SUM('SGTO POAI 2023 MARZO'!BG34:BG35)</f>
        <v>426433333</v>
      </c>
      <c r="F35" s="381">
        <f t="shared" si="2"/>
        <v>1.4018639857513176E-2</v>
      </c>
      <c r="G35" s="402">
        <f>SUM('SGTO POAI 2023 MARZO'!BH34:BH35)</f>
        <v>73250000</v>
      </c>
      <c r="H35" s="381">
        <f t="shared" si="3"/>
        <v>2.4080326046248364E-3</v>
      </c>
    </row>
    <row r="36" spans="1:8" ht="66" customHeight="1">
      <c r="A36" s="403">
        <f>A35+1</f>
        <v>24</v>
      </c>
      <c r="B36" s="406">
        <v>2018000040059</v>
      </c>
      <c r="C36" s="407" t="s">
        <v>1443</v>
      </c>
      <c r="D36" s="427">
        <f>'SGTO POAI 2023 MARZO'!BF37</f>
        <v>6536661612</v>
      </c>
      <c r="E36" s="401">
        <f>'SGTO POAI 2023 MARZO'!BG37</f>
        <v>0</v>
      </c>
      <c r="F36" s="381">
        <f t="shared" si="2"/>
        <v>0</v>
      </c>
      <c r="G36" s="402">
        <f>'SGTO POAI 2023 MARZO'!BH37</f>
        <v>0</v>
      </c>
      <c r="H36" s="381">
        <f t="shared" si="3"/>
        <v>0</v>
      </c>
    </row>
    <row r="37" spans="1:8" ht="66" customHeight="1">
      <c r="A37" s="403">
        <f>A36+1</f>
        <v>25</v>
      </c>
      <c r="B37" s="406">
        <v>2022003630010</v>
      </c>
      <c r="C37" s="407" t="s">
        <v>1445</v>
      </c>
      <c r="D37" s="427">
        <f>'SGTO POAI 2023 MARZO'!BF38</f>
        <v>9133426135</v>
      </c>
      <c r="E37" s="401">
        <f>'SGTO POAI 2023 MARZO'!BG38</f>
        <v>0</v>
      </c>
      <c r="F37" s="381">
        <f t="shared" si="2"/>
        <v>0</v>
      </c>
      <c r="G37" s="402">
        <f>'SGTO POAI 2023 MARZO'!BH38</f>
        <v>0</v>
      </c>
      <c r="H37" s="381">
        <f t="shared" si="3"/>
        <v>0</v>
      </c>
    </row>
    <row r="38" spans="1:8" ht="66" customHeight="1">
      <c r="A38" s="403">
        <f>A37+1</f>
        <v>26</v>
      </c>
      <c r="B38" s="406">
        <v>2020003630054</v>
      </c>
      <c r="C38" s="407" t="s">
        <v>1437</v>
      </c>
      <c r="D38" s="427">
        <f>'SGTO POAI 2023 MARZO'!BF36</f>
        <v>392514047</v>
      </c>
      <c r="E38" s="401">
        <f>'SGTO POAI 2023 MARZO'!BG36</f>
        <v>62514047</v>
      </c>
      <c r="F38" s="381">
        <f t="shared" si="2"/>
        <v>0.15926575743670138</v>
      </c>
      <c r="G38" s="402">
        <f>'SGTO POAI 2023 MARZO'!BH36</f>
        <v>0</v>
      </c>
      <c r="H38" s="381">
        <f t="shared" si="3"/>
        <v>0</v>
      </c>
    </row>
    <row r="39" spans="1:8" ht="66" customHeight="1">
      <c r="A39" s="403">
        <f>A38+1</f>
        <v>27</v>
      </c>
      <c r="B39" s="406">
        <v>2021003630004</v>
      </c>
      <c r="C39" s="407" t="s">
        <v>233</v>
      </c>
      <c r="D39" s="427">
        <f>'SGTO POAI 2023 MARZO'!BF39</f>
        <v>735000000</v>
      </c>
      <c r="E39" s="401">
        <f>'SGTO POAI 2023 MARZO'!BG39</f>
        <v>0</v>
      </c>
      <c r="F39" s="381">
        <f t="shared" si="2"/>
        <v>0</v>
      </c>
      <c r="G39" s="402">
        <f>'SGTO POAI 2023 MARZO'!BH39</f>
        <v>0</v>
      </c>
      <c r="H39" s="381">
        <f t="shared" si="3"/>
        <v>0</v>
      </c>
    </row>
    <row r="40" spans="1:8" ht="66" customHeight="1">
      <c r="A40" s="403">
        <f t="shared" si="11"/>
        <v>28</v>
      </c>
      <c r="B40" s="406">
        <v>2021003630002</v>
      </c>
      <c r="C40" s="407" t="s">
        <v>1350</v>
      </c>
      <c r="D40" s="427">
        <f>'SGTO POAI 2023 MARZO'!BF40</f>
        <v>1105000000</v>
      </c>
      <c r="E40" s="401">
        <f>'SGTO POAI 2023 MARZO'!BG40</f>
        <v>18200000</v>
      </c>
      <c r="F40" s="381">
        <f t="shared" si="2"/>
        <v>1.6470588235294119E-2</v>
      </c>
      <c r="G40" s="402">
        <f>'SGTO POAI 2023 MARZO'!BH40</f>
        <v>7400000</v>
      </c>
      <c r="H40" s="381">
        <f t="shared" si="3"/>
        <v>6.6968325791855205E-3</v>
      </c>
    </row>
    <row r="41" spans="1:8" ht="66" customHeight="1">
      <c r="A41" s="403">
        <f t="shared" si="11"/>
        <v>29</v>
      </c>
      <c r="B41" s="406">
        <v>2020003630057</v>
      </c>
      <c r="C41" s="407" t="s">
        <v>247</v>
      </c>
      <c r="D41" s="427">
        <f>'SGTO POAI 2023 MARZO'!BF41</f>
        <v>350000000</v>
      </c>
      <c r="E41" s="401">
        <f>'SGTO POAI 2023 MARZO'!BG41</f>
        <v>0</v>
      </c>
      <c r="F41" s="381">
        <f t="shared" si="2"/>
        <v>0</v>
      </c>
      <c r="G41" s="402">
        <f>'SGTO POAI 2023 MARZO'!BH41</f>
        <v>0</v>
      </c>
      <c r="H41" s="381">
        <f t="shared" si="3"/>
        <v>0</v>
      </c>
    </row>
    <row r="42" spans="1:8" ht="66" customHeight="1" thickBot="1">
      <c r="A42" s="403">
        <f t="shared" si="11"/>
        <v>30</v>
      </c>
      <c r="B42" s="406">
        <v>2020003630014</v>
      </c>
      <c r="C42" s="405" t="s">
        <v>257</v>
      </c>
      <c r="D42" s="427">
        <f>SUM('SGTO POAI 2023 MARZO'!BF42:BF47)</f>
        <v>5216830695.8400002</v>
      </c>
      <c r="E42" s="401">
        <f>SUM('SGTO POAI 2023 MARZO'!BG42:BG47)</f>
        <v>3870396561</v>
      </c>
      <c r="F42" s="381">
        <f t="shared" si="2"/>
        <v>0.74190572526847143</v>
      </c>
      <c r="G42" s="402">
        <f>SUM('SGTO POAI 2023 MARZO'!BH42:BH47)</f>
        <v>0</v>
      </c>
      <c r="H42" s="381">
        <f t="shared" si="3"/>
        <v>0</v>
      </c>
    </row>
    <row r="43" spans="1:8" ht="28.5" customHeight="1">
      <c r="A43" s="428">
        <v>4</v>
      </c>
      <c r="B43" s="546" t="s">
        <v>1462</v>
      </c>
      <c r="C43" s="547"/>
      <c r="D43" s="429">
        <f>SUM(D44:D46)</f>
        <v>1102979386</v>
      </c>
      <c r="E43" s="429">
        <f t="shared" ref="E43:G43" si="14">SUM(E44:E46)</f>
        <v>89800000</v>
      </c>
      <c r="F43" s="381">
        <f t="shared" si="2"/>
        <v>8.1415846152540883E-2</v>
      </c>
      <c r="G43" s="430">
        <f t="shared" si="14"/>
        <v>5250000</v>
      </c>
      <c r="H43" s="381">
        <f t="shared" si="3"/>
        <v>4.7598351035728244E-3</v>
      </c>
    </row>
    <row r="44" spans="1:8" ht="66" customHeight="1">
      <c r="A44" s="403">
        <f>A42+1</f>
        <v>31</v>
      </c>
      <c r="B44" s="406">
        <v>2021003630003</v>
      </c>
      <c r="C44" s="407" t="s">
        <v>275</v>
      </c>
      <c r="D44" s="427">
        <f>'SGTO POAI 2023 MARZO'!BF48</f>
        <v>563000000</v>
      </c>
      <c r="E44" s="401">
        <f>'SGTO POAI 2023 MARZO'!BG48</f>
        <v>49800000</v>
      </c>
      <c r="F44" s="381">
        <f t="shared" si="2"/>
        <v>8.8454706927175844E-2</v>
      </c>
      <c r="G44" s="402">
        <f>'SGTO POAI 2023 MARZO'!BH48</f>
        <v>3250000</v>
      </c>
      <c r="H44" s="381">
        <f t="shared" si="3"/>
        <v>5.7726465364120782E-3</v>
      </c>
    </row>
    <row r="45" spans="1:8" ht="66" customHeight="1">
      <c r="A45" s="425">
        <f>A44+1</f>
        <v>32</v>
      </c>
      <c r="B45" s="421">
        <v>2022003630008</v>
      </c>
      <c r="C45" s="426" t="s">
        <v>1447</v>
      </c>
      <c r="D45" s="427">
        <f>'SGTO POAI 2023 MARZO'!BF49</f>
        <v>499979386</v>
      </c>
      <c r="E45" s="401">
        <f>'SGTO POAI 2023 MARZO'!BG49</f>
        <v>0</v>
      </c>
      <c r="F45" s="381">
        <f t="shared" si="2"/>
        <v>0</v>
      </c>
      <c r="G45" s="402">
        <f>'SGTO POAI 2023 MARZO'!BH49</f>
        <v>0</v>
      </c>
      <c r="H45" s="381">
        <f t="shared" si="3"/>
        <v>0</v>
      </c>
    </row>
    <row r="46" spans="1:8" ht="66" customHeight="1" thickBot="1">
      <c r="A46" s="425">
        <f>A45+1</f>
        <v>33</v>
      </c>
      <c r="B46" s="421">
        <v>2021003630006</v>
      </c>
      <c r="C46" s="426" t="s">
        <v>279</v>
      </c>
      <c r="D46" s="431">
        <f>'SGTO POAI 2023 MARZO'!BF50</f>
        <v>40000000</v>
      </c>
      <c r="E46" s="413">
        <f>'SGTO POAI 2023 MARZO'!BG50</f>
        <v>40000000</v>
      </c>
      <c r="F46" s="414">
        <f t="shared" si="2"/>
        <v>1</v>
      </c>
      <c r="G46" s="402">
        <f>'SGTO POAI 2023 MARZO'!BH50</f>
        <v>2000000</v>
      </c>
      <c r="H46" s="414">
        <f t="shared" si="3"/>
        <v>0.05</v>
      </c>
    </row>
    <row r="47" spans="1:8" ht="30" customHeight="1" thickBot="1">
      <c r="A47" s="548" t="s">
        <v>1351</v>
      </c>
      <c r="B47" s="549"/>
      <c r="C47" s="550"/>
      <c r="D47" s="417">
        <f>D48+D57+D60</f>
        <v>9005666049.1399994</v>
      </c>
      <c r="E47" s="417">
        <f t="shared" ref="E47:G47" si="15">E48+E57+E60</f>
        <v>1519297794.3499999</v>
      </c>
      <c r="F47" s="390">
        <f t="shared" si="2"/>
        <v>0.1687046561642252</v>
      </c>
      <c r="G47" s="423">
        <f t="shared" si="15"/>
        <v>336093935.85000002</v>
      </c>
      <c r="H47" s="390">
        <f t="shared" si="3"/>
        <v>3.7320275259606753E-2</v>
      </c>
    </row>
    <row r="48" spans="1:8" ht="30" customHeight="1">
      <c r="A48" s="419">
        <v>1</v>
      </c>
      <c r="B48" s="546" t="s">
        <v>148</v>
      </c>
      <c r="C48" s="547"/>
      <c r="D48" s="393">
        <f>SUM(D49:D56)</f>
        <v>8033276561.1399994</v>
      </c>
      <c r="E48" s="394">
        <f t="shared" ref="E48:G48" si="16">SUM(E49:E56)</f>
        <v>1192420806.3499999</v>
      </c>
      <c r="F48" s="395">
        <f t="shared" si="2"/>
        <v>0.14843517427474001</v>
      </c>
      <c r="G48" s="396">
        <f t="shared" si="16"/>
        <v>194943935.84999999</v>
      </c>
      <c r="H48" s="395">
        <f t="shared" si="3"/>
        <v>2.426705147847363E-2</v>
      </c>
    </row>
    <row r="49" spans="1:8" ht="66" customHeight="1">
      <c r="A49" s="397">
        <f>A46+1</f>
        <v>34</v>
      </c>
      <c r="B49" s="420">
        <v>2020003630060</v>
      </c>
      <c r="C49" s="399" t="s">
        <v>1352</v>
      </c>
      <c r="D49" s="400">
        <f>'SGTO POAI 2023 MARZO'!BF52</f>
        <v>139000000</v>
      </c>
      <c r="E49" s="401">
        <f>'SGTO POAI 2023 MARZO'!BG52</f>
        <v>35188012</v>
      </c>
      <c r="F49" s="381">
        <f t="shared" si="2"/>
        <v>0.25315116546762589</v>
      </c>
      <c r="G49" s="402">
        <f>'SGTO POAI 2023 MARZO'!BH52</f>
        <v>14800000</v>
      </c>
      <c r="H49" s="381">
        <f t="shared" si="3"/>
        <v>0.10647482014388489</v>
      </c>
    </row>
    <row r="50" spans="1:8" ht="66" customHeight="1">
      <c r="A50" s="403">
        <f>A49+1</f>
        <v>35</v>
      </c>
      <c r="B50" s="406">
        <v>2020003630061</v>
      </c>
      <c r="C50" s="405" t="s">
        <v>1353</v>
      </c>
      <c r="D50" s="400">
        <f>'SGTO POAI 2023 MARZO'!BF53</f>
        <v>67000000</v>
      </c>
      <c r="E50" s="401">
        <f>'SGTO POAI 2023 MARZO'!BG53</f>
        <v>15300000</v>
      </c>
      <c r="F50" s="381">
        <f t="shared" si="2"/>
        <v>0.22835820895522388</v>
      </c>
      <c r="G50" s="402">
        <f>'SGTO POAI 2023 MARZO'!BH53</f>
        <v>8200000</v>
      </c>
      <c r="H50" s="381">
        <f t="shared" si="3"/>
        <v>0.12238805970149254</v>
      </c>
    </row>
    <row r="51" spans="1:8" ht="66" customHeight="1">
      <c r="A51" s="403">
        <f t="shared" ref="A51:A62" si="17">A50+1</f>
        <v>36</v>
      </c>
      <c r="B51" s="406">
        <v>2020003630062</v>
      </c>
      <c r="C51" s="405" t="s">
        <v>1354</v>
      </c>
      <c r="D51" s="400">
        <f>'SGTO POAI 2023 MARZO'!BF54</f>
        <v>67000000</v>
      </c>
      <c r="E51" s="401">
        <f>'SGTO POAI 2023 MARZO'!BG54</f>
        <v>24782500</v>
      </c>
      <c r="F51" s="381">
        <f t="shared" si="2"/>
        <v>0.36988805970149252</v>
      </c>
      <c r="G51" s="402">
        <f>'SGTO POAI 2023 MARZO'!BH54</f>
        <v>8400000</v>
      </c>
      <c r="H51" s="381">
        <f t="shared" si="3"/>
        <v>0.1253731343283582</v>
      </c>
    </row>
    <row r="52" spans="1:8" ht="66" customHeight="1">
      <c r="A52" s="403">
        <f t="shared" si="17"/>
        <v>37</v>
      </c>
      <c r="B52" s="406">
        <v>2020003630063</v>
      </c>
      <c r="C52" s="407" t="s">
        <v>1355</v>
      </c>
      <c r="D52" s="400">
        <f>'SGTO POAI 2023 MARZO'!BF55</f>
        <v>70000000</v>
      </c>
      <c r="E52" s="401">
        <f>'SGTO POAI 2023 MARZO'!BG55</f>
        <v>45330000</v>
      </c>
      <c r="F52" s="381">
        <f t="shared" si="2"/>
        <v>0.64757142857142858</v>
      </c>
      <c r="G52" s="402">
        <f>'SGTO POAI 2023 MARZO'!BH55</f>
        <v>13750000</v>
      </c>
      <c r="H52" s="381">
        <f t="shared" si="3"/>
        <v>0.19642857142857142</v>
      </c>
    </row>
    <row r="53" spans="1:8" ht="66" customHeight="1">
      <c r="A53" s="403">
        <f t="shared" si="17"/>
        <v>38</v>
      </c>
      <c r="B53" s="406">
        <v>2020003630064</v>
      </c>
      <c r="C53" s="407" t="s">
        <v>309</v>
      </c>
      <c r="D53" s="400">
        <f>SUM('SGTO POAI 2023 MARZO'!BF56:BF60)</f>
        <v>288000000</v>
      </c>
      <c r="E53" s="401">
        <f>SUM('SGTO POAI 2023 MARZO'!BG56:BG60)</f>
        <v>117369200</v>
      </c>
      <c r="F53" s="381">
        <f t="shared" si="2"/>
        <v>0.40753194444444446</v>
      </c>
      <c r="G53" s="402">
        <f>SUM('SGTO POAI 2023 MARZO'!BH56:BH60)</f>
        <v>62379200</v>
      </c>
      <c r="H53" s="381">
        <f t="shared" si="3"/>
        <v>0.21659444444444445</v>
      </c>
    </row>
    <row r="54" spans="1:8" ht="66" customHeight="1">
      <c r="A54" s="403">
        <f t="shared" si="17"/>
        <v>39</v>
      </c>
      <c r="B54" s="406">
        <v>2020003630065</v>
      </c>
      <c r="C54" s="407" t="s">
        <v>1356</v>
      </c>
      <c r="D54" s="400">
        <f>'SGTO POAI 2023 MARZO'!BF61</f>
        <v>32000000</v>
      </c>
      <c r="E54" s="401">
        <f>'SGTO POAI 2023 MARZO'!BG61</f>
        <v>16885000</v>
      </c>
      <c r="F54" s="381">
        <f t="shared" si="2"/>
        <v>0.52765625000000005</v>
      </c>
      <c r="G54" s="402">
        <f>'SGTO POAI 2023 MARZO'!BH61</f>
        <v>6200000</v>
      </c>
      <c r="H54" s="381">
        <f t="shared" si="3"/>
        <v>0.19375000000000001</v>
      </c>
    </row>
    <row r="55" spans="1:8" ht="66" customHeight="1">
      <c r="A55" s="403">
        <f t="shared" si="17"/>
        <v>40</v>
      </c>
      <c r="B55" s="406">
        <v>2020003630066</v>
      </c>
      <c r="C55" s="407" t="s">
        <v>1357</v>
      </c>
      <c r="D55" s="400">
        <f>SUM('SGTO POAI 2023 MARZO'!BF62)</f>
        <v>7293276561.1399994</v>
      </c>
      <c r="E55" s="401">
        <f>SUM('SGTO POAI 2023 MARZO'!BG62)</f>
        <v>901033594.35000002</v>
      </c>
      <c r="F55" s="381">
        <f t="shared" si="2"/>
        <v>0.12354304499446557</v>
      </c>
      <c r="G55" s="402">
        <f>SUM('SGTO POAI 2023 MARZO'!BH62)</f>
        <v>62364735.850000001</v>
      </c>
      <c r="H55" s="381">
        <f t="shared" si="3"/>
        <v>8.5509901245609532E-3</v>
      </c>
    </row>
    <row r="56" spans="1:8" ht="53.25" customHeight="1">
      <c r="A56" s="403">
        <f>A55+1</f>
        <v>41</v>
      </c>
      <c r="B56" s="406">
        <v>2020003630068</v>
      </c>
      <c r="C56" s="407" t="s">
        <v>339</v>
      </c>
      <c r="D56" s="400">
        <f>'SGTO POAI 2023 MARZO'!BF63</f>
        <v>77000000</v>
      </c>
      <c r="E56" s="401">
        <f>'SGTO POAI 2023 MARZO'!BG63</f>
        <v>36532500</v>
      </c>
      <c r="F56" s="381">
        <f t="shared" si="2"/>
        <v>0.47444805194805195</v>
      </c>
      <c r="G56" s="402">
        <f>'SGTO POAI 2023 MARZO'!BH63</f>
        <v>18850000</v>
      </c>
      <c r="H56" s="381">
        <f t="shared" si="3"/>
        <v>0.2448051948051948</v>
      </c>
    </row>
    <row r="57" spans="1:8" ht="36" customHeight="1">
      <c r="A57" s="428">
        <v>3</v>
      </c>
      <c r="B57" s="545" t="s">
        <v>211</v>
      </c>
      <c r="C57" s="545"/>
      <c r="D57" s="429">
        <f>SUM(D58:D59)</f>
        <v>345389488</v>
      </c>
      <c r="E57" s="429">
        <f t="shared" ref="E57:G57" si="18">SUM(E58:E59)</f>
        <v>161399488</v>
      </c>
      <c r="F57" s="381">
        <f t="shared" si="2"/>
        <v>0.46729704755808898</v>
      </c>
      <c r="G57" s="430">
        <f t="shared" si="18"/>
        <v>79600000</v>
      </c>
      <c r="H57" s="381">
        <f t="shared" si="3"/>
        <v>0.23046445466805868</v>
      </c>
    </row>
    <row r="58" spans="1:8" ht="66" customHeight="1">
      <c r="A58" s="403">
        <f>A56+1</f>
        <v>42</v>
      </c>
      <c r="B58" s="406">
        <v>2020003630069</v>
      </c>
      <c r="C58" s="407" t="s">
        <v>344</v>
      </c>
      <c r="D58" s="400">
        <f>'SGTO POAI 2023 MARZO'!BF64</f>
        <v>55000000</v>
      </c>
      <c r="E58" s="401">
        <f>'SGTO POAI 2023 MARZO'!BG64</f>
        <v>53655000</v>
      </c>
      <c r="F58" s="381">
        <f t="shared" si="2"/>
        <v>0.97554545454545449</v>
      </c>
      <c r="G58" s="402">
        <f>'SGTO POAI 2023 MARZO'!BH64</f>
        <v>31800000</v>
      </c>
      <c r="H58" s="381">
        <f t="shared" si="3"/>
        <v>0.57818181818181813</v>
      </c>
    </row>
    <row r="59" spans="1:8" ht="66" customHeight="1" thickBot="1">
      <c r="A59" s="403">
        <f t="shared" si="17"/>
        <v>43</v>
      </c>
      <c r="B59" s="406">
        <v>2020003630070</v>
      </c>
      <c r="C59" s="407" t="s">
        <v>351</v>
      </c>
      <c r="D59" s="400">
        <f>SUM('SGTO POAI 2023 MARZO'!BF65:BF67)</f>
        <v>290389488</v>
      </c>
      <c r="E59" s="401">
        <f>SUM('SGTO POAI 2023 MARZO'!BG65:BG67)</f>
        <v>107744488</v>
      </c>
      <c r="F59" s="381">
        <f t="shared" si="2"/>
        <v>0.37103439501914753</v>
      </c>
      <c r="G59" s="402">
        <f>SUM('SGTO POAI 2023 MARZO'!BH65:BH67)</f>
        <v>47800000</v>
      </c>
      <c r="H59" s="381">
        <f t="shared" si="3"/>
        <v>0.16460650944775246</v>
      </c>
    </row>
    <row r="60" spans="1:8" ht="31.5" customHeight="1">
      <c r="A60" s="428">
        <v>4</v>
      </c>
      <c r="B60" s="546" t="s">
        <v>1462</v>
      </c>
      <c r="C60" s="547"/>
      <c r="D60" s="429">
        <f>SUM(D61:D62)</f>
        <v>627000000</v>
      </c>
      <c r="E60" s="429">
        <f t="shared" ref="E60:G60" si="19">SUM(E61:E62)</f>
        <v>165477500</v>
      </c>
      <c r="F60" s="381">
        <f t="shared" si="2"/>
        <v>0.26391945773524722</v>
      </c>
      <c r="G60" s="430">
        <f t="shared" si="19"/>
        <v>61550000</v>
      </c>
      <c r="H60" s="381">
        <f t="shared" si="3"/>
        <v>9.8165869218500804E-2</v>
      </c>
    </row>
    <row r="61" spans="1:8" ht="66" customHeight="1">
      <c r="A61" s="403">
        <f>A59+1</f>
        <v>44</v>
      </c>
      <c r="B61" s="406">
        <v>2020003630067</v>
      </c>
      <c r="C61" s="405" t="s">
        <v>1358</v>
      </c>
      <c r="D61" s="400">
        <f>'SGTO POAI 2023 MARZO'!BF68</f>
        <v>105000000</v>
      </c>
      <c r="E61" s="401">
        <f>'SGTO POAI 2023 MARZO'!BG68</f>
        <v>38614488</v>
      </c>
      <c r="F61" s="381">
        <f t="shared" si="2"/>
        <v>0.36775702857142856</v>
      </c>
      <c r="G61" s="402">
        <f>'SGTO POAI 2023 MARZO'!BH68</f>
        <v>12200000</v>
      </c>
      <c r="H61" s="381">
        <f t="shared" si="3"/>
        <v>0.11619047619047619</v>
      </c>
    </row>
    <row r="62" spans="1:8" ht="66" customHeight="1" thickBot="1">
      <c r="A62" s="425">
        <f t="shared" si="17"/>
        <v>45</v>
      </c>
      <c r="B62" s="421">
        <v>2020003630071</v>
      </c>
      <c r="C62" s="422" t="s">
        <v>1359</v>
      </c>
      <c r="D62" s="412">
        <f>SUM('SGTO POAI 2023 MARZO'!BF69:BF72)</f>
        <v>522000000</v>
      </c>
      <c r="E62" s="413">
        <f>SUM('SGTO POAI 2023 MARZO'!BG69:BG72)</f>
        <v>126863012</v>
      </c>
      <c r="F62" s="414">
        <f t="shared" si="2"/>
        <v>0.24303259003831418</v>
      </c>
      <c r="G62" s="402">
        <f>SUM('SGTO POAI 2023 MARZO'!BH69:BH72)</f>
        <v>49350000</v>
      </c>
      <c r="H62" s="414">
        <f t="shared" si="3"/>
        <v>9.4540229885057475E-2</v>
      </c>
    </row>
    <row r="63" spans="1:8" ht="30" customHeight="1" thickBot="1">
      <c r="A63" s="548" t="s">
        <v>1360</v>
      </c>
      <c r="B63" s="549"/>
      <c r="C63" s="550"/>
      <c r="D63" s="417">
        <f>D64</f>
        <v>3959930987.3400002</v>
      </c>
      <c r="E63" s="417">
        <f t="shared" ref="E63:G63" si="20">E64</f>
        <v>581014999.67000008</v>
      </c>
      <c r="F63" s="390">
        <f t="shared" si="2"/>
        <v>0.14672351652781823</v>
      </c>
      <c r="G63" s="423">
        <f t="shared" si="20"/>
        <v>216539999.67000002</v>
      </c>
      <c r="H63" s="390">
        <f t="shared" si="3"/>
        <v>5.4682771079163722E-2</v>
      </c>
    </row>
    <row r="64" spans="1:8" ht="30" customHeight="1">
      <c r="A64" s="419">
        <v>1</v>
      </c>
      <c r="B64" s="546" t="s">
        <v>148</v>
      </c>
      <c r="C64" s="547"/>
      <c r="D64" s="393">
        <f>SUM(D65:D68)</f>
        <v>3959930987.3400002</v>
      </c>
      <c r="E64" s="394">
        <f t="shared" ref="E64:G64" si="21">SUM(E65:E68)</f>
        <v>581014999.67000008</v>
      </c>
      <c r="F64" s="395">
        <f t="shared" si="2"/>
        <v>0.14672351652781823</v>
      </c>
      <c r="G64" s="396">
        <f t="shared" si="21"/>
        <v>216539999.67000002</v>
      </c>
      <c r="H64" s="395">
        <f t="shared" si="3"/>
        <v>5.4682771079163722E-2</v>
      </c>
    </row>
    <row r="65" spans="1:8" ht="66" customHeight="1">
      <c r="A65" s="397">
        <f>A62+1</f>
        <v>46</v>
      </c>
      <c r="B65" s="420">
        <v>2020003630021</v>
      </c>
      <c r="C65" s="424" t="s">
        <v>380</v>
      </c>
      <c r="D65" s="400">
        <f>SUM('SGTO POAI 2023 MARZO'!BF73:BF77)</f>
        <v>2868874526.3099999</v>
      </c>
      <c r="E65" s="401">
        <f>SUM('SGTO POAI 2023 MARZO'!BG73:BG77)</f>
        <v>334504999.67000002</v>
      </c>
      <c r="F65" s="381">
        <f t="shared" si="2"/>
        <v>0.11659798872425647</v>
      </c>
      <c r="G65" s="402">
        <f>SUM('SGTO POAI 2023 MARZO'!BH73:BH77)</f>
        <v>117669999.67</v>
      </c>
      <c r="H65" s="381">
        <f t="shared" si="3"/>
        <v>4.1016084388099526E-2</v>
      </c>
    </row>
    <row r="66" spans="1:8" ht="66" customHeight="1">
      <c r="A66" s="403">
        <f>A65+1</f>
        <v>47</v>
      </c>
      <c r="B66" s="406">
        <v>2020003630020</v>
      </c>
      <c r="C66" s="407" t="s">
        <v>396</v>
      </c>
      <c r="D66" s="400">
        <f>SUM('SGTO POAI 2023 MARZO'!BF78:BF79)</f>
        <v>460754138.18000001</v>
      </c>
      <c r="E66" s="401">
        <f>SUM('SGTO POAI 2023 MARZO'!BG78:BG79)</f>
        <v>180300000</v>
      </c>
      <c r="F66" s="381">
        <f t="shared" si="2"/>
        <v>0.39131498788528146</v>
      </c>
      <c r="G66" s="402">
        <f>SUM('SGTO POAI 2023 MARZO'!BH78:BH79)</f>
        <v>70000000</v>
      </c>
      <c r="H66" s="381">
        <f t="shared" si="3"/>
        <v>0.15192484277298782</v>
      </c>
    </row>
    <row r="67" spans="1:8" ht="66" customHeight="1">
      <c r="A67" s="403">
        <f t="shared" ref="A67:A68" si="22">A66+1</f>
        <v>48</v>
      </c>
      <c r="B67" s="406">
        <v>2020003630072</v>
      </c>
      <c r="C67" s="405" t="s">
        <v>1361</v>
      </c>
      <c r="D67" s="400">
        <f>'SGTO POAI 2023 MARZO'!BF80</f>
        <v>369583478.55000001</v>
      </c>
      <c r="E67" s="401">
        <f>'SGTO POAI 2023 MARZO'!BG80</f>
        <v>6300000</v>
      </c>
      <c r="F67" s="381">
        <f t="shared" si="2"/>
        <v>1.7046216526553117E-2</v>
      </c>
      <c r="G67" s="402">
        <f>'SGTO POAI 2023 MARZO'!BH80</f>
        <v>2100000</v>
      </c>
      <c r="H67" s="381">
        <f t="shared" si="3"/>
        <v>5.6820721755177061E-3</v>
      </c>
    </row>
    <row r="68" spans="1:8" ht="66" customHeight="1" thickBot="1">
      <c r="A68" s="425">
        <f t="shared" si="22"/>
        <v>49</v>
      </c>
      <c r="B68" s="421">
        <v>2020003630073</v>
      </c>
      <c r="C68" s="422" t="s">
        <v>1362</v>
      </c>
      <c r="D68" s="412">
        <f>SUM('SGTO POAI 2023 MARZO'!BF81:BF82)</f>
        <v>260718844.30000001</v>
      </c>
      <c r="E68" s="413">
        <f>SUM('SGTO POAI 2023 MARZO'!BG81:BG82)</f>
        <v>59910000</v>
      </c>
      <c r="F68" s="414">
        <f t="shared" ref="F68:F131" si="23">E68/D68</f>
        <v>0.22978776298602976</v>
      </c>
      <c r="G68" s="402">
        <f>SUM('SGTO POAI 2023 MARZO'!BH81:BH82)</f>
        <v>26770000</v>
      </c>
      <c r="H68" s="414">
        <f t="shared" ref="H68:H131" si="24">G68/D68</f>
        <v>0.102677656737373</v>
      </c>
    </row>
    <row r="69" spans="1:8" ht="30" customHeight="1" thickBot="1">
      <c r="A69" s="548" t="s">
        <v>1363</v>
      </c>
      <c r="B69" s="549"/>
      <c r="C69" s="550"/>
      <c r="D69" s="417">
        <f>D70</f>
        <v>2740910173.9000001</v>
      </c>
      <c r="E69" s="417">
        <f t="shared" ref="E69:G69" si="25">E70</f>
        <v>981947000</v>
      </c>
      <c r="F69" s="390">
        <f t="shared" si="23"/>
        <v>0.35825581201108914</v>
      </c>
      <c r="G69" s="423">
        <f t="shared" si="25"/>
        <v>356901999.00999999</v>
      </c>
      <c r="H69" s="390">
        <f t="shared" si="24"/>
        <v>0.13021294984730181</v>
      </c>
    </row>
    <row r="70" spans="1:8" ht="30" customHeight="1">
      <c r="A70" s="428">
        <v>2</v>
      </c>
      <c r="B70" s="545" t="s">
        <v>199</v>
      </c>
      <c r="C70" s="545"/>
      <c r="D70" s="394">
        <f>SUM(D71:D76)</f>
        <v>2740910173.9000001</v>
      </c>
      <c r="E70" s="394">
        <f t="shared" ref="E70:G70" si="26">SUM(E71:E76)</f>
        <v>981947000</v>
      </c>
      <c r="F70" s="395">
        <f t="shared" si="23"/>
        <v>0.35825581201108914</v>
      </c>
      <c r="G70" s="430">
        <f t="shared" si="26"/>
        <v>356901999.00999999</v>
      </c>
      <c r="H70" s="395">
        <f t="shared" si="24"/>
        <v>0.13021294984730181</v>
      </c>
    </row>
    <row r="71" spans="1:8" ht="66" customHeight="1">
      <c r="A71" s="397">
        <f>A68+1</f>
        <v>50</v>
      </c>
      <c r="B71" s="420">
        <v>2020003630074</v>
      </c>
      <c r="C71" s="399" t="s">
        <v>424</v>
      </c>
      <c r="D71" s="400">
        <f>SUM('SGTO POAI 2023 MARZO'!BF83:BF84)</f>
        <v>104000000</v>
      </c>
      <c r="E71" s="401">
        <f>SUM('SGTO POAI 2023 MARZO'!BG83:BG84)</f>
        <v>47548928</v>
      </c>
      <c r="F71" s="381">
        <f t="shared" si="23"/>
        <v>0.45720123076923075</v>
      </c>
      <c r="G71" s="402">
        <f>SUM('SGTO POAI 2023 MARZO'!BH83:BH84)</f>
        <v>27600000</v>
      </c>
      <c r="H71" s="381">
        <f t="shared" si="24"/>
        <v>0.26538461538461539</v>
      </c>
    </row>
    <row r="72" spans="1:8" ht="66" customHeight="1">
      <c r="A72" s="403">
        <f>A71+1</f>
        <v>51</v>
      </c>
      <c r="B72" s="406">
        <v>2020003630075</v>
      </c>
      <c r="C72" s="407" t="s">
        <v>1364</v>
      </c>
      <c r="D72" s="400">
        <f>'SGTO POAI 2023 MARZO'!BF85</f>
        <v>137351072</v>
      </c>
      <c r="E72" s="401">
        <f>'SGTO POAI 2023 MARZO'!BG85</f>
        <v>37351072</v>
      </c>
      <c r="F72" s="381">
        <f t="shared" si="23"/>
        <v>0.2719387002672975</v>
      </c>
      <c r="G72" s="402">
        <f>'SGTO POAI 2023 MARZO'!BH85</f>
        <v>23910000</v>
      </c>
      <c r="H72" s="381">
        <f t="shared" si="24"/>
        <v>0.17407945676608916</v>
      </c>
    </row>
    <row r="73" spans="1:8" ht="66" customHeight="1">
      <c r="A73" s="403">
        <f t="shared" ref="A73:A74" si="27">A72+1</f>
        <v>52</v>
      </c>
      <c r="B73" s="406">
        <v>2020003630076</v>
      </c>
      <c r="C73" s="407" t="s">
        <v>1365</v>
      </c>
      <c r="D73" s="400">
        <f>SUM('SGTO POAI 2023 MARZO'!BF86:BF87)</f>
        <v>544923071</v>
      </c>
      <c r="E73" s="401">
        <f>SUM('SGTO POAI 2023 MARZO'!BG86:BG87)</f>
        <v>92300000</v>
      </c>
      <c r="F73" s="381">
        <f t="shared" si="23"/>
        <v>0.16938170709237599</v>
      </c>
      <c r="G73" s="402">
        <f>SUM('SGTO POAI 2023 MARZO'!BH86:BH87)</f>
        <v>45450000</v>
      </c>
      <c r="H73" s="381">
        <f t="shared" si="24"/>
        <v>8.3406268551987961E-2</v>
      </c>
    </row>
    <row r="74" spans="1:8" ht="66" customHeight="1">
      <c r="A74" s="403">
        <f t="shared" si="27"/>
        <v>53</v>
      </c>
      <c r="B74" s="406">
        <v>2020003630077</v>
      </c>
      <c r="C74" s="405" t="s">
        <v>1366</v>
      </c>
      <c r="D74" s="400">
        <f>SUM('SGTO POAI 2023 MARZO'!BF88)</f>
        <v>1406031030.9000001</v>
      </c>
      <c r="E74" s="401">
        <f>SUM('SGTO POAI 2023 MARZO'!BG88)</f>
        <v>565142000</v>
      </c>
      <c r="F74" s="381">
        <f t="shared" si="23"/>
        <v>0.40194134238861906</v>
      </c>
      <c r="G74" s="402">
        <f>SUM('SGTO POAI 2023 MARZO'!BH88)</f>
        <v>243651999.00999999</v>
      </c>
      <c r="H74" s="381">
        <f t="shared" si="24"/>
        <v>0.17329062705965914</v>
      </c>
    </row>
    <row r="75" spans="1:8" ht="66" customHeight="1">
      <c r="A75" s="425">
        <f>A74+1</f>
        <v>54</v>
      </c>
      <c r="B75" s="421">
        <v>2020003630078</v>
      </c>
      <c r="C75" s="422" t="s">
        <v>451</v>
      </c>
      <c r="D75" s="400">
        <f>SUM('SGTO POAI 2023 MARZO'!BF89:BF92)</f>
        <v>404500000</v>
      </c>
      <c r="E75" s="401">
        <f>SUM('SGTO POAI 2023 MARZO'!BG89:BG92)</f>
        <v>95500000</v>
      </c>
      <c r="F75" s="381">
        <f t="shared" si="23"/>
        <v>0.2360939431396786</v>
      </c>
      <c r="G75" s="402">
        <f>SUM('SGTO POAI 2023 MARZO'!BH89:BH92)</f>
        <v>16290000</v>
      </c>
      <c r="H75" s="381">
        <f t="shared" si="24"/>
        <v>4.0271940667490728E-2</v>
      </c>
    </row>
    <row r="76" spans="1:8" ht="66" customHeight="1" thickBot="1">
      <c r="A76" s="425">
        <f>A75+1</f>
        <v>55</v>
      </c>
      <c r="B76" s="421">
        <v>2022003630013</v>
      </c>
      <c r="C76" s="422" t="s">
        <v>1457</v>
      </c>
      <c r="D76" s="412">
        <f>'SGTO POAI 2023 MARZO'!BF93</f>
        <v>144105000</v>
      </c>
      <c r="E76" s="413">
        <f>'SGTO POAI 2023 MARZO'!BG93</f>
        <v>144105000</v>
      </c>
      <c r="F76" s="414">
        <f t="shared" si="23"/>
        <v>1</v>
      </c>
      <c r="G76" s="402">
        <f>'SGTO POAI 2023 MARZO'!BH93</f>
        <v>0</v>
      </c>
      <c r="H76" s="414">
        <f t="shared" si="24"/>
        <v>0</v>
      </c>
    </row>
    <row r="77" spans="1:8" ht="30" customHeight="1" thickBot="1">
      <c r="A77" s="548" t="s">
        <v>1367</v>
      </c>
      <c r="B77" s="549"/>
      <c r="C77" s="550"/>
      <c r="D77" s="417">
        <f>D78+D91</f>
        <v>4551806900</v>
      </c>
      <c r="E77" s="417">
        <f t="shared" ref="E77:G77" si="28">E78+E91</f>
        <v>590241617</v>
      </c>
      <c r="F77" s="390">
        <f t="shared" si="23"/>
        <v>0.12967193687412354</v>
      </c>
      <c r="G77" s="423">
        <f t="shared" si="28"/>
        <v>203196666</v>
      </c>
      <c r="H77" s="390">
        <f t="shared" si="24"/>
        <v>4.4640880086543211E-2</v>
      </c>
    </row>
    <row r="78" spans="1:8" ht="30" customHeight="1">
      <c r="A78" s="428">
        <v>2</v>
      </c>
      <c r="B78" s="545" t="s">
        <v>199</v>
      </c>
      <c r="C78" s="545"/>
      <c r="D78" s="394">
        <f>SUM(D79:D90)</f>
        <v>1487814248</v>
      </c>
      <c r="E78" s="394">
        <f t="shared" ref="E78:G78" si="29">SUM(E79:E90)</f>
        <v>342341617</v>
      </c>
      <c r="F78" s="395">
        <f t="shared" si="23"/>
        <v>0.2300970147719677</v>
      </c>
      <c r="G78" s="430">
        <f t="shared" si="29"/>
        <v>128296666</v>
      </c>
      <c r="H78" s="395">
        <f t="shared" si="24"/>
        <v>8.6231642271515599E-2</v>
      </c>
    </row>
    <row r="79" spans="1:8" ht="66" customHeight="1">
      <c r="A79" s="397">
        <f>A76+1</f>
        <v>56</v>
      </c>
      <c r="B79" s="420">
        <v>2020003630079</v>
      </c>
      <c r="C79" s="424" t="s">
        <v>468</v>
      </c>
      <c r="D79" s="427">
        <f>SUM('SGTO POAI 2023 MARZO'!BF94:BF96)</f>
        <v>539929712</v>
      </c>
      <c r="E79" s="432">
        <f>SUM('SGTO POAI 2023 MARZO'!BG94:BG96)</f>
        <v>96000000</v>
      </c>
      <c r="F79" s="381">
        <f t="shared" si="23"/>
        <v>0.17780092087245608</v>
      </c>
      <c r="G79" s="433">
        <f>SUM('SGTO POAI 2023 MARZO'!BH94:BH96)</f>
        <v>50500000</v>
      </c>
      <c r="H79" s="381">
        <f t="shared" si="24"/>
        <v>9.3530692750614916E-2</v>
      </c>
    </row>
    <row r="80" spans="1:8" ht="66" customHeight="1">
      <c r="A80" s="403">
        <f>A79+1</f>
        <v>57</v>
      </c>
      <c r="B80" s="406">
        <v>2020003630023</v>
      </c>
      <c r="C80" s="407" t="s">
        <v>479</v>
      </c>
      <c r="D80" s="427">
        <f>SUM('SGTO POAI 2023 MARZO'!BF97:BF99)</f>
        <v>253500000</v>
      </c>
      <c r="E80" s="432">
        <f>SUM('SGTO POAI 2023 MARZO'!BG97:BG99)</f>
        <v>44146666</v>
      </c>
      <c r="F80" s="381">
        <f t="shared" si="23"/>
        <v>0.17414858382642998</v>
      </c>
      <c r="G80" s="433">
        <f>SUM('SGTO POAI 2023 MARZO'!BH97:BH99)</f>
        <v>16596666</v>
      </c>
      <c r="H80" s="381">
        <f t="shared" si="24"/>
        <v>6.5470082840236685E-2</v>
      </c>
    </row>
    <row r="81" spans="1:8" ht="66" customHeight="1">
      <c r="A81" s="403">
        <f t="shared" ref="A81:A98" si="30">A80+1</f>
        <v>58</v>
      </c>
      <c r="B81" s="406">
        <v>2020003630080</v>
      </c>
      <c r="C81" s="407" t="s">
        <v>1368</v>
      </c>
      <c r="D81" s="427">
        <f>SUM('SGTO POAI 2023 MARZO'!BF100:BF101)</f>
        <v>102500000</v>
      </c>
      <c r="E81" s="432">
        <f>SUM('SGTO POAI 2023 MARZO'!BG100:BG101)</f>
        <v>29200000</v>
      </c>
      <c r="F81" s="381">
        <f t="shared" si="23"/>
        <v>0.28487804878048778</v>
      </c>
      <c r="G81" s="433">
        <f>SUM('SGTO POAI 2023 MARZO'!BH100:BH101)</f>
        <v>12500000</v>
      </c>
      <c r="H81" s="381">
        <f t="shared" si="24"/>
        <v>0.12195121951219512</v>
      </c>
    </row>
    <row r="82" spans="1:8" ht="66" customHeight="1">
      <c r="A82" s="403">
        <f t="shared" si="30"/>
        <v>59</v>
      </c>
      <c r="B82" s="406">
        <v>2020003630022</v>
      </c>
      <c r="C82" s="407" t="s">
        <v>496</v>
      </c>
      <c r="D82" s="427">
        <f>SUM('SGTO POAI 2023 MARZO'!BF102:BF103)</f>
        <v>117000000</v>
      </c>
      <c r="E82" s="432">
        <f>SUM('SGTO POAI 2023 MARZO'!BG102:BG103)</f>
        <v>25500000</v>
      </c>
      <c r="F82" s="381">
        <f t="shared" si="23"/>
        <v>0.21794871794871795</v>
      </c>
      <c r="G82" s="433">
        <f>SUM('SGTO POAI 2023 MARZO'!BH102:BH103)</f>
        <v>11700000</v>
      </c>
      <c r="H82" s="381">
        <f t="shared" si="24"/>
        <v>0.1</v>
      </c>
    </row>
    <row r="83" spans="1:8" ht="66" customHeight="1">
      <c r="A83" s="403">
        <f t="shared" si="30"/>
        <v>60</v>
      </c>
      <c r="B83" s="406">
        <v>2020003630081</v>
      </c>
      <c r="C83" s="407" t="s">
        <v>1369</v>
      </c>
      <c r="D83" s="427">
        <f>SUM('SGTO POAI 2023 MARZO'!BF104)</f>
        <v>27000000</v>
      </c>
      <c r="E83" s="432">
        <f>SUM('SGTO POAI 2023 MARZO'!BG104)</f>
        <v>4800000</v>
      </c>
      <c r="F83" s="381">
        <f t="shared" si="23"/>
        <v>0.17777777777777778</v>
      </c>
      <c r="G83" s="433">
        <f>SUM('SGTO POAI 2023 MARZO'!BH104)</f>
        <v>4800000</v>
      </c>
      <c r="H83" s="381">
        <f t="shared" si="24"/>
        <v>0.17777777777777778</v>
      </c>
    </row>
    <row r="84" spans="1:8" ht="66" customHeight="1">
      <c r="A84" s="403">
        <f t="shared" si="30"/>
        <v>61</v>
      </c>
      <c r="B84" s="406">
        <v>2020003630082</v>
      </c>
      <c r="C84" s="407" t="s">
        <v>1370</v>
      </c>
      <c r="D84" s="427">
        <f>SUM('SGTO POAI 2023 MARZO'!BF105)</f>
        <v>36307909</v>
      </c>
      <c r="E84" s="432">
        <f>SUM('SGTO POAI 2023 MARZO'!BG105)</f>
        <v>6400000</v>
      </c>
      <c r="F84" s="381">
        <f t="shared" si="23"/>
        <v>0.17627013442167655</v>
      </c>
      <c r="G84" s="433">
        <f>SUM('SGTO POAI 2023 MARZO'!BH105)</f>
        <v>0</v>
      </c>
      <c r="H84" s="381">
        <f t="shared" si="24"/>
        <v>0</v>
      </c>
    </row>
    <row r="85" spans="1:8" ht="66" customHeight="1">
      <c r="A85" s="403">
        <f t="shared" si="30"/>
        <v>62</v>
      </c>
      <c r="B85" s="406">
        <v>2020003630025</v>
      </c>
      <c r="C85" s="407" t="s">
        <v>517</v>
      </c>
      <c r="D85" s="427">
        <f>SUM('SGTO POAI 2023 MARZO'!BF106:BF107)</f>
        <v>97000000</v>
      </c>
      <c r="E85" s="432">
        <f>SUM('SGTO POAI 2023 MARZO'!BG106:BG107)</f>
        <v>30300000</v>
      </c>
      <c r="F85" s="381">
        <f t="shared" si="23"/>
        <v>0.31237113402061856</v>
      </c>
      <c r="G85" s="433">
        <f>SUM('SGTO POAI 2023 MARZO'!BH106:BH107)</f>
        <v>17800000</v>
      </c>
      <c r="H85" s="381">
        <f t="shared" si="24"/>
        <v>0.18350515463917524</v>
      </c>
    </row>
    <row r="86" spans="1:8" ht="66" customHeight="1">
      <c r="A86" s="403">
        <f t="shared" si="30"/>
        <v>63</v>
      </c>
      <c r="B86" s="406">
        <v>2020003630083</v>
      </c>
      <c r="C86" s="407" t="s">
        <v>527</v>
      </c>
      <c r="D86" s="427">
        <f>SUM('SGTO POAI 2023 MARZO'!BF108)</f>
        <v>20000000</v>
      </c>
      <c r="E86" s="432">
        <f>SUM('SGTO POAI 2023 MARZO'!BG108)</f>
        <v>0</v>
      </c>
      <c r="F86" s="381">
        <f t="shared" si="23"/>
        <v>0</v>
      </c>
      <c r="G86" s="433">
        <f>SUM('SGTO POAI 2023 MARZO'!BH108)</f>
        <v>0</v>
      </c>
      <c r="H86" s="381">
        <f t="shared" si="24"/>
        <v>0</v>
      </c>
    </row>
    <row r="87" spans="1:8" ht="66" customHeight="1">
      <c r="A87" s="403">
        <f t="shared" si="30"/>
        <v>64</v>
      </c>
      <c r="B87" s="406">
        <v>2020003630084</v>
      </c>
      <c r="C87" s="407" t="s">
        <v>1371</v>
      </c>
      <c r="D87" s="427">
        <f>SUM('SGTO POAI 2023 MARZO'!BF109)</f>
        <v>59900000</v>
      </c>
      <c r="E87" s="432">
        <f>SUM('SGTO POAI 2023 MARZO'!BG109)</f>
        <v>20150000</v>
      </c>
      <c r="F87" s="381">
        <f t="shared" si="23"/>
        <v>0.3363939899833055</v>
      </c>
      <c r="G87" s="433">
        <f>SUM('SGTO POAI 2023 MARZO'!BH109)</f>
        <v>6400000</v>
      </c>
      <c r="H87" s="381">
        <f t="shared" si="24"/>
        <v>0.10684474123539232</v>
      </c>
    </row>
    <row r="88" spans="1:8" ht="66" customHeight="1">
      <c r="A88" s="403">
        <f t="shared" si="30"/>
        <v>65</v>
      </c>
      <c r="B88" s="406">
        <v>2020003630026</v>
      </c>
      <c r="C88" s="407" t="s">
        <v>540</v>
      </c>
      <c r="D88" s="427">
        <f>SUM('SGTO POAI 2023 MARZO'!BF110:BF111)</f>
        <v>56000000</v>
      </c>
      <c r="E88" s="432">
        <f>SUM('SGTO POAI 2023 MARZO'!BG110:BG111)</f>
        <v>18850000</v>
      </c>
      <c r="F88" s="381">
        <f t="shared" si="23"/>
        <v>0.33660714285714288</v>
      </c>
      <c r="G88" s="433">
        <f>SUM('SGTO POAI 2023 MARZO'!BH110:BH111)</f>
        <v>4800000</v>
      </c>
      <c r="H88" s="381">
        <f t="shared" si="24"/>
        <v>8.5714285714285715E-2</v>
      </c>
    </row>
    <row r="89" spans="1:8" ht="66" customHeight="1">
      <c r="A89" s="403">
        <f t="shared" si="30"/>
        <v>66</v>
      </c>
      <c r="B89" s="406">
        <v>2020003630024</v>
      </c>
      <c r="C89" s="407" t="s">
        <v>546</v>
      </c>
      <c r="D89" s="427">
        <f>SUM('SGTO POAI 2023 MARZO'!BF112:BF114)</f>
        <v>142676627</v>
      </c>
      <c r="E89" s="432">
        <f>SUM('SGTO POAI 2023 MARZO'!BG112:BG114)</f>
        <v>31194951</v>
      </c>
      <c r="F89" s="381">
        <f t="shared" si="23"/>
        <v>0.21864093408936561</v>
      </c>
      <c r="G89" s="433">
        <f>SUM('SGTO POAI 2023 MARZO'!BH112:BH114)</f>
        <v>0</v>
      </c>
      <c r="H89" s="381">
        <f t="shared" si="24"/>
        <v>0</v>
      </c>
    </row>
    <row r="90" spans="1:8" ht="66" customHeight="1">
      <c r="A90" s="403">
        <f t="shared" si="30"/>
        <v>67</v>
      </c>
      <c r="B90" s="406">
        <v>2020003630085</v>
      </c>
      <c r="C90" s="407" t="s">
        <v>1372</v>
      </c>
      <c r="D90" s="427">
        <f>SUM('SGTO POAI 2023 MARZO'!BF115:BF116)</f>
        <v>36000000</v>
      </c>
      <c r="E90" s="432">
        <f>SUM('SGTO POAI 2023 MARZO'!BG115:BG116)</f>
        <v>35800000</v>
      </c>
      <c r="F90" s="381">
        <f t="shared" si="23"/>
        <v>0.99444444444444446</v>
      </c>
      <c r="G90" s="433">
        <f>SUM('SGTO POAI 2023 MARZO'!BH115:BH116)</f>
        <v>3200000</v>
      </c>
      <c r="H90" s="381">
        <f t="shared" si="24"/>
        <v>8.8888888888888892E-2</v>
      </c>
    </row>
    <row r="91" spans="1:8" ht="26.25" customHeight="1">
      <c r="A91" s="428">
        <v>3</v>
      </c>
      <c r="B91" s="545" t="s">
        <v>211</v>
      </c>
      <c r="C91" s="545"/>
      <c r="D91" s="429">
        <f>SUM(D92:D98)</f>
        <v>3063992652</v>
      </c>
      <c r="E91" s="429">
        <f t="shared" ref="E91:G91" si="31">SUM(E92:E98)</f>
        <v>247900000</v>
      </c>
      <c r="F91" s="381">
        <f t="shared" si="23"/>
        <v>8.0907504735099472E-2</v>
      </c>
      <c r="G91" s="430">
        <f t="shared" si="31"/>
        <v>74900000</v>
      </c>
      <c r="H91" s="381">
        <f t="shared" si="24"/>
        <v>2.444522833666378E-2</v>
      </c>
    </row>
    <row r="92" spans="1:8" ht="66" customHeight="1">
      <c r="A92" s="403">
        <f>A90+1</f>
        <v>68</v>
      </c>
      <c r="B92" s="406">
        <v>2020003630027</v>
      </c>
      <c r="C92" s="405" t="s">
        <v>566</v>
      </c>
      <c r="D92" s="427">
        <f>SUM('SGTO POAI 2023 MARZO'!BF117:BF118)</f>
        <v>162600000</v>
      </c>
      <c r="E92" s="432">
        <f>SUM('SGTO POAI 2023 MARZO'!BG117:BG118)</f>
        <v>16100000</v>
      </c>
      <c r="F92" s="381">
        <f t="shared" si="23"/>
        <v>9.9015990159901604E-2</v>
      </c>
      <c r="G92" s="433">
        <f>SUM('SGTO POAI 2023 MARZO'!BH117:BH118)</f>
        <v>8100000</v>
      </c>
      <c r="H92" s="381">
        <f t="shared" si="24"/>
        <v>4.9815498154981548E-2</v>
      </c>
    </row>
    <row r="93" spans="1:8" ht="66" customHeight="1">
      <c r="A93" s="403">
        <f t="shared" si="30"/>
        <v>69</v>
      </c>
      <c r="B93" s="406">
        <v>2020003630086</v>
      </c>
      <c r="C93" s="407" t="s">
        <v>1373</v>
      </c>
      <c r="D93" s="427">
        <f>SUM('SGTO POAI 2023 MARZO'!BF119:BF121)</f>
        <v>2402692652</v>
      </c>
      <c r="E93" s="432">
        <f>SUM('SGTO POAI 2023 MARZO'!BG119:BG121)</f>
        <v>154150000</v>
      </c>
      <c r="F93" s="381">
        <f t="shared" si="23"/>
        <v>6.4157186260042715E-2</v>
      </c>
      <c r="G93" s="433">
        <f>SUM('SGTO POAI 2023 MARZO'!BH119:BH121)</f>
        <v>40000000</v>
      </c>
      <c r="H93" s="381">
        <f t="shared" si="24"/>
        <v>1.6647988650027302E-2</v>
      </c>
    </row>
    <row r="94" spans="1:8" ht="66" customHeight="1">
      <c r="A94" s="403">
        <f t="shared" si="30"/>
        <v>70</v>
      </c>
      <c r="B94" s="406">
        <v>2020003630028</v>
      </c>
      <c r="C94" s="407" t="s">
        <v>590</v>
      </c>
      <c r="D94" s="427">
        <f>'SGTO POAI 2023 MARZO'!BF122</f>
        <v>48000000</v>
      </c>
      <c r="E94" s="432">
        <f>'SGTO POAI 2023 MARZO'!BG122</f>
        <v>13850000</v>
      </c>
      <c r="F94" s="381">
        <f t="shared" si="23"/>
        <v>0.28854166666666664</v>
      </c>
      <c r="G94" s="433">
        <f>'SGTO POAI 2023 MARZO'!BH122</f>
        <v>4350000</v>
      </c>
      <c r="H94" s="381">
        <f t="shared" si="24"/>
        <v>9.0624999999999997E-2</v>
      </c>
    </row>
    <row r="95" spans="1:8" ht="66" customHeight="1">
      <c r="A95" s="403">
        <f t="shared" si="30"/>
        <v>71</v>
      </c>
      <c r="B95" s="406">
        <v>2020003630087</v>
      </c>
      <c r="C95" s="407" t="s">
        <v>594</v>
      </c>
      <c r="D95" s="427">
        <f>SUM('SGTO POAI 2023 MARZO'!BF123)</f>
        <v>75200000</v>
      </c>
      <c r="E95" s="432">
        <f>SUM('SGTO POAI 2023 MARZO'!BG123)</f>
        <v>32250000</v>
      </c>
      <c r="F95" s="381">
        <f t="shared" si="23"/>
        <v>0.42885638297872342</v>
      </c>
      <c r="G95" s="433">
        <f>SUM('SGTO POAI 2023 MARZO'!BH123)</f>
        <v>12050000</v>
      </c>
      <c r="H95" s="381">
        <f t="shared" si="24"/>
        <v>0.16023936170212766</v>
      </c>
    </row>
    <row r="96" spans="1:8" ht="66" customHeight="1">
      <c r="A96" s="403">
        <f t="shared" si="30"/>
        <v>72</v>
      </c>
      <c r="B96" s="406">
        <v>2020003630029</v>
      </c>
      <c r="C96" s="407" t="s">
        <v>602</v>
      </c>
      <c r="D96" s="427">
        <f>'SGTO POAI 2023 MARZO'!BF124</f>
        <v>168000000</v>
      </c>
      <c r="E96" s="432">
        <f>'SGTO POAI 2023 MARZO'!BG124</f>
        <v>16900000</v>
      </c>
      <c r="F96" s="381">
        <f t="shared" si="23"/>
        <v>0.1005952380952381</v>
      </c>
      <c r="G96" s="433">
        <f>'SGTO POAI 2023 MARZO'!BH124</f>
        <v>7200000</v>
      </c>
      <c r="H96" s="381">
        <f t="shared" si="24"/>
        <v>4.2857142857142858E-2</v>
      </c>
    </row>
    <row r="97" spans="1:8" ht="66" customHeight="1">
      <c r="A97" s="403">
        <f t="shared" si="30"/>
        <v>73</v>
      </c>
      <c r="B97" s="406">
        <v>2020003630030</v>
      </c>
      <c r="C97" s="407" t="s">
        <v>608</v>
      </c>
      <c r="D97" s="427">
        <f>SUM('SGTO POAI 2023 MARZO'!BF125:BF127)</f>
        <v>82000000</v>
      </c>
      <c r="E97" s="432">
        <f>SUM('SGTO POAI 2023 MARZO'!BG125:BG127)</f>
        <v>2450000</v>
      </c>
      <c r="F97" s="381">
        <f t="shared" si="23"/>
        <v>2.9878048780487804E-2</v>
      </c>
      <c r="G97" s="433">
        <f>SUM('SGTO POAI 2023 MARZO'!BH125:BH127)</f>
        <v>0</v>
      </c>
      <c r="H97" s="381">
        <f t="shared" si="24"/>
        <v>0</v>
      </c>
    </row>
    <row r="98" spans="1:8" ht="66" customHeight="1" thickBot="1">
      <c r="A98" s="425">
        <f t="shared" si="30"/>
        <v>74</v>
      </c>
      <c r="B98" s="421">
        <v>2020003630088</v>
      </c>
      <c r="C98" s="426" t="s">
        <v>621</v>
      </c>
      <c r="D98" s="431">
        <f>SUM('SGTO POAI 2023 MARZO'!BF128:BF130)</f>
        <v>125500000</v>
      </c>
      <c r="E98" s="434">
        <f>SUM('SGTO POAI 2023 MARZO'!BG128:BG130)</f>
        <v>12200000</v>
      </c>
      <c r="F98" s="414">
        <f t="shared" si="23"/>
        <v>9.7211155378486055E-2</v>
      </c>
      <c r="G98" s="433">
        <f>SUM('SGTO POAI 2023 MARZO'!BH128:BH130)</f>
        <v>3200000</v>
      </c>
      <c r="H98" s="414">
        <f t="shared" si="24"/>
        <v>2.5498007968127491E-2</v>
      </c>
    </row>
    <row r="99" spans="1:8" ht="30" customHeight="1" thickBot="1">
      <c r="A99" s="548" t="s">
        <v>1421</v>
      </c>
      <c r="B99" s="549"/>
      <c r="C99" s="550"/>
      <c r="D99" s="417">
        <f>D100</f>
        <v>3343243430</v>
      </c>
      <c r="E99" s="417">
        <f t="shared" ref="E99:G99" si="32">E100</f>
        <v>1018928000</v>
      </c>
      <c r="F99" s="390">
        <f t="shared" si="23"/>
        <v>0.30477230310447362</v>
      </c>
      <c r="G99" s="423">
        <f t="shared" si="32"/>
        <v>235130000</v>
      </c>
      <c r="H99" s="390">
        <f t="shared" si="24"/>
        <v>7.0329907146486195E-2</v>
      </c>
    </row>
    <row r="100" spans="1:8" ht="30" customHeight="1">
      <c r="A100" s="428">
        <v>4</v>
      </c>
      <c r="B100" s="545" t="s">
        <v>1462</v>
      </c>
      <c r="C100" s="545"/>
      <c r="D100" s="394">
        <f>SUM(D101:D104)</f>
        <v>3343243430</v>
      </c>
      <c r="E100" s="394">
        <f t="shared" ref="E100:G100" si="33">SUM(E101:E104)</f>
        <v>1018928000</v>
      </c>
      <c r="F100" s="395">
        <f t="shared" si="23"/>
        <v>0.30477230310447362</v>
      </c>
      <c r="G100" s="430">
        <f t="shared" si="33"/>
        <v>235130000</v>
      </c>
      <c r="H100" s="395">
        <f t="shared" si="24"/>
        <v>7.0329907146486195E-2</v>
      </c>
    </row>
    <row r="101" spans="1:8" ht="89.25" customHeight="1">
      <c r="A101" s="397">
        <f>A98+1</f>
        <v>75</v>
      </c>
      <c r="B101" s="420">
        <v>2021003630005</v>
      </c>
      <c r="C101" s="435" t="s">
        <v>633</v>
      </c>
      <c r="D101" s="400">
        <f>'SGTO POAI 2023 MARZO'!BF131</f>
        <v>410243430</v>
      </c>
      <c r="E101" s="401">
        <f>'SGTO POAI 2023 MARZO'!BG131</f>
        <v>141693430</v>
      </c>
      <c r="F101" s="381">
        <f t="shared" si="23"/>
        <v>0.34538866350644543</v>
      </c>
      <c r="G101" s="402">
        <f>'SGTO POAI 2023 MARZO'!BH131</f>
        <v>59700000</v>
      </c>
      <c r="H101" s="381">
        <f t="shared" si="24"/>
        <v>0.14552335426797694</v>
      </c>
    </row>
    <row r="102" spans="1:8" ht="66" customHeight="1">
      <c r="A102" s="403">
        <f>A101+1</f>
        <v>76</v>
      </c>
      <c r="B102" s="406">
        <v>2020003630090</v>
      </c>
      <c r="C102" s="405" t="s">
        <v>637</v>
      </c>
      <c r="D102" s="400">
        <f>'SGTO POAI 2023 MARZO'!BF132</f>
        <v>2043000000</v>
      </c>
      <c r="E102" s="401">
        <f>'SGTO POAI 2023 MARZO'!BG132</f>
        <v>374290000</v>
      </c>
      <c r="F102" s="381">
        <f t="shared" si="23"/>
        <v>0.18320606950562898</v>
      </c>
      <c r="G102" s="402">
        <f>'SGTO POAI 2023 MARZO'!BH132</f>
        <v>124180000</v>
      </c>
      <c r="H102" s="381">
        <f t="shared" si="24"/>
        <v>6.0783162016642196E-2</v>
      </c>
    </row>
    <row r="103" spans="1:8" ht="66" customHeight="1">
      <c r="A103" s="425">
        <f>A102+1</f>
        <v>77</v>
      </c>
      <c r="B103" s="421">
        <v>2020003630031</v>
      </c>
      <c r="C103" s="426" t="s">
        <v>641</v>
      </c>
      <c r="D103" s="400">
        <f>'SGTO POAI 2023 MARZO'!BF133</f>
        <v>490000000</v>
      </c>
      <c r="E103" s="401">
        <f>'SGTO POAI 2023 MARZO'!BG133</f>
        <v>174381570</v>
      </c>
      <c r="F103" s="381">
        <f t="shared" si="23"/>
        <v>0.35588075510204081</v>
      </c>
      <c r="G103" s="415">
        <f>'SGTO POAI 2023 MARZO'!BH133</f>
        <v>51250000</v>
      </c>
      <c r="H103" s="381">
        <f t="shared" si="24"/>
        <v>0.10459183673469388</v>
      </c>
    </row>
    <row r="104" spans="1:8" ht="66" customHeight="1" thickBot="1">
      <c r="A104" s="425">
        <f>A103+1</f>
        <v>78</v>
      </c>
      <c r="B104" s="421">
        <v>2022003630012</v>
      </c>
      <c r="C104" s="411" t="s">
        <v>1459</v>
      </c>
      <c r="D104" s="412">
        <f>'SGTO POAI 2023 MARZO'!BF134</f>
        <v>400000000</v>
      </c>
      <c r="E104" s="413">
        <f>'SGTO POAI 2023 MARZO'!BG134</f>
        <v>328563000</v>
      </c>
      <c r="F104" s="414">
        <f t="shared" si="23"/>
        <v>0.82140749999999996</v>
      </c>
      <c r="G104" s="436">
        <f>'SGTO POAI 2023 MARZO'!BH134</f>
        <v>0</v>
      </c>
      <c r="H104" s="414">
        <f t="shared" si="24"/>
        <v>0</v>
      </c>
    </row>
    <row r="105" spans="1:8" ht="30" customHeight="1" thickBot="1">
      <c r="A105" s="548" t="s">
        <v>1374</v>
      </c>
      <c r="B105" s="549"/>
      <c r="C105" s="550"/>
      <c r="D105" s="417">
        <f>D106+D115</f>
        <v>213645814849.25</v>
      </c>
      <c r="E105" s="417">
        <f t="shared" ref="E105:G105" si="34">E106+E115</f>
        <v>58593949470.360001</v>
      </c>
      <c r="F105" s="390">
        <f t="shared" si="23"/>
        <v>0.27425741764098821</v>
      </c>
      <c r="G105" s="423">
        <f t="shared" si="34"/>
        <v>40947479903.300003</v>
      </c>
      <c r="H105" s="390">
        <f t="shared" si="24"/>
        <v>0.19166057585632013</v>
      </c>
    </row>
    <row r="106" spans="1:8" ht="26.25" customHeight="1">
      <c r="A106" s="419">
        <v>1</v>
      </c>
      <c r="B106" s="546" t="s">
        <v>148</v>
      </c>
      <c r="C106" s="547"/>
      <c r="D106" s="393">
        <f>SUM(D107:D114)</f>
        <v>213613300171.25</v>
      </c>
      <c r="E106" s="394">
        <f t="shared" ref="E106:G106" si="35">SUM(E107:E114)</f>
        <v>58593949470.360001</v>
      </c>
      <c r="F106" s="395">
        <f t="shared" si="23"/>
        <v>0.27429916312975955</v>
      </c>
      <c r="G106" s="396">
        <f t="shared" si="35"/>
        <v>40947479903.300003</v>
      </c>
      <c r="H106" s="395">
        <f t="shared" si="24"/>
        <v>0.19168974904873964</v>
      </c>
    </row>
    <row r="107" spans="1:8" ht="66" customHeight="1">
      <c r="A107" s="397">
        <f>A104+1</f>
        <v>79</v>
      </c>
      <c r="B107" s="420">
        <v>2020003630091</v>
      </c>
      <c r="C107" s="399" t="s">
        <v>647</v>
      </c>
      <c r="D107" s="427">
        <f>SUM('SGTO POAI 2023 MARZO'!BF135:BF144)</f>
        <v>18115525834.200001</v>
      </c>
      <c r="E107" s="432">
        <f>SUM('SGTO POAI 2023 MARZO'!BG135:BG144)</f>
        <v>12442271722.439999</v>
      </c>
      <c r="F107" s="381">
        <f t="shared" si="23"/>
        <v>0.68682917825937129</v>
      </c>
      <c r="G107" s="433">
        <f>SUM('SGTO POAI 2023 MARZO'!BH135:BH144)</f>
        <v>181630000</v>
      </c>
      <c r="H107" s="381">
        <f t="shared" si="24"/>
        <v>1.0026206341584838E-2</v>
      </c>
    </row>
    <row r="108" spans="1:8" ht="66" customHeight="1">
      <c r="A108" s="403">
        <f>A107+1</f>
        <v>80</v>
      </c>
      <c r="B108" s="406">
        <v>2020003630092</v>
      </c>
      <c r="C108" s="405" t="s">
        <v>675</v>
      </c>
      <c r="D108" s="427">
        <f>SUM('SGTO POAI 2023 MARZO'!BF145:BF146)</f>
        <v>15000000</v>
      </c>
      <c r="E108" s="432">
        <f>SUM('SGTO POAI 2023 MARZO'!BG145:BG146)</f>
        <v>9600000</v>
      </c>
      <c r="F108" s="381">
        <f t="shared" si="23"/>
        <v>0.64</v>
      </c>
      <c r="G108" s="433">
        <f>SUM('SGTO POAI 2023 MARZO'!BH145:BH146)</f>
        <v>6400000</v>
      </c>
      <c r="H108" s="381">
        <f t="shared" si="24"/>
        <v>0.42666666666666669</v>
      </c>
    </row>
    <row r="109" spans="1:8" ht="66" customHeight="1">
      <c r="A109" s="403">
        <f t="shared" ref="A109:A114" si="36">A108+1</f>
        <v>81</v>
      </c>
      <c r="B109" s="406">
        <v>2020003630093</v>
      </c>
      <c r="C109" s="405" t="s">
        <v>683</v>
      </c>
      <c r="D109" s="427">
        <f>SUM('SGTO POAI 2023 MARZO'!BF147:BF156)</f>
        <v>169220489</v>
      </c>
      <c r="E109" s="432">
        <f>SUM('SGTO POAI 2023 MARZO'!BG147:BG156)</f>
        <v>55972800</v>
      </c>
      <c r="F109" s="381">
        <f t="shared" si="23"/>
        <v>0.3307684567676672</v>
      </c>
      <c r="G109" s="433">
        <f>SUM('SGTO POAI 2023 MARZO'!BH147:BH156)</f>
        <v>30772800</v>
      </c>
      <c r="H109" s="381">
        <f t="shared" si="24"/>
        <v>0.18185031955557107</v>
      </c>
    </row>
    <row r="110" spans="1:8" ht="66" customHeight="1">
      <c r="A110" s="403">
        <f t="shared" si="36"/>
        <v>82</v>
      </c>
      <c r="B110" s="406">
        <v>2020003630016</v>
      </c>
      <c r="C110" s="405" t="s">
        <v>709</v>
      </c>
      <c r="D110" s="427">
        <f>SUM('SGTO POAI 2023 MARZO'!BF157:BF160)</f>
        <v>194460244711.04999</v>
      </c>
      <c r="E110" s="432">
        <f>SUM('SGTO POAI 2023 MARZO'!BG157:BG160)</f>
        <v>45551827143.700005</v>
      </c>
      <c r="F110" s="381">
        <f t="shared" si="23"/>
        <v>0.2342475049920143</v>
      </c>
      <c r="G110" s="433">
        <f>SUM('SGTO POAI 2023 MARZO'!BH157:BH160)</f>
        <v>40655679494.300003</v>
      </c>
      <c r="H110" s="381">
        <f t="shared" si="24"/>
        <v>0.20906936301921555</v>
      </c>
    </row>
    <row r="111" spans="1:8" ht="66" customHeight="1">
      <c r="A111" s="403">
        <f t="shared" si="36"/>
        <v>83</v>
      </c>
      <c r="B111" s="406">
        <v>2020003630094</v>
      </c>
      <c r="C111" s="405" t="s">
        <v>719</v>
      </c>
      <c r="D111" s="427">
        <f>SUM('SGTO POAI 2023 MARZO'!BF161:BF163)</f>
        <v>626824680</v>
      </c>
      <c r="E111" s="432">
        <f>SUM('SGTO POAI 2023 MARZO'!BG161:BG163)</f>
        <v>454880195.22000003</v>
      </c>
      <c r="F111" s="381">
        <f t="shared" si="23"/>
        <v>0.72568967006851104</v>
      </c>
      <c r="G111" s="433">
        <f>SUM('SGTO POAI 2023 MARZO'!BH161:BH163)</f>
        <v>6400000</v>
      </c>
      <c r="H111" s="381">
        <f t="shared" si="24"/>
        <v>1.0210191468529925E-2</v>
      </c>
    </row>
    <row r="112" spans="1:8" ht="66" customHeight="1">
      <c r="A112" s="403">
        <f t="shared" si="36"/>
        <v>84</v>
      </c>
      <c r="B112" s="406">
        <v>2020003630015</v>
      </c>
      <c r="C112" s="405" t="s">
        <v>728</v>
      </c>
      <c r="D112" s="427">
        <f>SUM('SGTO POAI 2023 MARZO'!BF164:BF166)</f>
        <v>25000000</v>
      </c>
      <c r="E112" s="432">
        <f>SUM('SGTO POAI 2023 MARZO'!BG164:BG166)</f>
        <v>0</v>
      </c>
      <c r="F112" s="381">
        <f t="shared" si="23"/>
        <v>0</v>
      </c>
      <c r="G112" s="433">
        <f>SUM('SGTO POAI 2023 MARZO'!BH164:BH166)</f>
        <v>0</v>
      </c>
      <c r="H112" s="381">
        <f t="shared" si="24"/>
        <v>0</v>
      </c>
    </row>
    <row r="113" spans="1:8" ht="66" customHeight="1">
      <c r="A113" s="403">
        <f t="shared" si="36"/>
        <v>85</v>
      </c>
      <c r="B113" s="406">
        <v>2020003630095</v>
      </c>
      <c r="C113" s="405" t="s">
        <v>734</v>
      </c>
      <c r="D113" s="427">
        <f>SUM('SGTO POAI 2023 MARZO'!BF167:BF168)</f>
        <v>31484457</v>
      </c>
      <c r="E113" s="432">
        <f>SUM('SGTO POAI 2023 MARZO'!BG167:BG168)</f>
        <v>19200000</v>
      </c>
      <c r="F113" s="381">
        <f t="shared" si="23"/>
        <v>0.60982471446148812</v>
      </c>
      <c r="G113" s="433">
        <f>SUM('SGTO POAI 2023 MARZO'!BH167:BH168)</f>
        <v>6400000</v>
      </c>
      <c r="H113" s="381">
        <f t="shared" si="24"/>
        <v>0.20327490482049604</v>
      </c>
    </row>
    <row r="114" spans="1:8" ht="66" customHeight="1">
      <c r="A114" s="403">
        <f t="shared" si="36"/>
        <v>86</v>
      </c>
      <c r="B114" s="406">
        <v>2020003630096</v>
      </c>
      <c r="C114" s="407" t="s">
        <v>743</v>
      </c>
      <c r="D114" s="427">
        <f>'SGTO POAI 2023 MARZO'!BF169</f>
        <v>170000000</v>
      </c>
      <c r="E114" s="432">
        <f>'SGTO POAI 2023 MARZO'!BG169</f>
        <v>60197609</v>
      </c>
      <c r="F114" s="381">
        <f t="shared" si="23"/>
        <v>0.3541035823529412</v>
      </c>
      <c r="G114" s="433">
        <f>'SGTO POAI 2023 MARZO'!BH169</f>
        <v>60197609</v>
      </c>
      <c r="H114" s="381">
        <f t="shared" si="24"/>
        <v>0.3541035823529412</v>
      </c>
    </row>
    <row r="115" spans="1:8" ht="32.25" customHeight="1">
      <c r="A115" s="428">
        <v>2</v>
      </c>
      <c r="B115" s="545" t="s">
        <v>199</v>
      </c>
      <c r="C115" s="545"/>
      <c r="D115" s="429">
        <f>D116</f>
        <v>32514678</v>
      </c>
      <c r="E115" s="429">
        <f t="shared" ref="E115:G115" si="37">E116</f>
        <v>0</v>
      </c>
      <c r="F115" s="381">
        <f t="shared" si="23"/>
        <v>0</v>
      </c>
      <c r="G115" s="430">
        <f t="shared" si="37"/>
        <v>0</v>
      </c>
      <c r="H115" s="381">
        <f t="shared" si="24"/>
        <v>0</v>
      </c>
    </row>
    <row r="116" spans="1:8" ht="66" customHeight="1" thickBot="1">
      <c r="A116" s="425">
        <f>A114+1</f>
        <v>87</v>
      </c>
      <c r="B116" s="421">
        <v>2020003630097</v>
      </c>
      <c r="C116" s="422" t="s">
        <v>752</v>
      </c>
      <c r="D116" s="431">
        <f>'SGTO POAI 2023 MARZO'!BF170</f>
        <v>32514678</v>
      </c>
      <c r="E116" s="434">
        <f>'SGTO POAI 2023 MARZO'!BG170</f>
        <v>0</v>
      </c>
      <c r="F116" s="414">
        <f t="shared" si="23"/>
        <v>0</v>
      </c>
      <c r="G116" s="433">
        <f>'SGTO POAI 2023 MARZO'!BH170</f>
        <v>0</v>
      </c>
      <c r="H116" s="414">
        <f t="shared" si="24"/>
        <v>0</v>
      </c>
    </row>
    <row r="117" spans="1:8" ht="30" customHeight="1" thickBot="1">
      <c r="A117" s="551" t="s">
        <v>1301</v>
      </c>
      <c r="B117" s="552"/>
      <c r="C117" s="553"/>
      <c r="D117" s="417">
        <f>D118+D137+D140</f>
        <v>7537461518.4300003</v>
      </c>
      <c r="E117" s="417">
        <f t="shared" ref="E117:G117" si="38">E118+E137+E140</f>
        <v>1710985106.4300001</v>
      </c>
      <c r="F117" s="390">
        <f t="shared" si="23"/>
        <v>0.22699752459716518</v>
      </c>
      <c r="G117" s="423">
        <f t="shared" si="38"/>
        <v>1241735106.4300001</v>
      </c>
      <c r="H117" s="390">
        <f t="shared" si="24"/>
        <v>0.16474181704195881</v>
      </c>
    </row>
    <row r="118" spans="1:8" ht="30" customHeight="1">
      <c r="A118" s="419">
        <v>1</v>
      </c>
      <c r="B118" s="546" t="s">
        <v>148</v>
      </c>
      <c r="C118" s="547"/>
      <c r="D118" s="393">
        <f>SUM(D119:D136)</f>
        <v>7124488546.4300003</v>
      </c>
      <c r="E118" s="394">
        <f t="shared" ref="E118:G118" si="39">SUM(E119:E136)</f>
        <v>1559652134.4300001</v>
      </c>
      <c r="F118" s="395">
        <f t="shared" si="23"/>
        <v>0.21891425949607624</v>
      </c>
      <c r="G118" s="396">
        <f t="shared" si="39"/>
        <v>1177125106.4300001</v>
      </c>
      <c r="H118" s="395">
        <f t="shared" si="24"/>
        <v>0.16522240140590078</v>
      </c>
    </row>
    <row r="119" spans="1:8" ht="66" customHeight="1">
      <c r="A119" s="397">
        <f>A116+1</f>
        <v>88</v>
      </c>
      <c r="B119" s="437">
        <v>2020003630011</v>
      </c>
      <c r="C119" s="438" t="s">
        <v>1375</v>
      </c>
      <c r="D119" s="439">
        <f>SUM('SGTO POAI 2023 MARZO'!BF171:BF172)</f>
        <v>130000000</v>
      </c>
      <c r="E119" s="432">
        <f>SUM('SGTO POAI 2023 MARZO'!BG171:BG172)</f>
        <v>74100000</v>
      </c>
      <c r="F119" s="381">
        <f t="shared" si="23"/>
        <v>0.56999999999999995</v>
      </c>
      <c r="G119" s="433">
        <f>SUM('SGTO POAI 2023 MARZO'!BH171:BH172)</f>
        <v>34350000</v>
      </c>
      <c r="H119" s="381">
        <f t="shared" si="24"/>
        <v>0.26423076923076921</v>
      </c>
    </row>
    <row r="120" spans="1:8" ht="66" customHeight="1">
      <c r="A120" s="403">
        <f>A119+1</f>
        <v>89</v>
      </c>
      <c r="B120" s="440">
        <v>2020003630098</v>
      </c>
      <c r="C120" s="441" t="s">
        <v>1376</v>
      </c>
      <c r="D120" s="439">
        <f>SUM('SGTO POAI 2023 MARZO'!BF173)</f>
        <v>18900000</v>
      </c>
      <c r="E120" s="432">
        <f>SUM('SGTO POAI 2023 MARZO'!BG173)</f>
        <v>9600000</v>
      </c>
      <c r="F120" s="381">
        <f t="shared" si="23"/>
        <v>0.50793650793650791</v>
      </c>
      <c r="G120" s="433">
        <f>SUM('SGTO POAI 2023 MARZO'!BH173)</f>
        <v>3200000</v>
      </c>
      <c r="H120" s="381">
        <f t="shared" si="24"/>
        <v>0.1693121693121693</v>
      </c>
    </row>
    <row r="121" spans="1:8" ht="66" customHeight="1">
      <c r="A121" s="403">
        <f t="shared" ref="A121:A145" si="40">A120+1</f>
        <v>90</v>
      </c>
      <c r="B121" s="440">
        <v>2020003630099</v>
      </c>
      <c r="C121" s="441" t="s">
        <v>1377</v>
      </c>
      <c r="D121" s="439">
        <f>SUM('SGTO POAI 2023 MARZO'!BF174:BF175)</f>
        <v>71600000</v>
      </c>
      <c r="E121" s="432">
        <f>SUM('SGTO POAI 2023 MARZO'!BG174:BG175)</f>
        <v>28000000</v>
      </c>
      <c r="F121" s="381">
        <f t="shared" si="23"/>
        <v>0.39106145251396646</v>
      </c>
      <c r="G121" s="433">
        <f>SUM('SGTO POAI 2023 MARZO'!BH174:BH175)</f>
        <v>12800000</v>
      </c>
      <c r="H121" s="381">
        <f t="shared" si="24"/>
        <v>0.1787709497206704</v>
      </c>
    </row>
    <row r="122" spans="1:8" ht="66" customHeight="1">
      <c r="A122" s="403">
        <f t="shared" si="40"/>
        <v>91</v>
      </c>
      <c r="B122" s="440">
        <v>2020003630100</v>
      </c>
      <c r="C122" s="441" t="s">
        <v>1378</v>
      </c>
      <c r="D122" s="439">
        <f>SUM('SGTO POAI 2023 MARZO'!BF176)</f>
        <v>124800000</v>
      </c>
      <c r="E122" s="432">
        <f>SUM('SGTO POAI 2023 MARZO'!BG176)</f>
        <v>67800000</v>
      </c>
      <c r="F122" s="381">
        <f t="shared" si="23"/>
        <v>0.54326923076923073</v>
      </c>
      <c r="G122" s="433">
        <f>SUM('SGTO POAI 2023 MARZO'!BH176)</f>
        <v>22200000</v>
      </c>
      <c r="H122" s="381">
        <f t="shared" si="24"/>
        <v>0.17788461538461539</v>
      </c>
    </row>
    <row r="123" spans="1:8" ht="66" customHeight="1">
      <c r="A123" s="403">
        <f t="shared" si="40"/>
        <v>92</v>
      </c>
      <c r="B123" s="440">
        <v>2020003630101</v>
      </c>
      <c r="C123" s="441" t="s">
        <v>798</v>
      </c>
      <c r="D123" s="439">
        <f>'SGTO POAI 2023 MARZO'!BF177</f>
        <v>297700000</v>
      </c>
      <c r="E123" s="432">
        <f>'SGTO POAI 2023 MARZO'!BG177</f>
        <v>103050000</v>
      </c>
      <c r="F123" s="381">
        <f t="shared" si="23"/>
        <v>0.34615384615384615</v>
      </c>
      <c r="G123" s="433">
        <f>'SGTO POAI 2023 MARZO'!BH177</f>
        <v>30000000</v>
      </c>
      <c r="H123" s="381">
        <f t="shared" si="24"/>
        <v>0.10077258985555929</v>
      </c>
    </row>
    <row r="124" spans="1:8" ht="66" customHeight="1">
      <c r="A124" s="403">
        <f t="shared" si="40"/>
        <v>93</v>
      </c>
      <c r="B124" s="440">
        <v>2020003630102</v>
      </c>
      <c r="C124" s="441" t="s">
        <v>805</v>
      </c>
      <c r="D124" s="439">
        <f>'SGTO POAI 2023 MARZO'!BF178</f>
        <v>264000000</v>
      </c>
      <c r="E124" s="432">
        <f>'SGTO POAI 2023 MARZO'!BG178</f>
        <v>78847028</v>
      </c>
      <c r="F124" s="381">
        <f t="shared" si="23"/>
        <v>0.29866298484848486</v>
      </c>
      <c r="G124" s="433">
        <f>'SGTO POAI 2023 MARZO'!BH178</f>
        <v>29200000</v>
      </c>
      <c r="H124" s="381">
        <f t="shared" si="24"/>
        <v>0.11060606060606061</v>
      </c>
    </row>
    <row r="125" spans="1:8" ht="66" customHeight="1">
      <c r="A125" s="403">
        <f t="shared" si="40"/>
        <v>94</v>
      </c>
      <c r="B125" s="440">
        <v>2021003630010</v>
      </c>
      <c r="C125" s="441" t="s">
        <v>1379</v>
      </c>
      <c r="D125" s="439">
        <f>'SGTO POAI 2023 MARZO'!BF179</f>
        <v>23400000</v>
      </c>
      <c r="E125" s="432">
        <f>'SGTO POAI 2023 MARZO'!BG179</f>
        <v>12000000</v>
      </c>
      <c r="F125" s="381">
        <f t="shared" si="23"/>
        <v>0.51282051282051277</v>
      </c>
      <c r="G125" s="433">
        <f>'SGTO POAI 2023 MARZO'!BH179</f>
        <v>3200000</v>
      </c>
      <c r="H125" s="381">
        <f t="shared" si="24"/>
        <v>0.13675213675213677</v>
      </c>
    </row>
    <row r="126" spans="1:8" ht="66" customHeight="1">
      <c r="A126" s="403">
        <f t="shared" si="40"/>
        <v>95</v>
      </c>
      <c r="B126" s="440">
        <v>2020003630033</v>
      </c>
      <c r="C126" s="441" t="s">
        <v>1380</v>
      </c>
      <c r="D126" s="439">
        <f>SUM('SGTO POAI 2023 MARZO'!BF180:BF181)</f>
        <v>33000000</v>
      </c>
      <c r="E126" s="432">
        <f>SUM('SGTO POAI 2023 MARZO'!BG180:BG181)</f>
        <v>13000000</v>
      </c>
      <c r="F126" s="381">
        <f t="shared" si="23"/>
        <v>0.39393939393939392</v>
      </c>
      <c r="G126" s="433">
        <f>SUM('SGTO POAI 2023 MARZO'!BH180:BH181)</f>
        <v>9400000</v>
      </c>
      <c r="H126" s="381">
        <f t="shared" si="24"/>
        <v>0.28484848484848485</v>
      </c>
    </row>
    <row r="127" spans="1:8" ht="66" customHeight="1">
      <c r="A127" s="403">
        <f t="shared" si="40"/>
        <v>96</v>
      </c>
      <c r="B127" s="440">
        <v>2020003630034</v>
      </c>
      <c r="C127" s="442" t="s">
        <v>1381</v>
      </c>
      <c r="D127" s="439">
        <f>'SGTO POAI 2023 MARZO'!BF182</f>
        <v>48100000</v>
      </c>
      <c r="E127" s="432">
        <f>'SGTO POAI 2023 MARZO'!BG182</f>
        <v>20430000</v>
      </c>
      <c r="F127" s="381">
        <f t="shared" si="23"/>
        <v>0.42474012474012474</v>
      </c>
      <c r="G127" s="433">
        <f>'SGTO POAI 2023 MARZO'!BH182</f>
        <v>9250000</v>
      </c>
      <c r="H127" s="381">
        <f t="shared" si="24"/>
        <v>0.19230769230769232</v>
      </c>
    </row>
    <row r="128" spans="1:8" ht="66" customHeight="1">
      <c r="A128" s="403">
        <f t="shared" si="40"/>
        <v>97</v>
      </c>
      <c r="B128" s="440">
        <v>2020003630103</v>
      </c>
      <c r="C128" s="442" t="s">
        <v>834</v>
      </c>
      <c r="D128" s="439">
        <f>'SGTO POAI 2023 MARZO'!BF183</f>
        <v>45500000</v>
      </c>
      <c r="E128" s="432">
        <f>'SGTO POAI 2023 MARZO'!BG183</f>
        <v>19200000</v>
      </c>
      <c r="F128" s="381">
        <f t="shared" si="23"/>
        <v>0.42197802197802198</v>
      </c>
      <c r="G128" s="433">
        <f>'SGTO POAI 2023 MARZO'!BH183</f>
        <v>9600000</v>
      </c>
      <c r="H128" s="381">
        <f t="shared" si="24"/>
        <v>0.21098901098901099</v>
      </c>
    </row>
    <row r="129" spans="1:8" ht="66" customHeight="1">
      <c r="A129" s="403">
        <f t="shared" si="40"/>
        <v>98</v>
      </c>
      <c r="B129" s="440">
        <v>2020003630104</v>
      </c>
      <c r="C129" s="442" t="s">
        <v>1382</v>
      </c>
      <c r="D129" s="439">
        <f>'SGTO POAI 2023 MARZO'!BF184</f>
        <v>41600000</v>
      </c>
      <c r="E129" s="432">
        <f>'SGTO POAI 2023 MARZO'!BG184</f>
        <v>14400000</v>
      </c>
      <c r="F129" s="381">
        <f t="shared" si="23"/>
        <v>0.34615384615384615</v>
      </c>
      <c r="G129" s="433">
        <f>'SGTO POAI 2023 MARZO'!BH184</f>
        <v>6400000</v>
      </c>
      <c r="H129" s="381">
        <f t="shared" si="24"/>
        <v>0.15384615384615385</v>
      </c>
    </row>
    <row r="130" spans="1:8" ht="66" customHeight="1">
      <c r="A130" s="403">
        <f t="shared" si="40"/>
        <v>99</v>
      </c>
      <c r="B130" s="440">
        <v>2020003630105</v>
      </c>
      <c r="C130" s="442" t="s">
        <v>843</v>
      </c>
      <c r="D130" s="439">
        <f>'SGTO POAI 2023 MARZO'!BF185</f>
        <v>37700000</v>
      </c>
      <c r="E130" s="432">
        <f>'SGTO POAI 2023 MARZO'!BG185</f>
        <v>4800000</v>
      </c>
      <c r="F130" s="381">
        <f t="shared" si="23"/>
        <v>0.1273209549071618</v>
      </c>
      <c r="G130" s="433">
        <f>'SGTO POAI 2023 MARZO'!BH185</f>
        <v>0</v>
      </c>
      <c r="H130" s="381">
        <f t="shared" si="24"/>
        <v>0</v>
      </c>
    </row>
    <row r="131" spans="1:8" ht="66" customHeight="1">
      <c r="A131" s="403">
        <f t="shared" si="40"/>
        <v>100</v>
      </c>
      <c r="B131" s="440">
        <v>2020003630106</v>
      </c>
      <c r="C131" s="442" t="s">
        <v>1383</v>
      </c>
      <c r="D131" s="439">
        <f>'SGTO POAI 2023 MARZO'!BF186</f>
        <v>39000000</v>
      </c>
      <c r="E131" s="432">
        <f>'SGTO POAI 2023 MARZO'!BG186</f>
        <v>15100000</v>
      </c>
      <c r="F131" s="381">
        <f t="shared" si="23"/>
        <v>0.38717948717948719</v>
      </c>
      <c r="G131" s="433">
        <f>'SGTO POAI 2023 MARZO'!BH186</f>
        <v>7400000</v>
      </c>
      <c r="H131" s="381">
        <f t="shared" si="24"/>
        <v>0.18974358974358974</v>
      </c>
    </row>
    <row r="132" spans="1:8" ht="66" customHeight="1">
      <c r="A132" s="403">
        <f t="shared" si="40"/>
        <v>101</v>
      </c>
      <c r="B132" s="440">
        <v>2020003630036</v>
      </c>
      <c r="C132" s="441" t="s">
        <v>1384</v>
      </c>
      <c r="D132" s="439">
        <f>SUM('SGTO POAI 2023 MARZO'!BF187:BF188)</f>
        <v>95000000</v>
      </c>
      <c r="E132" s="432">
        <f>SUM('SGTO POAI 2023 MARZO'!BG187:BG188)</f>
        <v>0</v>
      </c>
      <c r="F132" s="381">
        <f t="shared" ref="F132:F196" si="41">E132/D132</f>
        <v>0</v>
      </c>
      <c r="G132" s="433">
        <f>SUM('SGTO POAI 2023 MARZO'!BH187:BH188)</f>
        <v>0</v>
      </c>
      <c r="H132" s="381">
        <f t="shared" ref="H132:H196" si="42">G132/D132</f>
        <v>0</v>
      </c>
    </row>
    <row r="133" spans="1:8" ht="66" customHeight="1">
      <c r="A133" s="403">
        <f t="shared" si="40"/>
        <v>102</v>
      </c>
      <c r="B133" s="440">
        <v>2020003630037</v>
      </c>
      <c r="C133" s="441" t="s">
        <v>863</v>
      </c>
      <c r="D133" s="439">
        <f>SUM('SGTO POAI 2023 MARZO'!BF189)</f>
        <v>40000000</v>
      </c>
      <c r="E133" s="432">
        <f>SUM('SGTO POAI 2023 MARZO'!BG189)</f>
        <v>9600000</v>
      </c>
      <c r="F133" s="381">
        <f t="shared" si="41"/>
        <v>0.24</v>
      </c>
      <c r="G133" s="433">
        <f>SUM('SGTO POAI 2023 MARZO'!BH189)</f>
        <v>3200000</v>
      </c>
      <c r="H133" s="381">
        <f t="shared" si="42"/>
        <v>0.08</v>
      </c>
    </row>
    <row r="134" spans="1:8" ht="66" customHeight="1">
      <c r="A134" s="403">
        <f t="shared" si="40"/>
        <v>103</v>
      </c>
      <c r="B134" s="440">
        <v>2020003630035</v>
      </c>
      <c r="C134" s="442" t="s">
        <v>871</v>
      </c>
      <c r="D134" s="439">
        <f>SUM('SGTO POAI 2023 MARZO'!BF190:BF191)</f>
        <v>209300000</v>
      </c>
      <c r="E134" s="432">
        <f>SUM('SGTO POAI 2023 MARZO'!BG190:BG191)</f>
        <v>63000000</v>
      </c>
      <c r="F134" s="381">
        <f t="shared" si="41"/>
        <v>0.30100334448160537</v>
      </c>
      <c r="G134" s="433">
        <f>SUM('SGTO POAI 2023 MARZO'!BH190:BH191)</f>
        <v>25600000</v>
      </c>
      <c r="H134" s="381">
        <f t="shared" si="42"/>
        <v>0.12231247013855709</v>
      </c>
    </row>
    <row r="135" spans="1:8" ht="66" customHeight="1">
      <c r="A135" s="403">
        <f t="shared" si="40"/>
        <v>104</v>
      </c>
      <c r="B135" s="440">
        <v>2020003630012</v>
      </c>
      <c r="C135" s="441" t="s">
        <v>880</v>
      </c>
      <c r="D135" s="439">
        <f>'SGTO POAI 2023 MARZO'!BF192</f>
        <v>122000000</v>
      </c>
      <c r="E135" s="432">
        <f>'SGTO POAI 2023 MARZO'!BG192</f>
        <v>18600000</v>
      </c>
      <c r="F135" s="381">
        <f t="shared" si="41"/>
        <v>0.15245901639344261</v>
      </c>
      <c r="G135" s="433">
        <f>'SGTO POAI 2023 MARZO'!BH192</f>
        <v>7400000</v>
      </c>
      <c r="H135" s="381">
        <f t="shared" si="42"/>
        <v>6.0655737704918035E-2</v>
      </c>
    </row>
    <row r="136" spans="1:8" ht="66" customHeight="1">
      <c r="A136" s="403">
        <f t="shared" si="40"/>
        <v>105</v>
      </c>
      <c r="B136" s="440">
        <v>2020003630109</v>
      </c>
      <c r="C136" s="441" t="s">
        <v>1385</v>
      </c>
      <c r="D136" s="439">
        <f>SUM('SGTO POAI 2023 MARZO'!BF193:BF194)</f>
        <v>5482888546.4300003</v>
      </c>
      <c r="E136" s="432">
        <f>SUM('SGTO POAI 2023 MARZO'!BG193:BG194)</f>
        <v>1008125106.4300001</v>
      </c>
      <c r="F136" s="381">
        <f t="shared" si="41"/>
        <v>0.18386751762196718</v>
      </c>
      <c r="G136" s="433">
        <f>SUM('SGTO POAI 2023 MARZO'!BH193:BH194)</f>
        <v>963925106.43000007</v>
      </c>
      <c r="H136" s="381">
        <f t="shared" si="42"/>
        <v>0.17580607343507423</v>
      </c>
    </row>
    <row r="137" spans="1:8" ht="25.5" customHeight="1">
      <c r="A137" s="428">
        <v>2</v>
      </c>
      <c r="B137" s="545" t="s">
        <v>199</v>
      </c>
      <c r="C137" s="545"/>
      <c r="D137" s="429">
        <f>SUM(D138:D139)</f>
        <v>38400000</v>
      </c>
      <c r="E137" s="429">
        <f t="shared" ref="E137:G137" si="43">SUM(E138:E139)</f>
        <v>18200000</v>
      </c>
      <c r="F137" s="381">
        <f t="shared" si="41"/>
        <v>0.47395833333333331</v>
      </c>
      <c r="G137" s="430">
        <f t="shared" si="43"/>
        <v>10400000</v>
      </c>
      <c r="H137" s="381">
        <f t="shared" si="42"/>
        <v>0.27083333333333331</v>
      </c>
    </row>
    <row r="138" spans="1:8" ht="66" customHeight="1">
      <c r="A138" s="403">
        <f>A136+1</f>
        <v>106</v>
      </c>
      <c r="B138" s="440">
        <v>2020003630113</v>
      </c>
      <c r="C138" s="441" t="s">
        <v>1386</v>
      </c>
      <c r="D138" s="443">
        <f>'SGTO POAI 2023 MARZO'!BF195</f>
        <v>23400000</v>
      </c>
      <c r="E138" s="401">
        <f>'SGTO POAI 2023 MARZO'!BG195</f>
        <v>10400000</v>
      </c>
      <c r="F138" s="381">
        <f t="shared" si="41"/>
        <v>0.44444444444444442</v>
      </c>
      <c r="G138" s="402">
        <f>'SGTO POAI 2023 MARZO'!BH195</f>
        <v>7200000</v>
      </c>
      <c r="H138" s="381">
        <f t="shared" si="42"/>
        <v>0.30769230769230771</v>
      </c>
    </row>
    <row r="139" spans="1:8" ht="66" customHeight="1">
      <c r="A139" s="403">
        <f t="shared" si="40"/>
        <v>107</v>
      </c>
      <c r="B139" s="440">
        <v>2020003630114</v>
      </c>
      <c r="C139" s="441" t="s">
        <v>904</v>
      </c>
      <c r="D139" s="443">
        <f>'SGTO POAI 2023 MARZO'!BF196</f>
        <v>15000000</v>
      </c>
      <c r="E139" s="401">
        <f>'SGTO POAI 2023 MARZO'!BG196</f>
        <v>7800000</v>
      </c>
      <c r="F139" s="381">
        <f t="shared" si="41"/>
        <v>0.52</v>
      </c>
      <c r="G139" s="402">
        <f>'SGTO POAI 2023 MARZO'!BH196</f>
        <v>3200000</v>
      </c>
      <c r="H139" s="381">
        <f t="shared" si="42"/>
        <v>0.21333333333333335</v>
      </c>
    </row>
    <row r="140" spans="1:8" ht="25.5" customHeight="1">
      <c r="A140" s="428">
        <v>4</v>
      </c>
      <c r="B140" s="545" t="s">
        <v>1462</v>
      </c>
      <c r="C140" s="545"/>
      <c r="D140" s="429">
        <f>SUM(D141:D145)</f>
        <v>374572972</v>
      </c>
      <c r="E140" s="429">
        <f t="shared" ref="E140:G140" si="44">SUM(E141:E145)</f>
        <v>133132972</v>
      </c>
      <c r="F140" s="381">
        <f t="shared" si="41"/>
        <v>0.35542599694032384</v>
      </c>
      <c r="G140" s="430">
        <f t="shared" si="44"/>
        <v>54210000</v>
      </c>
      <c r="H140" s="381">
        <f t="shared" si="42"/>
        <v>0.14472480411640593</v>
      </c>
    </row>
    <row r="141" spans="1:8" ht="66" customHeight="1">
      <c r="A141" s="403">
        <f>A139+1</f>
        <v>108</v>
      </c>
      <c r="B141" s="440">
        <v>2020003630115</v>
      </c>
      <c r="C141" s="441" t="s">
        <v>1387</v>
      </c>
      <c r="D141" s="443">
        <f>'SGTO POAI 2023 MARZO'!BF197</f>
        <v>15000000</v>
      </c>
      <c r="E141" s="401">
        <f>'SGTO POAI 2023 MARZO'!BG197</f>
        <v>0</v>
      </c>
      <c r="F141" s="381">
        <f t="shared" si="41"/>
        <v>0</v>
      </c>
      <c r="G141" s="402">
        <f>'SGTO POAI 2023 MARZO'!BH197</f>
        <v>0</v>
      </c>
      <c r="H141" s="381">
        <f t="shared" si="42"/>
        <v>0</v>
      </c>
    </row>
    <row r="142" spans="1:8" ht="66" customHeight="1">
      <c r="A142" s="403">
        <f t="shared" si="40"/>
        <v>109</v>
      </c>
      <c r="B142" s="440">
        <v>2021003630008</v>
      </c>
      <c r="C142" s="442" t="s">
        <v>1388</v>
      </c>
      <c r="D142" s="443">
        <f>'SGTO POAI 2023 MARZO'!BF198</f>
        <v>104000000</v>
      </c>
      <c r="E142" s="401">
        <f>'SGTO POAI 2023 MARZO'!BG198</f>
        <v>53106757</v>
      </c>
      <c r="F142" s="381">
        <f t="shared" si="41"/>
        <v>0.51064189423076922</v>
      </c>
      <c r="G142" s="402">
        <f>'SGTO POAI 2023 MARZO'!BH198</f>
        <v>5656757</v>
      </c>
      <c r="H142" s="381">
        <f t="shared" si="42"/>
        <v>5.4391894230769233E-2</v>
      </c>
    </row>
    <row r="143" spans="1:8" ht="66" customHeight="1">
      <c r="A143" s="403">
        <f t="shared" si="40"/>
        <v>110</v>
      </c>
      <c r="B143" s="440">
        <v>2021003630007</v>
      </c>
      <c r="C143" s="442" t="s">
        <v>1389</v>
      </c>
      <c r="D143" s="443">
        <f>'SGTO POAI 2023 MARZO'!BF199</f>
        <v>101400000</v>
      </c>
      <c r="E143" s="401">
        <f>'SGTO POAI 2023 MARZO'!BG199</f>
        <v>39500000</v>
      </c>
      <c r="F143" s="381">
        <f t="shared" si="41"/>
        <v>0.38954635108481261</v>
      </c>
      <c r="G143" s="402">
        <f>'SGTO POAI 2023 MARZO'!BH199</f>
        <v>16100000</v>
      </c>
      <c r="H143" s="381">
        <f t="shared" si="42"/>
        <v>0.15877712031558186</v>
      </c>
    </row>
    <row r="144" spans="1:8" ht="66" customHeight="1">
      <c r="A144" s="403">
        <f t="shared" si="40"/>
        <v>111</v>
      </c>
      <c r="B144" s="440">
        <v>2020003630111</v>
      </c>
      <c r="C144" s="442" t="s">
        <v>1390</v>
      </c>
      <c r="D144" s="443">
        <f>'SGTO POAI 2023 MARZO'!BF200</f>
        <v>39172972</v>
      </c>
      <c r="E144" s="401">
        <f>'SGTO POAI 2023 MARZO'!BG200</f>
        <v>23766215</v>
      </c>
      <c r="F144" s="381">
        <f t="shared" si="41"/>
        <v>0.60669930787993309</v>
      </c>
      <c r="G144" s="402">
        <f>'SGTO POAI 2023 MARZO'!BH200</f>
        <v>15693243</v>
      </c>
      <c r="H144" s="381">
        <f t="shared" si="42"/>
        <v>0.40061405093287278</v>
      </c>
    </row>
    <row r="145" spans="1:8" ht="66" customHeight="1" thickBot="1">
      <c r="A145" s="425">
        <f t="shared" si="40"/>
        <v>112</v>
      </c>
      <c r="B145" s="444">
        <v>2020003630112</v>
      </c>
      <c r="C145" s="445" t="s">
        <v>930</v>
      </c>
      <c r="D145" s="446">
        <f>'SGTO POAI 2023 MARZO'!BF201</f>
        <v>115000000</v>
      </c>
      <c r="E145" s="413">
        <f>'SGTO POAI 2023 MARZO'!BG201</f>
        <v>16760000</v>
      </c>
      <c r="F145" s="414">
        <f t="shared" si="41"/>
        <v>0.14573913043478262</v>
      </c>
      <c r="G145" s="402">
        <f>'SGTO POAI 2023 MARZO'!BH201</f>
        <v>16760000</v>
      </c>
      <c r="H145" s="414">
        <f t="shared" si="42"/>
        <v>0.14573913043478262</v>
      </c>
    </row>
    <row r="146" spans="1:8" ht="30" customHeight="1" thickBot="1">
      <c r="A146" s="551" t="s">
        <v>1391</v>
      </c>
      <c r="B146" s="552"/>
      <c r="C146" s="553"/>
      <c r="D146" s="417">
        <f>SUM(D148:D170)</f>
        <v>53313292857.790001</v>
      </c>
      <c r="E146" s="417">
        <f t="shared" ref="E146:G146" si="45">SUM(E148:E170)</f>
        <v>39176601827.099998</v>
      </c>
      <c r="F146" s="390">
        <f t="shared" si="41"/>
        <v>0.73483740596554836</v>
      </c>
      <c r="G146" s="423">
        <f t="shared" si="45"/>
        <v>8534465634.1400003</v>
      </c>
      <c r="H146" s="390">
        <f t="shared" si="42"/>
        <v>0.16008138264701027</v>
      </c>
    </row>
    <row r="147" spans="1:8" ht="24" customHeight="1">
      <c r="A147" s="419">
        <v>1</v>
      </c>
      <c r="B147" s="546" t="s">
        <v>148</v>
      </c>
      <c r="C147" s="547"/>
      <c r="D147" s="393">
        <f>SUM(D148:D170)</f>
        <v>53313292857.790001</v>
      </c>
      <c r="E147" s="394">
        <f t="shared" ref="E147:G147" si="46">SUM(E148:E170)</f>
        <v>39176601827.099998</v>
      </c>
      <c r="F147" s="395">
        <f t="shared" si="41"/>
        <v>0.73483740596554836</v>
      </c>
      <c r="G147" s="396">
        <f t="shared" si="46"/>
        <v>8534465634.1400003</v>
      </c>
      <c r="H147" s="395">
        <f t="shared" si="42"/>
        <v>0.16008138264701027</v>
      </c>
    </row>
    <row r="148" spans="1:8" ht="66" customHeight="1">
      <c r="A148" s="397">
        <f>A145+1</f>
        <v>113</v>
      </c>
      <c r="B148" s="437">
        <v>2020003630116</v>
      </c>
      <c r="C148" s="447" t="s">
        <v>940</v>
      </c>
      <c r="D148" s="443">
        <f>SUM('SGTO POAI 2023 MARZO'!BF202:BF209)</f>
        <v>1701455776.6500001</v>
      </c>
      <c r="E148" s="401">
        <f>SUM('SGTO POAI 2023 MARZO'!BG202:BG209)</f>
        <v>318112018</v>
      </c>
      <c r="F148" s="381">
        <f t="shared" si="41"/>
        <v>0.18696461134378198</v>
      </c>
      <c r="G148" s="402">
        <f>SUM('SGTO POAI 2023 MARZO'!BH202:BH209)</f>
        <v>90437629</v>
      </c>
      <c r="H148" s="381">
        <f t="shared" si="42"/>
        <v>5.315308822076048E-2</v>
      </c>
    </row>
    <row r="149" spans="1:8" ht="66" customHeight="1">
      <c r="A149" s="403">
        <f>A148+1</f>
        <v>114</v>
      </c>
      <c r="B149" s="440">
        <v>2020003630117</v>
      </c>
      <c r="C149" s="441" t="s">
        <v>967</v>
      </c>
      <c r="D149" s="443">
        <f>'SGTO POAI 2023 MARZO'!BF210+'SGTO POAI 2023 MARZO'!BF253</f>
        <v>210000000</v>
      </c>
      <c r="E149" s="401">
        <f>'SGTO POAI 2023 MARZO'!BG210+'SGTO POAI 2023 MARZO'!BG253</f>
        <v>94462665</v>
      </c>
      <c r="F149" s="381">
        <f t="shared" si="41"/>
        <v>0.44982221428571428</v>
      </c>
      <c r="G149" s="402">
        <f>'SGTO POAI 2023 MARZO'!BH210+'SGTO POAI 2023 MARZO'!BH253</f>
        <v>31300000</v>
      </c>
      <c r="H149" s="381">
        <f t="shared" si="42"/>
        <v>0.14904761904761904</v>
      </c>
    </row>
    <row r="150" spans="1:8" ht="66" customHeight="1">
      <c r="A150" s="403">
        <f t="shared" ref="A150:A170" si="47">A149+1</f>
        <v>115</v>
      </c>
      <c r="B150" s="440">
        <v>2020003630118</v>
      </c>
      <c r="C150" s="441" t="s">
        <v>972</v>
      </c>
      <c r="D150" s="443">
        <f>'SGTO POAI 2023 MARZO'!BF211+'SGTO POAI 2023 MARZO'!BF212+'SGTO POAI 2023 MARZO'!BF213</f>
        <v>1219356161</v>
      </c>
      <c r="E150" s="401">
        <f>'SGTO POAI 2023 MARZO'!BG211+'SGTO POAI 2023 MARZO'!BG212+'SGTO POAI 2023 MARZO'!BG213</f>
        <v>441207372</v>
      </c>
      <c r="F150" s="381">
        <f t="shared" si="41"/>
        <v>0.36183634126895597</v>
      </c>
      <c r="G150" s="402">
        <f>'SGTO POAI 2023 MARZO'!BH211+'SGTO POAI 2023 MARZO'!BH212+'SGTO POAI 2023 MARZO'!BH213</f>
        <v>64850000</v>
      </c>
      <c r="H150" s="381">
        <f t="shared" si="42"/>
        <v>5.3183804760387809E-2</v>
      </c>
    </row>
    <row r="151" spans="1:8" ht="66" customHeight="1">
      <c r="A151" s="403">
        <f t="shared" si="47"/>
        <v>116</v>
      </c>
      <c r="B151" s="440">
        <v>2020003630119</v>
      </c>
      <c r="C151" s="441" t="s">
        <v>980</v>
      </c>
      <c r="D151" s="443">
        <f>'SGTO POAI 2023 MARZO'!BF214</f>
        <v>135772557</v>
      </c>
      <c r="E151" s="401">
        <f>'SGTO POAI 2023 MARZO'!BG214</f>
        <v>41441266</v>
      </c>
      <c r="F151" s="381">
        <f t="shared" si="41"/>
        <v>0.30522564291103393</v>
      </c>
      <c r="G151" s="402">
        <f>'SGTO POAI 2023 MARZO'!BH214</f>
        <v>14186000</v>
      </c>
      <c r="H151" s="381">
        <f t="shared" si="42"/>
        <v>0.10448355922176526</v>
      </c>
    </row>
    <row r="152" spans="1:8" ht="66" customHeight="1">
      <c r="A152" s="403">
        <f t="shared" si="47"/>
        <v>117</v>
      </c>
      <c r="B152" s="440">
        <v>2020003630120</v>
      </c>
      <c r="C152" s="441" t="s">
        <v>985</v>
      </c>
      <c r="D152" s="443">
        <f>SUM('SGTO POAI 2023 MARZO'!BF215:BF218)</f>
        <v>141585478</v>
      </c>
      <c r="E152" s="401">
        <f>SUM('SGTO POAI 2023 MARZO'!BG215:BG218)</f>
        <v>52200000</v>
      </c>
      <c r="F152" s="381">
        <f t="shared" si="41"/>
        <v>0.36868187851864298</v>
      </c>
      <c r="G152" s="402">
        <f>SUM('SGTO POAI 2023 MARZO'!BH215:BH218)</f>
        <v>29300000</v>
      </c>
      <c r="H152" s="381">
        <f t="shared" si="42"/>
        <v>0.20694212721448735</v>
      </c>
    </row>
    <row r="153" spans="1:8" ht="66" customHeight="1">
      <c r="A153" s="403">
        <f t="shared" si="47"/>
        <v>118</v>
      </c>
      <c r="B153" s="440">
        <v>2020003630121</v>
      </c>
      <c r="C153" s="441" t="s">
        <v>1392</v>
      </c>
      <c r="D153" s="443">
        <f>SUM('SGTO POAI 2023 MARZO'!BF219:BF222)</f>
        <v>159135000</v>
      </c>
      <c r="E153" s="401">
        <f>SUM('SGTO POAI 2023 MARZO'!BG219:BG222)</f>
        <v>76573333</v>
      </c>
      <c r="F153" s="381">
        <f t="shared" si="41"/>
        <v>0.48118473623024477</v>
      </c>
      <c r="G153" s="402">
        <f>SUM('SGTO POAI 2023 MARZO'!BH219:BH222)</f>
        <v>40400000</v>
      </c>
      <c r="H153" s="381">
        <f t="shared" si="42"/>
        <v>0.25387249819335783</v>
      </c>
    </row>
    <row r="154" spans="1:8" ht="66" customHeight="1">
      <c r="A154" s="403">
        <f t="shared" si="47"/>
        <v>119</v>
      </c>
      <c r="B154" s="440">
        <v>2020003630122</v>
      </c>
      <c r="C154" s="441" t="s">
        <v>1393</v>
      </c>
      <c r="D154" s="443">
        <f>SUM('SGTO POAI 2023 MARZO'!BF223:BF224)</f>
        <v>150891929</v>
      </c>
      <c r="E154" s="401">
        <f>SUM('SGTO POAI 2023 MARZO'!BG223:BG224)</f>
        <v>72808331</v>
      </c>
      <c r="F154" s="381">
        <f t="shared" si="41"/>
        <v>0.48251971780412456</v>
      </c>
      <c r="G154" s="402">
        <f>SUM('SGTO POAI 2023 MARZO'!BH223:BH224)</f>
        <v>19450000</v>
      </c>
      <c r="H154" s="381">
        <f t="shared" si="42"/>
        <v>0.12890020114992368</v>
      </c>
    </row>
    <row r="155" spans="1:8" ht="66" customHeight="1">
      <c r="A155" s="403">
        <f t="shared" si="47"/>
        <v>120</v>
      </c>
      <c r="B155" s="440">
        <v>2020003630123</v>
      </c>
      <c r="C155" s="441" t="s">
        <v>1013</v>
      </c>
      <c r="D155" s="443">
        <f>SUM('SGTO POAI 2023 MARZO'!BF225:BF231)</f>
        <v>285000000</v>
      </c>
      <c r="E155" s="401">
        <f>SUM('SGTO POAI 2023 MARZO'!BG225:BG231)</f>
        <v>62346666</v>
      </c>
      <c r="F155" s="381">
        <f t="shared" si="41"/>
        <v>0.21876023157894736</v>
      </c>
      <c r="G155" s="402">
        <f>SUM('SGTO POAI 2023 MARZO'!BH225:BH231)</f>
        <v>16800000</v>
      </c>
      <c r="H155" s="381">
        <f t="shared" si="42"/>
        <v>5.894736842105263E-2</v>
      </c>
    </row>
    <row r="156" spans="1:8" ht="66" customHeight="1">
      <c r="A156" s="403">
        <f t="shared" si="47"/>
        <v>121</v>
      </c>
      <c r="B156" s="440">
        <v>2020003630124</v>
      </c>
      <c r="C156" s="441" t="s">
        <v>1035</v>
      </c>
      <c r="D156" s="443">
        <f>SUM('SGTO POAI 2023 MARZO'!BF232:BF233)</f>
        <v>200000000</v>
      </c>
      <c r="E156" s="401">
        <f>SUM('SGTO POAI 2023 MARZO'!BG232:BG233)</f>
        <v>87279997</v>
      </c>
      <c r="F156" s="381">
        <f t="shared" si="41"/>
        <v>0.43639998499999999</v>
      </c>
      <c r="G156" s="402">
        <f>SUM('SGTO POAI 2023 MARZO'!BH232:BH233)</f>
        <v>19200000</v>
      </c>
      <c r="H156" s="381">
        <f t="shared" si="42"/>
        <v>9.6000000000000002E-2</v>
      </c>
    </row>
    <row r="157" spans="1:8" ht="66" customHeight="1">
      <c r="A157" s="403">
        <f t="shared" si="47"/>
        <v>122</v>
      </c>
      <c r="B157" s="440">
        <v>2020003630125</v>
      </c>
      <c r="C157" s="441" t="s">
        <v>1042</v>
      </c>
      <c r="D157" s="443">
        <f>'SGTO POAI 2023 MARZO'!BF234+'SGTO POAI 2023 MARZO'!BF235+'SGTO POAI 2023 MARZO'!BF254</f>
        <v>207413133</v>
      </c>
      <c r="E157" s="401">
        <f>'SGTO POAI 2023 MARZO'!BG234+'SGTO POAI 2023 MARZO'!BG235+'SGTO POAI 2023 MARZO'!BG254</f>
        <v>74653000</v>
      </c>
      <c r="F157" s="381">
        <f t="shared" si="41"/>
        <v>0.35992417124329346</v>
      </c>
      <c r="G157" s="402">
        <f>'SGTO POAI 2023 MARZO'!BH234+'SGTO POAI 2023 MARZO'!BH235+'SGTO POAI 2023 MARZO'!BH254</f>
        <v>31300000</v>
      </c>
      <c r="H157" s="381">
        <f t="shared" si="42"/>
        <v>0.15090654842960211</v>
      </c>
    </row>
    <row r="158" spans="1:8" ht="66" customHeight="1">
      <c r="A158" s="403">
        <f t="shared" si="47"/>
        <v>123</v>
      </c>
      <c r="B158" s="440">
        <v>2020003630126</v>
      </c>
      <c r="C158" s="441" t="s">
        <v>1044</v>
      </c>
      <c r="D158" s="443">
        <f>'SGTO POAI 2023 MARZO'!BF236+'SGTO POAI 2023 MARZO'!BF255</f>
        <v>150000000</v>
      </c>
      <c r="E158" s="401">
        <f>'SGTO POAI 2023 MARZO'!BG236+'SGTO POAI 2023 MARZO'!BG255</f>
        <v>75236666</v>
      </c>
      <c r="F158" s="381">
        <f t="shared" si="41"/>
        <v>0.50157777333333331</v>
      </c>
      <c r="G158" s="402">
        <f>'SGTO POAI 2023 MARZO'!BH236+'SGTO POAI 2023 MARZO'!BH255</f>
        <v>27500000</v>
      </c>
      <c r="H158" s="381">
        <f t="shared" si="42"/>
        <v>0.18333333333333332</v>
      </c>
    </row>
    <row r="159" spans="1:8" ht="66" customHeight="1">
      <c r="A159" s="403">
        <f t="shared" si="47"/>
        <v>124</v>
      </c>
      <c r="B159" s="440">
        <v>2020003630127</v>
      </c>
      <c r="C159" s="441" t="s">
        <v>1048</v>
      </c>
      <c r="D159" s="443">
        <f>SUM('SGTO POAI 2023 MARZO'!BF237:BF239)</f>
        <v>255000000</v>
      </c>
      <c r="E159" s="401">
        <f>SUM('SGTO POAI 2023 MARZO'!BG237:BG239)</f>
        <v>54010000</v>
      </c>
      <c r="F159" s="381">
        <f t="shared" si="41"/>
        <v>0.21180392156862746</v>
      </c>
      <c r="G159" s="402">
        <f>SUM('SGTO POAI 2023 MARZO'!BH237:BH239)</f>
        <v>15900000</v>
      </c>
      <c r="H159" s="381">
        <f t="shared" si="42"/>
        <v>6.235294117647059E-2</v>
      </c>
    </row>
    <row r="160" spans="1:8" ht="66" customHeight="1">
      <c r="A160" s="403">
        <f t="shared" si="47"/>
        <v>125</v>
      </c>
      <c r="B160" s="440">
        <v>2020003630128</v>
      </c>
      <c r="C160" s="441" t="s">
        <v>1057</v>
      </c>
      <c r="D160" s="443">
        <f>'SGTO POAI 2023 MARZO'!BF240+'SGTO POAI 2023 MARZO'!BF256</f>
        <v>506380734</v>
      </c>
      <c r="E160" s="401">
        <f>'SGTO POAI 2023 MARZO'!BG240+'SGTO POAI 2023 MARZO'!BG256</f>
        <v>118768840</v>
      </c>
      <c r="F160" s="381">
        <f t="shared" si="41"/>
        <v>0.23454454726549687</v>
      </c>
      <c r="G160" s="402">
        <f>'SGTO POAI 2023 MARZO'!BH240+'SGTO POAI 2023 MARZO'!BH256</f>
        <v>100652174</v>
      </c>
      <c r="H160" s="381">
        <f t="shared" si="42"/>
        <v>0.19876777934446455</v>
      </c>
    </row>
    <row r="161" spans="1:8" ht="66" customHeight="1">
      <c r="A161" s="403">
        <f t="shared" si="47"/>
        <v>126</v>
      </c>
      <c r="B161" s="440">
        <v>2020003630129</v>
      </c>
      <c r="C161" s="441" t="s">
        <v>1394</v>
      </c>
      <c r="D161" s="443">
        <f>'SGTO POAI 2023 MARZO'!BF241+'SGTO POAI 2023 MARZO'!BF257</f>
        <v>318995934.28999996</v>
      </c>
      <c r="E161" s="401">
        <f>'SGTO POAI 2023 MARZO'!BG241+'SGTO POAI 2023 MARZO'!BG257</f>
        <v>43356667</v>
      </c>
      <c r="F161" s="381">
        <f t="shared" si="41"/>
        <v>0.13591604888789696</v>
      </c>
      <c r="G161" s="402">
        <f>'SGTO POAI 2023 MARZO'!BH241+'SGTO POAI 2023 MARZO'!BH257</f>
        <v>11700000</v>
      </c>
      <c r="H161" s="381">
        <f t="shared" si="42"/>
        <v>3.6677583449585605E-2</v>
      </c>
    </row>
    <row r="162" spans="1:8" ht="66" customHeight="1">
      <c r="A162" s="403">
        <f t="shared" si="47"/>
        <v>127</v>
      </c>
      <c r="B162" s="440">
        <v>2020003630130</v>
      </c>
      <c r="C162" s="441" t="s">
        <v>1114</v>
      </c>
      <c r="D162" s="443">
        <f>'SGTO POAI 2023 MARZO'!BF258</f>
        <v>50000000</v>
      </c>
      <c r="E162" s="401">
        <f>'SGTO POAI 2023 MARZO'!BG258</f>
        <v>0</v>
      </c>
      <c r="F162" s="381">
        <f t="shared" si="41"/>
        <v>0</v>
      </c>
      <c r="G162" s="402">
        <f>'SGTO POAI 2023 MARZO'!BH258</f>
        <v>0</v>
      </c>
      <c r="H162" s="381">
        <f t="shared" si="42"/>
        <v>0</v>
      </c>
    </row>
    <row r="163" spans="1:8" ht="66" customHeight="1">
      <c r="A163" s="403">
        <f t="shared" si="47"/>
        <v>128</v>
      </c>
      <c r="B163" s="440">
        <v>2020003630131</v>
      </c>
      <c r="C163" s="441" t="s">
        <v>1119</v>
      </c>
      <c r="D163" s="443">
        <f>'SGTO POAI 2023 MARZO'!BF259</f>
        <v>37500000</v>
      </c>
      <c r="E163" s="401">
        <f>'SGTO POAI 2023 MARZO'!BG259</f>
        <v>8533333</v>
      </c>
      <c r="F163" s="381">
        <f t="shared" si="41"/>
        <v>0.22755554666666666</v>
      </c>
      <c r="G163" s="402">
        <f>'SGTO POAI 2023 MARZO'!BH259</f>
        <v>0</v>
      </c>
      <c r="H163" s="381">
        <f t="shared" si="42"/>
        <v>0</v>
      </c>
    </row>
    <row r="164" spans="1:8" ht="66" customHeight="1">
      <c r="A164" s="403">
        <f t="shared" si="47"/>
        <v>129</v>
      </c>
      <c r="B164" s="440">
        <v>2020003630132</v>
      </c>
      <c r="C164" s="441" t="s">
        <v>1395</v>
      </c>
      <c r="D164" s="443">
        <f>'SGTO POAI 2023 MARZO'!BF260</f>
        <v>85000000</v>
      </c>
      <c r="E164" s="401">
        <f>'SGTO POAI 2023 MARZO'!BG260</f>
        <v>34386666</v>
      </c>
      <c r="F164" s="381">
        <f t="shared" si="41"/>
        <v>0.40454901176470587</v>
      </c>
      <c r="G164" s="402">
        <f>'SGTO POAI 2023 MARZO'!BH260</f>
        <v>12050000</v>
      </c>
      <c r="H164" s="381">
        <f t="shared" si="42"/>
        <v>0.14176470588235293</v>
      </c>
    </row>
    <row r="165" spans="1:8" ht="66" customHeight="1">
      <c r="A165" s="403">
        <f t="shared" si="47"/>
        <v>130</v>
      </c>
      <c r="B165" s="440">
        <v>2020003630133</v>
      </c>
      <c r="C165" s="441" t="s">
        <v>1396</v>
      </c>
      <c r="D165" s="443">
        <f>'SGTO POAI 2023 MARZO'!BF242</f>
        <v>600000000</v>
      </c>
      <c r="E165" s="401">
        <f>'SGTO POAI 2023 MARZO'!BG242</f>
        <v>143369997</v>
      </c>
      <c r="F165" s="381">
        <f t="shared" si="41"/>
        <v>0.238949995</v>
      </c>
      <c r="G165" s="402">
        <f>'SGTO POAI 2023 MARZO'!BH242</f>
        <v>51400000</v>
      </c>
      <c r="H165" s="381">
        <f t="shared" si="42"/>
        <v>8.5666666666666669E-2</v>
      </c>
    </row>
    <row r="166" spans="1:8" ht="66" customHeight="1">
      <c r="A166" s="403">
        <f t="shared" si="47"/>
        <v>131</v>
      </c>
      <c r="B166" s="440">
        <v>2020003630134</v>
      </c>
      <c r="C166" s="441" t="s">
        <v>1069</v>
      </c>
      <c r="D166" s="443">
        <f>'SGTO POAI 2023 MARZO'!BF243</f>
        <v>300000000</v>
      </c>
      <c r="E166" s="401">
        <f>'SGTO POAI 2023 MARZO'!BG243</f>
        <v>90588000</v>
      </c>
      <c r="F166" s="381">
        <f t="shared" si="41"/>
        <v>0.30196000000000001</v>
      </c>
      <c r="G166" s="402">
        <f>'SGTO POAI 2023 MARZO'!BH243</f>
        <v>37828000</v>
      </c>
      <c r="H166" s="381">
        <f t="shared" si="42"/>
        <v>0.12609333333333334</v>
      </c>
    </row>
    <row r="167" spans="1:8" ht="66" customHeight="1">
      <c r="A167" s="403">
        <f t="shared" si="47"/>
        <v>132</v>
      </c>
      <c r="B167" s="440">
        <v>2020003630135</v>
      </c>
      <c r="C167" s="441" t="s">
        <v>1397</v>
      </c>
      <c r="D167" s="443">
        <f>'SGTO POAI 2023 MARZO'!BF244</f>
        <v>1830478796</v>
      </c>
      <c r="E167" s="401">
        <f>'SGTO POAI 2023 MARZO'!BG244</f>
        <v>90619997</v>
      </c>
      <c r="F167" s="381">
        <f t="shared" si="41"/>
        <v>4.950617138970672E-2</v>
      </c>
      <c r="G167" s="402">
        <f>'SGTO POAI 2023 MARZO'!BH244</f>
        <v>23450000</v>
      </c>
      <c r="H167" s="381">
        <f t="shared" si="42"/>
        <v>1.2810855854349924E-2</v>
      </c>
    </row>
    <row r="168" spans="1:8" ht="66" customHeight="1">
      <c r="A168" s="403">
        <f t="shared" si="47"/>
        <v>133</v>
      </c>
      <c r="B168" s="440">
        <v>2020003630136</v>
      </c>
      <c r="C168" s="441" t="s">
        <v>1080</v>
      </c>
      <c r="D168" s="443">
        <f>'SGTO POAI 2023 MARZO'!BF245</f>
        <v>35074003113.879997</v>
      </c>
      <c r="E168" s="401">
        <f>'SGTO POAI 2023 MARZO'!BG245</f>
        <v>35074003113</v>
      </c>
      <c r="F168" s="381">
        <f t="shared" si="41"/>
        <v>0.99999999997491029</v>
      </c>
      <c r="G168" s="402">
        <f>'SGTO POAI 2023 MARZO'!BH245</f>
        <v>7878161831.1400003</v>
      </c>
      <c r="H168" s="381">
        <f t="shared" si="42"/>
        <v>0.2246154168818654</v>
      </c>
    </row>
    <row r="169" spans="1:8" ht="66" customHeight="1">
      <c r="A169" s="403">
        <f t="shared" si="47"/>
        <v>134</v>
      </c>
      <c r="B169" s="440">
        <v>2020003630137</v>
      </c>
      <c r="C169" s="441" t="s">
        <v>1085</v>
      </c>
      <c r="D169" s="443">
        <f>SUM('SGTO POAI 2023 MARZO'!BF246:BF248)</f>
        <v>9464934244.9700012</v>
      </c>
      <c r="E169" s="401">
        <f>SUM('SGTO POAI 2023 MARZO'!BG246:BG248)</f>
        <v>2075063901.0999999</v>
      </c>
      <c r="F169" s="381">
        <f t="shared" si="41"/>
        <v>0.21923701183690333</v>
      </c>
      <c r="G169" s="402">
        <f>SUM('SGTO POAI 2023 MARZO'!BH246:BH248)</f>
        <v>0</v>
      </c>
      <c r="H169" s="381">
        <f t="shared" si="42"/>
        <v>0</v>
      </c>
    </row>
    <row r="170" spans="1:8" ht="66" customHeight="1" thickBot="1">
      <c r="A170" s="425">
        <f t="shared" si="47"/>
        <v>135</v>
      </c>
      <c r="B170" s="444">
        <v>2020003630138</v>
      </c>
      <c r="C170" s="448" t="s">
        <v>1096</v>
      </c>
      <c r="D170" s="446">
        <f>SUM('SGTO POAI 2023 MARZO'!BF249:BF252)</f>
        <v>230390000</v>
      </c>
      <c r="E170" s="413">
        <f>SUM('SGTO POAI 2023 MARZO'!BG249:BG252)</f>
        <v>47579999</v>
      </c>
      <c r="F170" s="414">
        <f t="shared" si="41"/>
        <v>0.20651937584096533</v>
      </c>
      <c r="G170" s="402">
        <f>SUM('SGTO POAI 2023 MARZO'!BH249:BH252)</f>
        <v>18600000</v>
      </c>
      <c r="H170" s="414">
        <f t="shared" si="42"/>
        <v>8.0732670688831984E-2</v>
      </c>
    </row>
    <row r="171" spans="1:8" ht="30" customHeight="1" thickBot="1">
      <c r="A171" s="551" t="s">
        <v>1398</v>
      </c>
      <c r="B171" s="552"/>
      <c r="C171" s="553"/>
      <c r="D171" s="417">
        <f>D172+D176+D179</f>
        <v>1266894018</v>
      </c>
      <c r="E171" s="417">
        <f t="shared" ref="E171:G171" si="48">E172+E176+E179</f>
        <v>579300000</v>
      </c>
      <c r="F171" s="390">
        <f t="shared" si="41"/>
        <v>0.45726003262255516</v>
      </c>
      <c r="G171" s="423">
        <f t="shared" si="48"/>
        <v>242300000</v>
      </c>
      <c r="H171" s="390">
        <f t="shared" si="42"/>
        <v>0.19125514570075111</v>
      </c>
    </row>
    <row r="172" spans="1:8" ht="30" customHeight="1">
      <c r="A172" s="419">
        <v>1</v>
      </c>
      <c r="B172" s="546" t="s">
        <v>148</v>
      </c>
      <c r="C172" s="547"/>
      <c r="D172" s="393">
        <f>SUM(D173:D175)</f>
        <v>824774500</v>
      </c>
      <c r="E172" s="394">
        <f t="shared" ref="E172:G172" si="49">SUM(E173:E175)</f>
        <v>452103654</v>
      </c>
      <c r="F172" s="395">
        <f t="shared" si="41"/>
        <v>0.54815425792140759</v>
      </c>
      <c r="G172" s="396">
        <f t="shared" si="49"/>
        <v>196000000</v>
      </c>
      <c r="H172" s="395">
        <f t="shared" si="42"/>
        <v>0.23764071270389664</v>
      </c>
    </row>
    <row r="173" spans="1:8" ht="66" customHeight="1">
      <c r="A173" s="397">
        <f>A170+1</f>
        <v>136</v>
      </c>
      <c r="B173" s="437">
        <v>2020003630038</v>
      </c>
      <c r="C173" s="447" t="s">
        <v>1399</v>
      </c>
      <c r="D173" s="443">
        <f>SUM('SGTO POAI 2023 MARZO'!BF261:BF264)</f>
        <v>240085000</v>
      </c>
      <c r="E173" s="401">
        <f>SUM('SGTO POAI 2023 MARZO'!BG261:BG264)</f>
        <v>61800000</v>
      </c>
      <c r="F173" s="381">
        <f t="shared" si="41"/>
        <v>0.25740883437116019</v>
      </c>
      <c r="G173" s="402">
        <f>SUM('SGTO POAI 2023 MARZO'!BH261:BH264)</f>
        <v>14800000</v>
      </c>
      <c r="H173" s="381">
        <f t="shared" si="42"/>
        <v>6.1644834121248722E-2</v>
      </c>
    </row>
    <row r="174" spans="1:8" ht="66" customHeight="1">
      <c r="A174" s="403">
        <f>A173+1</f>
        <v>137</v>
      </c>
      <c r="B174" s="440">
        <v>2020003630139</v>
      </c>
      <c r="C174" s="441" t="s">
        <v>1400</v>
      </c>
      <c r="D174" s="443">
        <f>SUM('SGTO POAI 2023 MARZO'!BF265:BF269)</f>
        <v>375289500</v>
      </c>
      <c r="E174" s="401">
        <f>SUM('SGTO POAI 2023 MARZO'!BG265:BG269)</f>
        <v>253803655</v>
      </c>
      <c r="F174" s="381">
        <f t="shared" si="41"/>
        <v>0.67628765259886037</v>
      </c>
      <c r="G174" s="402">
        <f>SUM('SGTO POAI 2023 MARZO'!BH265:BH269)</f>
        <v>120950000</v>
      </c>
      <c r="H174" s="381">
        <f t="shared" si="42"/>
        <v>0.32228452967642313</v>
      </c>
    </row>
    <row r="175" spans="1:8" ht="66" customHeight="1">
      <c r="A175" s="403">
        <f t="shared" ref="A175:A178" si="50">A174+1</f>
        <v>138</v>
      </c>
      <c r="B175" s="440">
        <v>2020003630039</v>
      </c>
      <c r="C175" s="441" t="s">
        <v>1401</v>
      </c>
      <c r="D175" s="443">
        <f>SUM('SGTO POAI 2023 MARZO'!BF270:BF273)</f>
        <v>209400000</v>
      </c>
      <c r="E175" s="401">
        <f>SUM('SGTO POAI 2023 MARZO'!BG270:BG273)</f>
        <v>136499999</v>
      </c>
      <c r="F175" s="381">
        <f t="shared" si="41"/>
        <v>0.65186245940783194</v>
      </c>
      <c r="G175" s="402">
        <f>SUM('SGTO POAI 2023 MARZO'!BH270:BH273)</f>
        <v>60250000</v>
      </c>
      <c r="H175" s="381">
        <f t="shared" si="42"/>
        <v>0.28772683858643744</v>
      </c>
    </row>
    <row r="176" spans="1:8" ht="30" customHeight="1">
      <c r="A176" s="428">
        <v>2</v>
      </c>
      <c r="B176" s="545" t="s">
        <v>199</v>
      </c>
      <c r="C176" s="545"/>
      <c r="D176" s="429">
        <f>SUM(D177:D178)</f>
        <v>75119518</v>
      </c>
      <c r="E176" s="429">
        <f t="shared" ref="E176:G176" si="51">SUM(E177:E178)</f>
        <v>32646346</v>
      </c>
      <c r="F176" s="381">
        <f t="shared" si="41"/>
        <v>0.4345920590172051</v>
      </c>
      <c r="G176" s="430">
        <f t="shared" si="51"/>
        <v>3900000</v>
      </c>
      <c r="H176" s="381">
        <f t="shared" si="42"/>
        <v>5.1917266029316109E-2</v>
      </c>
    </row>
    <row r="177" spans="1:8" ht="66" customHeight="1">
      <c r="A177" s="403">
        <f>A175+1</f>
        <v>139</v>
      </c>
      <c r="B177" s="440">
        <v>2020003630140</v>
      </c>
      <c r="C177" s="441" t="s">
        <v>1402</v>
      </c>
      <c r="D177" s="443">
        <f>SUM('SGTO POAI 2023 MARZO'!BF274:BF276)</f>
        <v>46719518</v>
      </c>
      <c r="E177" s="401">
        <f>SUM('SGTO POAI 2023 MARZO'!BG274:BG276)</f>
        <v>22746346</v>
      </c>
      <c r="F177" s="381">
        <f t="shared" si="41"/>
        <v>0.48687030546847682</v>
      </c>
      <c r="G177" s="402">
        <f>SUM('SGTO POAI 2023 MARZO'!BH274:BH276)</f>
        <v>3900000</v>
      </c>
      <c r="H177" s="381">
        <f t="shared" si="42"/>
        <v>8.3476888610023753E-2</v>
      </c>
    </row>
    <row r="178" spans="1:8" ht="66" customHeight="1">
      <c r="A178" s="403">
        <f t="shared" si="50"/>
        <v>140</v>
      </c>
      <c r="B178" s="440">
        <v>2020003630040</v>
      </c>
      <c r="C178" s="441" t="s">
        <v>1403</v>
      </c>
      <c r="D178" s="443">
        <f>'SGTO POAI 2023 MARZO'!BF277</f>
        <v>28400000</v>
      </c>
      <c r="E178" s="401">
        <f>'SGTO POAI 2023 MARZO'!BG277</f>
        <v>9900000</v>
      </c>
      <c r="F178" s="381">
        <f t="shared" si="41"/>
        <v>0.34859154929577463</v>
      </c>
      <c r="G178" s="402">
        <f>'SGTO POAI 2023 MARZO'!BH277</f>
        <v>0</v>
      </c>
      <c r="H178" s="381">
        <f t="shared" si="42"/>
        <v>0</v>
      </c>
    </row>
    <row r="179" spans="1:8" ht="32.25" customHeight="1">
      <c r="A179" s="428">
        <v>4</v>
      </c>
      <c r="B179" s="545" t="s">
        <v>1462</v>
      </c>
      <c r="C179" s="545"/>
      <c r="D179" s="429">
        <f>D180</f>
        <v>367000000</v>
      </c>
      <c r="E179" s="429">
        <f t="shared" ref="E179:G179" si="52">E180</f>
        <v>94550000</v>
      </c>
      <c r="F179" s="381">
        <f t="shared" si="41"/>
        <v>0.25762942779291553</v>
      </c>
      <c r="G179" s="430">
        <f t="shared" si="52"/>
        <v>42400000</v>
      </c>
      <c r="H179" s="381">
        <f t="shared" si="42"/>
        <v>0.11553133514986376</v>
      </c>
    </row>
    <row r="180" spans="1:8" ht="66" customHeight="1" thickBot="1">
      <c r="A180" s="425">
        <f>A178+1</f>
        <v>141</v>
      </c>
      <c r="B180" s="444">
        <v>2020003630141</v>
      </c>
      <c r="C180" s="448" t="s">
        <v>1404</v>
      </c>
      <c r="D180" s="446">
        <f>SUM('SGTO POAI 2023 MARZO'!BF278:BF283)</f>
        <v>367000000</v>
      </c>
      <c r="E180" s="413">
        <f>SUM('SGTO POAI 2023 MARZO'!BG278:BG283)</f>
        <v>94550000</v>
      </c>
      <c r="F180" s="414">
        <f t="shared" si="41"/>
        <v>0.25762942779291553</v>
      </c>
      <c r="G180" s="402">
        <f>SUM('SGTO POAI 2023 MARZO'!BH278:BH283)</f>
        <v>42400000</v>
      </c>
      <c r="H180" s="414">
        <f t="shared" si="42"/>
        <v>0.11553133514986376</v>
      </c>
    </row>
    <row r="181" spans="1:8" ht="30" customHeight="1" thickBot="1">
      <c r="A181" s="548" t="s">
        <v>1405</v>
      </c>
      <c r="B181" s="549"/>
      <c r="C181" s="550"/>
      <c r="D181" s="417">
        <f>D182</f>
        <v>9310061302.6199989</v>
      </c>
      <c r="E181" s="417">
        <f t="shared" ref="E181:G181" si="53">E182</f>
        <v>2357978628</v>
      </c>
      <c r="F181" s="390">
        <f t="shared" si="41"/>
        <v>0.2532720839696756</v>
      </c>
      <c r="G181" s="423">
        <f t="shared" si="53"/>
        <v>436643218</v>
      </c>
      <c r="H181" s="390">
        <f t="shared" si="42"/>
        <v>4.6900144242564938E-2</v>
      </c>
    </row>
    <row r="182" spans="1:8" ht="30" customHeight="1">
      <c r="A182" s="419">
        <v>1</v>
      </c>
      <c r="B182" s="546" t="s">
        <v>148</v>
      </c>
      <c r="C182" s="547"/>
      <c r="D182" s="393">
        <f>SUM(D183:D185)</f>
        <v>9310061302.6199989</v>
      </c>
      <c r="E182" s="394">
        <f t="shared" ref="E182:G182" si="54">SUM(E183:E185)</f>
        <v>2357978628</v>
      </c>
      <c r="F182" s="395">
        <f t="shared" si="41"/>
        <v>0.2532720839696756</v>
      </c>
      <c r="G182" s="396">
        <f t="shared" si="54"/>
        <v>436643218</v>
      </c>
      <c r="H182" s="395">
        <f t="shared" si="42"/>
        <v>4.6900144242564938E-2</v>
      </c>
    </row>
    <row r="183" spans="1:8" ht="66" customHeight="1">
      <c r="A183" s="409">
        <f>A180+1</f>
        <v>142</v>
      </c>
      <c r="B183" s="437">
        <v>2020003630009</v>
      </c>
      <c r="C183" s="447" t="s">
        <v>1201</v>
      </c>
      <c r="D183" s="443">
        <f>SUM('SGTO POAI 2023 MARZO'!BF284:BF287)</f>
        <v>3201224324.0799999</v>
      </c>
      <c r="E183" s="401">
        <f>SUM('SGTO POAI 2023 MARZO'!BG284:BG287)</f>
        <v>536975000</v>
      </c>
      <c r="F183" s="381">
        <f t="shared" si="41"/>
        <v>0.16774050976709395</v>
      </c>
      <c r="G183" s="402">
        <f>SUM('SGTO POAI 2023 MARZO'!BH284:BH287)</f>
        <v>168200000</v>
      </c>
      <c r="H183" s="381">
        <f t="shared" si="42"/>
        <v>5.25423972118352E-2</v>
      </c>
    </row>
    <row r="184" spans="1:8" ht="66" customHeight="1">
      <c r="A184" s="403">
        <f>A183+1</f>
        <v>143</v>
      </c>
      <c r="B184" s="440">
        <v>2020003630010</v>
      </c>
      <c r="C184" s="441" t="s">
        <v>1216</v>
      </c>
      <c r="D184" s="443">
        <f>'SGTO POAI 2023 MARZO'!BF288</f>
        <v>3746819146.5399995</v>
      </c>
      <c r="E184" s="401">
        <f>'SGTO POAI 2023 MARZO'!BG288</f>
        <v>1007003628</v>
      </c>
      <c r="F184" s="381">
        <f t="shared" si="41"/>
        <v>0.26876227237439992</v>
      </c>
      <c r="G184" s="402">
        <f>'SGTO POAI 2023 MARZO'!BH288</f>
        <v>265643218</v>
      </c>
      <c r="H184" s="381">
        <f t="shared" si="42"/>
        <v>7.0898329385689254E-2</v>
      </c>
    </row>
    <row r="185" spans="1:8" ht="66" customHeight="1" thickBot="1">
      <c r="A185" s="449">
        <f>A184+1</f>
        <v>144</v>
      </c>
      <c r="B185" s="444">
        <v>2020003630013</v>
      </c>
      <c r="C185" s="448" t="s">
        <v>1221</v>
      </c>
      <c r="D185" s="446">
        <f>'SGTO POAI 2023 MARZO'!BF289</f>
        <v>2362017832</v>
      </c>
      <c r="E185" s="446">
        <f>'SGTO POAI 2023 MARZO'!BG289</f>
        <v>814000000</v>
      </c>
      <c r="F185" s="414">
        <f t="shared" si="41"/>
        <v>0.34462059895236219</v>
      </c>
      <c r="G185" s="402">
        <f>'SGTO POAI 2023 MARZO'!BH289</f>
        <v>2800000</v>
      </c>
      <c r="H185" s="414">
        <f t="shared" si="42"/>
        <v>1.1854271217034572E-3</v>
      </c>
    </row>
    <row r="186" spans="1:8" ht="30" customHeight="1" thickBot="1">
      <c r="A186" s="551" t="s">
        <v>1308</v>
      </c>
      <c r="B186" s="552"/>
      <c r="C186" s="553"/>
      <c r="D186" s="417">
        <f>D187+D190+D194</f>
        <v>4454923248</v>
      </c>
      <c r="E186" s="417">
        <f t="shared" ref="E186:G186" si="55">E187+E190+E194</f>
        <v>778829000</v>
      </c>
      <c r="F186" s="390">
        <f t="shared" si="41"/>
        <v>0.17482433627776836</v>
      </c>
      <c r="G186" s="423">
        <f t="shared" si="55"/>
        <v>198298500</v>
      </c>
      <c r="H186" s="390">
        <f t="shared" si="42"/>
        <v>4.4512214680471639E-2</v>
      </c>
    </row>
    <row r="187" spans="1:8" ht="30" customHeight="1">
      <c r="A187" s="419">
        <v>1</v>
      </c>
      <c r="B187" s="546" t="s">
        <v>148</v>
      </c>
      <c r="C187" s="547"/>
      <c r="D187" s="393">
        <f>SUM(D188:D189)</f>
        <v>2508923248</v>
      </c>
      <c r="E187" s="394">
        <f t="shared" ref="E187:G187" si="56">SUM(E188:E189)</f>
        <v>478409000</v>
      </c>
      <c r="F187" s="395">
        <f t="shared" si="41"/>
        <v>0.19068299533728902</v>
      </c>
      <c r="G187" s="396">
        <f t="shared" si="56"/>
        <v>124080750</v>
      </c>
      <c r="H187" s="395">
        <f t="shared" si="42"/>
        <v>4.9455777532816741E-2</v>
      </c>
    </row>
    <row r="188" spans="1:8" ht="66" customHeight="1">
      <c r="A188" s="409">
        <f>A185+1</f>
        <v>145</v>
      </c>
      <c r="B188" s="450">
        <v>2020003630142</v>
      </c>
      <c r="C188" s="447" t="s">
        <v>1226</v>
      </c>
      <c r="D188" s="443">
        <f>'SGTO POAI 2023 MARZO'!BF290</f>
        <v>1370000000</v>
      </c>
      <c r="E188" s="401">
        <f>'SGTO POAI 2023 MARZO'!BG290</f>
        <v>228365000</v>
      </c>
      <c r="F188" s="381">
        <f t="shared" si="41"/>
        <v>0.1666897810218978</v>
      </c>
      <c r="G188" s="402">
        <f>'SGTO POAI 2023 MARZO'!BH290</f>
        <v>62293958</v>
      </c>
      <c r="H188" s="381">
        <f t="shared" si="42"/>
        <v>4.5470042335766424E-2</v>
      </c>
    </row>
    <row r="189" spans="1:8" ht="66" customHeight="1">
      <c r="A189" s="403">
        <f>A188+1</f>
        <v>146</v>
      </c>
      <c r="B189" s="406">
        <v>2020003630143</v>
      </c>
      <c r="C189" s="451" t="s">
        <v>1228</v>
      </c>
      <c r="D189" s="443">
        <f>'SGTO POAI 2023 MARZO'!BF291</f>
        <v>1138923248</v>
      </c>
      <c r="E189" s="401">
        <f>'SGTO POAI 2023 MARZO'!BG291</f>
        <v>250044000</v>
      </c>
      <c r="F189" s="381">
        <f t="shared" si="41"/>
        <v>0.21954420584450129</v>
      </c>
      <c r="G189" s="402">
        <f>'SGTO POAI 2023 MARZO'!BH291</f>
        <v>61786792</v>
      </c>
      <c r="H189" s="381">
        <f t="shared" si="42"/>
        <v>5.4250180693475494E-2</v>
      </c>
    </row>
    <row r="190" spans="1:8" ht="28.5" customHeight="1">
      <c r="A190" s="428">
        <v>3</v>
      </c>
      <c r="B190" s="545" t="s">
        <v>211</v>
      </c>
      <c r="C190" s="545"/>
      <c r="D190" s="429">
        <f>SUM(D191:D193)</f>
        <v>1560000000</v>
      </c>
      <c r="E190" s="429">
        <f>SUM(E191:E193)</f>
        <v>237405000</v>
      </c>
      <c r="F190" s="381">
        <f t="shared" si="41"/>
        <v>0.1521826923076923</v>
      </c>
      <c r="G190" s="430">
        <f>SUM(G191:G193)</f>
        <v>56025750</v>
      </c>
      <c r="H190" s="381">
        <f t="shared" si="42"/>
        <v>3.5913942307692306E-2</v>
      </c>
    </row>
    <row r="191" spans="1:8" ht="45.75" customHeight="1">
      <c r="A191" s="403">
        <f>A189+1</f>
        <v>147</v>
      </c>
      <c r="B191" s="406">
        <v>2020003630144</v>
      </c>
      <c r="C191" s="451" t="s">
        <v>1406</v>
      </c>
      <c r="D191" s="443">
        <f>'SGTO POAI 2023 MARZO'!BF292</f>
        <v>520000000</v>
      </c>
      <c r="E191" s="401">
        <f>'SGTO POAI 2023 MARZO'!BG292</f>
        <v>88475000</v>
      </c>
      <c r="F191" s="381">
        <f t="shared" si="41"/>
        <v>0.17014423076923077</v>
      </c>
      <c r="G191" s="402">
        <f>'SGTO POAI 2023 MARZO'!BH292</f>
        <v>23837000</v>
      </c>
      <c r="H191" s="381">
        <f t="shared" si="42"/>
        <v>4.5840384615384616E-2</v>
      </c>
    </row>
    <row r="192" spans="1:8" ht="66" customHeight="1">
      <c r="A192" s="452">
        <f>A191+1</f>
        <v>148</v>
      </c>
      <c r="B192" s="450">
        <v>2020003630145</v>
      </c>
      <c r="C192" s="448" t="s">
        <v>1407</v>
      </c>
      <c r="D192" s="446">
        <f>'SGTO POAI 2023 MARZO'!BF293+'SGTO POAI 2023 MARZO'!BF294+'SGTO POAI 2023 MARZO'!BF295+'SGTO POAI 2023 MARZO'!BF296+'SGTO POAI 2023 MARZO'!BF297+'SGTO POAI 2023 MARZO'!BF298+'SGTO POAI 2023 MARZO'!BF299</f>
        <v>910000000</v>
      </c>
      <c r="E192" s="446">
        <f>'SGTO POAI 2023 MARZO'!BG293+'SGTO POAI 2023 MARZO'!BG294+'SGTO POAI 2023 MARZO'!BG295+'SGTO POAI 2023 MARZO'!BG296+'SGTO POAI 2023 MARZO'!BG297+'SGTO POAI 2023 MARZO'!BG298+'SGTO POAI 2023 MARZO'!BG299</f>
        <v>148930000</v>
      </c>
      <c r="F192" s="381">
        <f t="shared" si="41"/>
        <v>0.16365934065934065</v>
      </c>
      <c r="G192" s="402">
        <f>'SGTO POAI 2023 MARZO'!BH293+'SGTO POAI 2023 MARZO'!BH294+'SGTO POAI 2023 MARZO'!BH295+'SGTO POAI 2023 MARZO'!BH296+'SGTO POAI 2023 MARZO'!BH297+'SGTO POAI 2023 MARZO'!BH298+'SGTO POAI 2023 MARZO'!BH299</f>
        <v>32188750</v>
      </c>
      <c r="H192" s="381">
        <f t="shared" si="42"/>
        <v>3.5372252747252746E-2</v>
      </c>
    </row>
    <row r="193" spans="1:11" ht="66" customHeight="1">
      <c r="A193" s="452">
        <f>A192+1</f>
        <v>149</v>
      </c>
      <c r="B193" s="406">
        <v>2023003630001</v>
      </c>
      <c r="C193" s="407" t="s">
        <v>1519</v>
      </c>
      <c r="D193" s="401">
        <f>'SGTO POAI 2023 MARZO'!BF300</f>
        <v>130000000</v>
      </c>
      <c r="E193" s="401">
        <f>'SGTO POAI 2023 MARZO'!BG300</f>
        <v>0</v>
      </c>
      <c r="F193" s="381"/>
      <c r="G193" s="415">
        <f>'SGTO POAI 2023 MARZO'!BH300</f>
        <v>0</v>
      </c>
      <c r="H193" s="381"/>
    </row>
    <row r="194" spans="1:11" ht="28.5" customHeight="1">
      <c r="A194" s="428">
        <v>4</v>
      </c>
      <c r="B194" s="545" t="s">
        <v>1462</v>
      </c>
      <c r="C194" s="545"/>
      <c r="D194" s="429">
        <f>SUM(D195:D195)</f>
        <v>386000000</v>
      </c>
      <c r="E194" s="429">
        <f t="shared" ref="E194:G194" si="57">SUM(E195:E195)</f>
        <v>63015000</v>
      </c>
      <c r="F194" s="381">
        <f t="shared" si="41"/>
        <v>0.16325129533678756</v>
      </c>
      <c r="G194" s="430">
        <f t="shared" si="57"/>
        <v>18192000</v>
      </c>
      <c r="H194" s="381">
        <f t="shared" si="42"/>
        <v>4.7129533678756476E-2</v>
      </c>
    </row>
    <row r="195" spans="1:11" ht="66" customHeight="1" thickBot="1">
      <c r="A195" s="425">
        <f>A193+1</f>
        <v>150</v>
      </c>
      <c r="B195" s="421">
        <v>2022003630006</v>
      </c>
      <c r="C195" s="453" t="s">
        <v>1255</v>
      </c>
      <c r="D195" s="446">
        <f>'SGTO POAI 2023 MARZO'!BF301</f>
        <v>386000000</v>
      </c>
      <c r="E195" s="413">
        <f>'SGTO POAI 2023 MARZO'!BG301</f>
        <v>63015000</v>
      </c>
      <c r="F195" s="414">
        <f t="shared" si="41"/>
        <v>0.16325129533678756</v>
      </c>
      <c r="G195" s="415">
        <f>'SGTO POAI 2023 MARZO'!BH301</f>
        <v>18192000</v>
      </c>
      <c r="H195" s="414">
        <f t="shared" si="42"/>
        <v>4.7129533678756476E-2</v>
      </c>
    </row>
    <row r="196" spans="1:11" ht="30" customHeight="1" thickBot="1">
      <c r="A196" s="551" t="s">
        <v>1408</v>
      </c>
      <c r="B196" s="552"/>
      <c r="C196" s="553"/>
      <c r="D196" s="417">
        <f>SUM(D198)</f>
        <v>118932650</v>
      </c>
      <c r="E196" s="417">
        <f t="shared" ref="E196:G196" si="58">SUM(E198)</f>
        <v>61000000</v>
      </c>
      <c r="F196" s="390">
        <f t="shared" si="41"/>
        <v>0.51289532352974565</v>
      </c>
      <c r="G196" s="418">
        <f t="shared" si="58"/>
        <v>25750000</v>
      </c>
      <c r="H196" s="390">
        <f t="shared" si="42"/>
        <v>0.21650909149001557</v>
      </c>
    </row>
    <row r="197" spans="1:11" ht="30" customHeight="1">
      <c r="A197" s="392">
        <v>3</v>
      </c>
      <c r="B197" s="555" t="s">
        <v>211</v>
      </c>
      <c r="C197" s="555"/>
      <c r="D197" s="394">
        <f>D198</f>
        <v>118932650</v>
      </c>
      <c r="E197" s="394">
        <f t="shared" ref="E197:G197" si="59">E198</f>
        <v>61000000</v>
      </c>
      <c r="F197" s="395">
        <f t="shared" ref="F197:F198" si="60">E197/D197</f>
        <v>0.51289532352974565</v>
      </c>
      <c r="G197" s="396">
        <f t="shared" si="59"/>
        <v>25750000</v>
      </c>
      <c r="H197" s="395">
        <f t="shared" ref="H197:H199" si="61">G197/D197</f>
        <v>0.21650909149001557</v>
      </c>
    </row>
    <row r="198" spans="1:11" ht="66" customHeight="1" thickBot="1">
      <c r="A198" s="449">
        <f>A195+1</f>
        <v>151</v>
      </c>
      <c r="B198" s="450">
        <v>2020003630149</v>
      </c>
      <c r="C198" s="454" t="s">
        <v>1264</v>
      </c>
      <c r="D198" s="455">
        <f>SUM('SGTO POAI 2023 MARZO'!BF302:BF305)</f>
        <v>118932650</v>
      </c>
      <c r="E198" s="456">
        <f>SUM('SGTO POAI 2023 MARZO'!BG302:BG305)</f>
        <v>61000000</v>
      </c>
      <c r="F198" s="414">
        <f t="shared" si="60"/>
        <v>0.51289532352974565</v>
      </c>
      <c r="G198" s="415">
        <f>SUM('SGTO POAI 2023 MARZO'!BH302:BH305)</f>
        <v>25750000</v>
      </c>
      <c r="H198" s="414">
        <f t="shared" si="61"/>
        <v>0.21650909149001557</v>
      </c>
    </row>
    <row r="199" spans="1:11" ht="30" customHeight="1" thickBot="1">
      <c r="A199" s="558" t="s">
        <v>1409</v>
      </c>
      <c r="B199" s="559"/>
      <c r="C199" s="560"/>
      <c r="D199" s="457">
        <f>SUM(D3,D9,D18,D22,D47,D63,D69,D77,D99,D105,D117,D146,D171,D181,D186,D196)</f>
        <v>419927151314.08997</v>
      </c>
      <c r="E199" s="458">
        <f t="shared" ref="E199:G199" si="62">SUM(E3,E9,E18,E22,E47,E63,E69,E77,E99,E105,E117,E146,E171,E181,E186,E196)</f>
        <v>120183438781.91</v>
      </c>
      <c r="F199" s="382">
        <f>E199/D199</f>
        <v>0.28620068601379206</v>
      </c>
      <c r="G199" s="459">
        <f t="shared" si="62"/>
        <v>54042430962.400002</v>
      </c>
      <c r="H199" s="390">
        <f t="shared" si="61"/>
        <v>0.12869477668515475</v>
      </c>
    </row>
    <row r="201" spans="1:11">
      <c r="C201" s="461"/>
      <c r="D201" s="462"/>
      <c r="E201" s="462"/>
      <c r="F201" s="462"/>
      <c r="G201" s="462"/>
    </row>
    <row r="202" spans="1:11">
      <c r="C202" s="461"/>
      <c r="D202" s="462"/>
      <c r="E202" s="462"/>
      <c r="F202" s="462"/>
      <c r="G202" s="462"/>
    </row>
    <row r="203" spans="1:11">
      <c r="C203" s="461"/>
      <c r="D203" s="462"/>
      <c r="E203" s="462"/>
      <c r="F203" s="462"/>
      <c r="G203" s="462"/>
    </row>
    <row r="204" spans="1:11">
      <c r="C204" s="461"/>
      <c r="D204" s="462"/>
      <c r="E204" s="462"/>
      <c r="F204" s="462"/>
      <c r="G204" s="462"/>
    </row>
    <row r="205" spans="1:11" ht="15.75">
      <c r="B205" s="463"/>
      <c r="C205" s="464" t="s">
        <v>1410</v>
      </c>
      <c r="D205" s="465"/>
      <c r="E205" s="465"/>
      <c r="F205" s="465"/>
      <c r="G205" s="465"/>
    </row>
    <row r="206" spans="1:11" ht="12.75" customHeight="1">
      <c r="B206" s="554" t="s">
        <v>1411</v>
      </c>
      <c r="C206" s="554"/>
      <c r="D206" s="554"/>
      <c r="K206" s="466"/>
    </row>
    <row r="207" spans="1:11" ht="15.75">
      <c r="D207" s="467"/>
      <c r="E207" s="467"/>
      <c r="F207" s="467"/>
      <c r="G207" s="467"/>
    </row>
    <row r="208" spans="1:11" ht="12.75" customHeight="1">
      <c r="B208" s="554"/>
      <c r="C208" s="554"/>
      <c r="D208" s="554"/>
    </row>
    <row r="209" spans="2:5" ht="22.5" customHeight="1">
      <c r="B209" s="561"/>
      <c r="C209" s="557"/>
      <c r="D209" s="557"/>
    </row>
    <row r="210" spans="2:5" ht="24.75" customHeight="1">
      <c r="B210" s="561"/>
      <c r="C210" s="557"/>
      <c r="D210" s="557"/>
    </row>
    <row r="211" spans="2:5" ht="21.75" customHeight="1">
      <c r="B211" s="556"/>
      <c r="C211" s="557"/>
      <c r="D211" s="557"/>
    </row>
    <row r="212" spans="2:5" ht="15.75" thickBot="1"/>
    <row r="213" spans="2:5" ht="15.75">
      <c r="D213" s="518" t="s">
        <v>1508</v>
      </c>
      <c r="E213" s="519"/>
    </row>
    <row r="214" spans="2:5">
      <c r="D214" s="520" t="s">
        <v>1500</v>
      </c>
      <c r="E214" s="521"/>
    </row>
    <row r="215" spans="2:5">
      <c r="D215" s="522" t="s">
        <v>1502</v>
      </c>
      <c r="E215" s="523"/>
    </row>
    <row r="216" spans="2:5">
      <c r="D216" s="503" t="s">
        <v>1504</v>
      </c>
      <c r="E216" s="504"/>
    </row>
    <row r="217" spans="2:5">
      <c r="D217" s="505" t="s">
        <v>1506</v>
      </c>
      <c r="E217" s="506"/>
    </row>
    <row r="218" spans="2:5">
      <c r="D218" s="507" t="s">
        <v>1507</v>
      </c>
      <c r="E218" s="508"/>
    </row>
  </sheetData>
  <mergeCells count="58">
    <mergeCell ref="A1:H1"/>
    <mergeCell ref="D214:E214"/>
    <mergeCell ref="D215:E215"/>
    <mergeCell ref="D216:E216"/>
    <mergeCell ref="D217:E217"/>
    <mergeCell ref="A186:C186"/>
    <mergeCell ref="A105:C105"/>
    <mergeCell ref="A117:C117"/>
    <mergeCell ref="A146:C146"/>
    <mergeCell ref="A171:C171"/>
    <mergeCell ref="A181:C181"/>
    <mergeCell ref="B137:C137"/>
    <mergeCell ref="B140:C140"/>
    <mergeCell ref="B147:C147"/>
    <mergeCell ref="B172:C172"/>
    <mergeCell ref="B176:C176"/>
    <mergeCell ref="D218:E218"/>
    <mergeCell ref="B190:C190"/>
    <mergeCell ref="B194:C194"/>
    <mergeCell ref="B197:C197"/>
    <mergeCell ref="B211:D211"/>
    <mergeCell ref="D213:E213"/>
    <mergeCell ref="A196:C196"/>
    <mergeCell ref="A199:C199"/>
    <mergeCell ref="B209:D209"/>
    <mergeCell ref="B210:D210"/>
    <mergeCell ref="B179:C179"/>
    <mergeCell ref="B182:C182"/>
    <mergeCell ref="B187:C187"/>
    <mergeCell ref="B206:D206"/>
    <mergeCell ref="B208:D208"/>
    <mergeCell ref="A3:C3"/>
    <mergeCell ref="A9:C9"/>
    <mergeCell ref="A18:C18"/>
    <mergeCell ref="A22:C22"/>
    <mergeCell ref="B4:C4"/>
    <mergeCell ref="B10:C10"/>
    <mergeCell ref="B19:C19"/>
    <mergeCell ref="B23:C23"/>
    <mergeCell ref="B31:C31"/>
    <mergeCell ref="B34:C34"/>
    <mergeCell ref="B43:C43"/>
    <mergeCell ref="A47:C47"/>
    <mergeCell ref="B100:C100"/>
    <mergeCell ref="B115:C115"/>
    <mergeCell ref="B106:C106"/>
    <mergeCell ref="B118:C118"/>
    <mergeCell ref="B48:C48"/>
    <mergeCell ref="B57:C57"/>
    <mergeCell ref="B60:C60"/>
    <mergeCell ref="B64:C64"/>
    <mergeCell ref="B70:C70"/>
    <mergeCell ref="A63:C63"/>
    <mergeCell ref="A69:C69"/>
    <mergeCell ref="A77:C77"/>
    <mergeCell ref="A99:C99"/>
    <mergeCell ref="B78:C78"/>
    <mergeCell ref="B91:C91"/>
  </mergeCells>
  <conditionalFormatting sqref="F3:F199">
    <cfRule type="cellIs" dxfId="59" priority="11" operator="between">
      <formula>0</formula>
      <formula>0.3999</formula>
    </cfRule>
    <cfRule type="cellIs" dxfId="58" priority="12" operator="between">
      <formula>0.3955</formula>
      <formula>0.5949</formula>
    </cfRule>
    <cfRule type="cellIs" dxfId="57" priority="13" operator="between">
      <formula>0.595</formula>
      <formula>0.6949</formula>
    </cfRule>
    <cfRule type="cellIs" dxfId="56" priority="14" operator="between">
      <formula>0.695</formula>
      <formula>0.7949</formula>
    </cfRule>
    <cfRule type="cellIs" dxfId="55" priority="15" operator="between">
      <formula>0.795</formula>
      <formula>1</formula>
    </cfRule>
  </conditionalFormatting>
  <conditionalFormatting sqref="H3">
    <cfRule type="cellIs" dxfId="54" priority="6" operator="between">
      <formula>0</formula>
      <formula>0.3999</formula>
    </cfRule>
    <cfRule type="cellIs" dxfId="53" priority="7" operator="between">
      <formula>0.3955</formula>
      <formula>0.5949</formula>
    </cfRule>
    <cfRule type="cellIs" dxfId="52" priority="8" operator="between">
      <formula>0.595</formula>
      <formula>0.6949</formula>
    </cfRule>
    <cfRule type="cellIs" dxfId="51" priority="9" operator="between">
      <formula>0.695</formula>
      <formula>0.7949</formula>
    </cfRule>
    <cfRule type="cellIs" dxfId="50" priority="10" operator="between">
      <formula>0.795</formula>
      <formula>1</formula>
    </cfRule>
  </conditionalFormatting>
  <conditionalFormatting sqref="H4:H199">
    <cfRule type="cellIs" dxfId="49" priority="1" operator="between">
      <formula>0</formula>
      <formula>0.3999</formula>
    </cfRule>
    <cfRule type="cellIs" dxfId="48" priority="2" operator="between">
      <formula>0.3955</formula>
      <formula>0.5949</formula>
    </cfRule>
    <cfRule type="cellIs" dxfId="47" priority="3" operator="between">
      <formula>0.595</formula>
      <formula>0.6949</formula>
    </cfRule>
    <cfRule type="cellIs" dxfId="46" priority="4" operator="between">
      <formula>0.695</formula>
      <formula>0.7949</formula>
    </cfRule>
    <cfRule type="cellIs" dxfId="45" priority="5" operator="between">
      <formula>0.795</formula>
      <formula>1</formula>
    </cfRule>
  </conditionalFormatting>
  <pageMargins left="0.7" right="0.7" top="0.75" bottom="0.75" header="0.3" footer="0.3"/>
  <pageSetup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78"/>
  <sheetViews>
    <sheetView showGridLines="0" topLeftCell="L2" zoomScaleNormal="100" workbookViewId="0">
      <selection activeCell="M25" sqref="M25"/>
    </sheetView>
  </sheetViews>
  <sheetFormatPr baseColWidth="10" defaultRowHeight="12.75"/>
  <cols>
    <col min="1" max="1" width="32.140625" style="196" customWidth="1"/>
    <col min="2" max="2" width="21.85546875" style="193" customWidth="1"/>
    <col min="3" max="3" width="10.140625" style="193" customWidth="1"/>
    <col min="4" max="4" width="22.140625" style="193" customWidth="1"/>
    <col min="5" max="5" width="14" style="193" customWidth="1"/>
    <col min="6" max="6" width="21.28515625" style="193" customWidth="1"/>
    <col min="7" max="7" width="12.5703125" style="193" customWidth="1"/>
    <col min="8" max="8" width="21.42578125" style="193" customWidth="1"/>
    <col min="9" max="9" width="15.7109375" style="193" customWidth="1"/>
    <col min="10" max="10" width="22.85546875" style="193" customWidth="1"/>
    <col min="11" max="11" width="11.7109375" style="193" customWidth="1"/>
    <col min="12" max="12" width="23.140625" style="193" customWidth="1"/>
    <col min="13" max="13" width="13.5703125" style="168" customWidth="1"/>
    <col min="14" max="255" width="11.42578125" style="168"/>
    <col min="256" max="256" width="13.28515625" style="168" customWidth="1"/>
    <col min="257" max="257" width="32.140625" style="168" customWidth="1"/>
    <col min="258" max="258" width="20.7109375" style="168" customWidth="1"/>
    <col min="259" max="259" width="10.42578125" style="168" customWidth="1"/>
    <col min="260" max="260" width="18.5703125" style="168" customWidth="1"/>
    <col min="261" max="261" width="11.7109375" style="168" customWidth="1"/>
    <col min="262" max="262" width="19.28515625" style="168" customWidth="1"/>
    <col min="263" max="263" width="10.28515625" style="168" customWidth="1"/>
    <col min="264" max="264" width="19.42578125" style="168" customWidth="1"/>
    <col min="265" max="265" width="10.28515625" style="168" customWidth="1"/>
    <col min="266" max="266" width="19.5703125" style="168" customWidth="1"/>
    <col min="267" max="267" width="10.42578125" style="168" customWidth="1"/>
    <col min="268" max="268" width="21.140625" style="168" customWidth="1"/>
    <col min="269" max="269" width="11.7109375" style="168" customWidth="1"/>
    <col min="270" max="511" width="11.42578125" style="168"/>
    <col min="512" max="512" width="13.28515625" style="168" customWidth="1"/>
    <col min="513" max="513" width="32.140625" style="168" customWidth="1"/>
    <col min="514" max="514" width="20.7109375" style="168" customWidth="1"/>
    <col min="515" max="515" width="10.42578125" style="168" customWidth="1"/>
    <col min="516" max="516" width="18.5703125" style="168" customWidth="1"/>
    <col min="517" max="517" width="11.7109375" style="168" customWidth="1"/>
    <col min="518" max="518" width="19.28515625" style="168" customWidth="1"/>
    <col min="519" max="519" width="10.28515625" style="168" customWidth="1"/>
    <col min="520" max="520" width="19.42578125" style="168" customWidth="1"/>
    <col min="521" max="521" width="10.28515625" style="168" customWidth="1"/>
    <col min="522" max="522" width="19.5703125" style="168" customWidth="1"/>
    <col min="523" max="523" width="10.42578125" style="168" customWidth="1"/>
    <col min="524" max="524" width="21.140625" style="168" customWidth="1"/>
    <col min="525" max="525" width="11.7109375" style="168" customWidth="1"/>
    <col min="526" max="767" width="11.42578125" style="168"/>
    <col min="768" max="768" width="13.28515625" style="168" customWidth="1"/>
    <col min="769" max="769" width="32.140625" style="168" customWidth="1"/>
    <col min="770" max="770" width="20.7109375" style="168" customWidth="1"/>
    <col min="771" max="771" width="10.42578125" style="168" customWidth="1"/>
    <col min="772" max="772" width="18.5703125" style="168" customWidth="1"/>
    <col min="773" max="773" width="11.7109375" style="168" customWidth="1"/>
    <col min="774" max="774" width="19.28515625" style="168" customWidth="1"/>
    <col min="775" max="775" width="10.28515625" style="168" customWidth="1"/>
    <col min="776" max="776" width="19.42578125" style="168" customWidth="1"/>
    <col min="777" max="777" width="10.28515625" style="168" customWidth="1"/>
    <col min="778" max="778" width="19.5703125" style="168" customWidth="1"/>
    <col min="779" max="779" width="10.42578125" style="168" customWidth="1"/>
    <col min="780" max="780" width="21.140625" style="168" customWidth="1"/>
    <col min="781" max="781" width="11.7109375" style="168" customWidth="1"/>
    <col min="782" max="1023" width="11.42578125" style="168"/>
    <col min="1024" max="1024" width="13.28515625" style="168" customWidth="1"/>
    <col min="1025" max="1025" width="32.140625" style="168" customWidth="1"/>
    <col min="1026" max="1026" width="20.7109375" style="168" customWidth="1"/>
    <col min="1027" max="1027" width="10.42578125" style="168" customWidth="1"/>
    <col min="1028" max="1028" width="18.5703125" style="168" customWidth="1"/>
    <col min="1029" max="1029" width="11.7109375" style="168" customWidth="1"/>
    <col min="1030" max="1030" width="19.28515625" style="168" customWidth="1"/>
    <col min="1031" max="1031" width="10.28515625" style="168" customWidth="1"/>
    <col min="1032" max="1032" width="19.42578125" style="168" customWidth="1"/>
    <col min="1033" max="1033" width="10.28515625" style="168" customWidth="1"/>
    <col min="1034" max="1034" width="19.5703125" style="168" customWidth="1"/>
    <col min="1035" max="1035" width="10.42578125" style="168" customWidth="1"/>
    <col min="1036" max="1036" width="21.140625" style="168" customWidth="1"/>
    <col min="1037" max="1037" width="11.7109375" style="168" customWidth="1"/>
    <col min="1038" max="1279" width="11.42578125" style="168"/>
    <col min="1280" max="1280" width="13.28515625" style="168" customWidth="1"/>
    <col min="1281" max="1281" width="32.140625" style="168" customWidth="1"/>
    <col min="1282" max="1282" width="20.7109375" style="168" customWidth="1"/>
    <col min="1283" max="1283" width="10.42578125" style="168" customWidth="1"/>
    <col min="1284" max="1284" width="18.5703125" style="168" customWidth="1"/>
    <col min="1285" max="1285" width="11.7109375" style="168" customWidth="1"/>
    <col min="1286" max="1286" width="19.28515625" style="168" customWidth="1"/>
    <col min="1287" max="1287" width="10.28515625" style="168" customWidth="1"/>
    <col min="1288" max="1288" width="19.42578125" style="168" customWidth="1"/>
    <col min="1289" max="1289" width="10.28515625" style="168" customWidth="1"/>
    <col min="1290" max="1290" width="19.5703125" style="168" customWidth="1"/>
    <col min="1291" max="1291" width="10.42578125" style="168" customWidth="1"/>
    <col min="1292" max="1292" width="21.140625" style="168" customWidth="1"/>
    <col min="1293" max="1293" width="11.7109375" style="168" customWidth="1"/>
    <col min="1294" max="1535" width="11.42578125" style="168"/>
    <col min="1536" max="1536" width="13.28515625" style="168" customWidth="1"/>
    <col min="1537" max="1537" width="32.140625" style="168" customWidth="1"/>
    <col min="1538" max="1538" width="20.7109375" style="168" customWidth="1"/>
    <col min="1539" max="1539" width="10.42578125" style="168" customWidth="1"/>
    <col min="1540" max="1540" width="18.5703125" style="168" customWidth="1"/>
    <col min="1541" max="1541" width="11.7109375" style="168" customWidth="1"/>
    <col min="1542" max="1542" width="19.28515625" style="168" customWidth="1"/>
    <col min="1543" max="1543" width="10.28515625" style="168" customWidth="1"/>
    <col min="1544" max="1544" width="19.42578125" style="168" customWidth="1"/>
    <col min="1545" max="1545" width="10.28515625" style="168" customWidth="1"/>
    <col min="1546" max="1546" width="19.5703125" style="168" customWidth="1"/>
    <col min="1547" max="1547" width="10.42578125" style="168" customWidth="1"/>
    <col min="1548" max="1548" width="21.140625" style="168" customWidth="1"/>
    <col min="1549" max="1549" width="11.7109375" style="168" customWidth="1"/>
    <col min="1550" max="1791" width="11.42578125" style="168"/>
    <col min="1792" max="1792" width="13.28515625" style="168" customWidth="1"/>
    <col min="1793" max="1793" width="32.140625" style="168" customWidth="1"/>
    <col min="1794" max="1794" width="20.7109375" style="168" customWidth="1"/>
    <col min="1795" max="1795" width="10.42578125" style="168" customWidth="1"/>
    <col min="1796" max="1796" width="18.5703125" style="168" customWidth="1"/>
    <col min="1797" max="1797" width="11.7109375" style="168" customWidth="1"/>
    <col min="1798" max="1798" width="19.28515625" style="168" customWidth="1"/>
    <col min="1799" max="1799" width="10.28515625" style="168" customWidth="1"/>
    <col min="1800" max="1800" width="19.42578125" style="168" customWidth="1"/>
    <col min="1801" max="1801" width="10.28515625" style="168" customWidth="1"/>
    <col min="1802" max="1802" width="19.5703125" style="168" customWidth="1"/>
    <col min="1803" max="1803" width="10.42578125" style="168" customWidth="1"/>
    <col min="1804" max="1804" width="21.140625" style="168" customWidth="1"/>
    <col min="1805" max="1805" width="11.7109375" style="168" customWidth="1"/>
    <col min="1806" max="2047" width="11.42578125" style="168"/>
    <col min="2048" max="2048" width="13.28515625" style="168" customWidth="1"/>
    <col min="2049" max="2049" width="32.140625" style="168" customWidth="1"/>
    <col min="2050" max="2050" width="20.7109375" style="168" customWidth="1"/>
    <col min="2051" max="2051" width="10.42578125" style="168" customWidth="1"/>
    <col min="2052" max="2052" width="18.5703125" style="168" customWidth="1"/>
    <col min="2053" max="2053" width="11.7109375" style="168" customWidth="1"/>
    <col min="2054" max="2054" width="19.28515625" style="168" customWidth="1"/>
    <col min="2055" max="2055" width="10.28515625" style="168" customWidth="1"/>
    <col min="2056" max="2056" width="19.42578125" style="168" customWidth="1"/>
    <col min="2057" max="2057" width="10.28515625" style="168" customWidth="1"/>
    <col min="2058" max="2058" width="19.5703125" style="168" customWidth="1"/>
    <col min="2059" max="2059" width="10.42578125" style="168" customWidth="1"/>
    <col min="2060" max="2060" width="21.140625" style="168" customWidth="1"/>
    <col min="2061" max="2061" width="11.7109375" style="168" customWidth="1"/>
    <col min="2062" max="2303" width="11.42578125" style="168"/>
    <col min="2304" max="2304" width="13.28515625" style="168" customWidth="1"/>
    <col min="2305" max="2305" width="32.140625" style="168" customWidth="1"/>
    <col min="2306" max="2306" width="20.7109375" style="168" customWidth="1"/>
    <col min="2307" max="2307" width="10.42578125" style="168" customWidth="1"/>
    <col min="2308" max="2308" width="18.5703125" style="168" customWidth="1"/>
    <col min="2309" max="2309" width="11.7109375" style="168" customWidth="1"/>
    <col min="2310" max="2310" width="19.28515625" style="168" customWidth="1"/>
    <col min="2311" max="2311" width="10.28515625" style="168" customWidth="1"/>
    <col min="2312" max="2312" width="19.42578125" style="168" customWidth="1"/>
    <col min="2313" max="2313" width="10.28515625" style="168" customWidth="1"/>
    <col min="2314" max="2314" width="19.5703125" style="168" customWidth="1"/>
    <col min="2315" max="2315" width="10.42578125" style="168" customWidth="1"/>
    <col min="2316" max="2316" width="21.140625" style="168" customWidth="1"/>
    <col min="2317" max="2317" width="11.7109375" style="168" customWidth="1"/>
    <col min="2318" max="2559" width="11.42578125" style="168"/>
    <col min="2560" max="2560" width="13.28515625" style="168" customWidth="1"/>
    <col min="2561" max="2561" width="32.140625" style="168" customWidth="1"/>
    <col min="2562" max="2562" width="20.7109375" style="168" customWidth="1"/>
    <col min="2563" max="2563" width="10.42578125" style="168" customWidth="1"/>
    <col min="2564" max="2564" width="18.5703125" style="168" customWidth="1"/>
    <col min="2565" max="2565" width="11.7109375" style="168" customWidth="1"/>
    <col min="2566" max="2566" width="19.28515625" style="168" customWidth="1"/>
    <col min="2567" max="2567" width="10.28515625" style="168" customWidth="1"/>
    <col min="2568" max="2568" width="19.42578125" style="168" customWidth="1"/>
    <col min="2569" max="2569" width="10.28515625" style="168" customWidth="1"/>
    <col min="2570" max="2570" width="19.5703125" style="168" customWidth="1"/>
    <col min="2571" max="2571" width="10.42578125" style="168" customWidth="1"/>
    <col min="2572" max="2572" width="21.140625" style="168" customWidth="1"/>
    <col min="2573" max="2573" width="11.7109375" style="168" customWidth="1"/>
    <col min="2574" max="2815" width="11.42578125" style="168"/>
    <col min="2816" max="2816" width="13.28515625" style="168" customWidth="1"/>
    <col min="2817" max="2817" width="32.140625" style="168" customWidth="1"/>
    <col min="2818" max="2818" width="20.7109375" style="168" customWidth="1"/>
    <col min="2819" max="2819" width="10.42578125" style="168" customWidth="1"/>
    <col min="2820" max="2820" width="18.5703125" style="168" customWidth="1"/>
    <col min="2821" max="2821" width="11.7109375" style="168" customWidth="1"/>
    <col min="2822" max="2822" width="19.28515625" style="168" customWidth="1"/>
    <col min="2823" max="2823" width="10.28515625" style="168" customWidth="1"/>
    <col min="2824" max="2824" width="19.42578125" style="168" customWidth="1"/>
    <col min="2825" max="2825" width="10.28515625" style="168" customWidth="1"/>
    <col min="2826" max="2826" width="19.5703125" style="168" customWidth="1"/>
    <col min="2827" max="2827" width="10.42578125" style="168" customWidth="1"/>
    <col min="2828" max="2828" width="21.140625" style="168" customWidth="1"/>
    <col min="2829" max="2829" width="11.7109375" style="168" customWidth="1"/>
    <col min="2830" max="3071" width="11.42578125" style="168"/>
    <col min="3072" max="3072" width="13.28515625" style="168" customWidth="1"/>
    <col min="3073" max="3073" width="32.140625" style="168" customWidth="1"/>
    <col min="3074" max="3074" width="20.7109375" style="168" customWidth="1"/>
    <col min="3075" max="3075" width="10.42578125" style="168" customWidth="1"/>
    <col min="3076" max="3076" width="18.5703125" style="168" customWidth="1"/>
    <col min="3077" max="3077" width="11.7109375" style="168" customWidth="1"/>
    <col min="3078" max="3078" width="19.28515625" style="168" customWidth="1"/>
    <col min="3079" max="3079" width="10.28515625" style="168" customWidth="1"/>
    <col min="3080" max="3080" width="19.42578125" style="168" customWidth="1"/>
    <col min="3081" max="3081" width="10.28515625" style="168" customWidth="1"/>
    <col min="3082" max="3082" width="19.5703125" style="168" customWidth="1"/>
    <col min="3083" max="3083" width="10.42578125" style="168" customWidth="1"/>
    <col min="3084" max="3084" width="21.140625" style="168" customWidth="1"/>
    <col min="3085" max="3085" width="11.7109375" style="168" customWidth="1"/>
    <col min="3086" max="3327" width="11.42578125" style="168"/>
    <col min="3328" max="3328" width="13.28515625" style="168" customWidth="1"/>
    <col min="3329" max="3329" width="32.140625" style="168" customWidth="1"/>
    <col min="3330" max="3330" width="20.7109375" style="168" customWidth="1"/>
    <col min="3331" max="3331" width="10.42578125" style="168" customWidth="1"/>
    <col min="3332" max="3332" width="18.5703125" style="168" customWidth="1"/>
    <col min="3333" max="3333" width="11.7109375" style="168" customWidth="1"/>
    <col min="3334" max="3334" width="19.28515625" style="168" customWidth="1"/>
    <col min="3335" max="3335" width="10.28515625" style="168" customWidth="1"/>
    <col min="3336" max="3336" width="19.42578125" style="168" customWidth="1"/>
    <col min="3337" max="3337" width="10.28515625" style="168" customWidth="1"/>
    <col min="3338" max="3338" width="19.5703125" style="168" customWidth="1"/>
    <col min="3339" max="3339" width="10.42578125" style="168" customWidth="1"/>
    <col min="3340" max="3340" width="21.140625" style="168" customWidth="1"/>
    <col min="3341" max="3341" width="11.7109375" style="168" customWidth="1"/>
    <col min="3342" max="3583" width="11.42578125" style="168"/>
    <col min="3584" max="3584" width="13.28515625" style="168" customWidth="1"/>
    <col min="3585" max="3585" width="32.140625" style="168" customWidth="1"/>
    <col min="3586" max="3586" width="20.7109375" style="168" customWidth="1"/>
    <col min="3587" max="3587" width="10.42578125" style="168" customWidth="1"/>
    <col min="3588" max="3588" width="18.5703125" style="168" customWidth="1"/>
    <col min="3589" max="3589" width="11.7109375" style="168" customWidth="1"/>
    <col min="3590" max="3590" width="19.28515625" style="168" customWidth="1"/>
    <col min="3591" max="3591" width="10.28515625" style="168" customWidth="1"/>
    <col min="3592" max="3592" width="19.42578125" style="168" customWidth="1"/>
    <col min="3593" max="3593" width="10.28515625" style="168" customWidth="1"/>
    <col min="3594" max="3594" width="19.5703125" style="168" customWidth="1"/>
    <col min="3595" max="3595" width="10.42578125" style="168" customWidth="1"/>
    <col min="3596" max="3596" width="21.140625" style="168" customWidth="1"/>
    <col min="3597" max="3597" width="11.7109375" style="168" customWidth="1"/>
    <col min="3598" max="3839" width="11.42578125" style="168"/>
    <col min="3840" max="3840" width="13.28515625" style="168" customWidth="1"/>
    <col min="3841" max="3841" width="32.140625" style="168" customWidth="1"/>
    <col min="3842" max="3842" width="20.7109375" style="168" customWidth="1"/>
    <col min="3843" max="3843" width="10.42578125" style="168" customWidth="1"/>
    <col min="3844" max="3844" width="18.5703125" style="168" customWidth="1"/>
    <col min="3845" max="3845" width="11.7109375" style="168" customWidth="1"/>
    <col min="3846" max="3846" width="19.28515625" style="168" customWidth="1"/>
    <col min="3847" max="3847" width="10.28515625" style="168" customWidth="1"/>
    <col min="3848" max="3848" width="19.42578125" style="168" customWidth="1"/>
    <col min="3849" max="3849" width="10.28515625" style="168" customWidth="1"/>
    <col min="3850" max="3850" width="19.5703125" style="168" customWidth="1"/>
    <col min="3851" max="3851" width="10.42578125" style="168" customWidth="1"/>
    <col min="3852" max="3852" width="21.140625" style="168" customWidth="1"/>
    <col min="3853" max="3853" width="11.7109375" style="168" customWidth="1"/>
    <col min="3854" max="4095" width="11.42578125" style="168"/>
    <col min="4096" max="4096" width="13.28515625" style="168" customWidth="1"/>
    <col min="4097" max="4097" width="32.140625" style="168" customWidth="1"/>
    <col min="4098" max="4098" width="20.7109375" style="168" customWidth="1"/>
    <col min="4099" max="4099" width="10.42578125" style="168" customWidth="1"/>
    <col min="4100" max="4100" width="18.5703125" style="168" customWidth="1"/>
    <col min="4101" max="4101" width="11.7109375" style="168" customWidth="1"/>
    <col min="4102" max="4102" width="19.28515625" style="168" customWidth="1"/>
    <col min="4103" max="4103" width="10.28515625" style="168" customWidth="1"/>
    <col min="4104" max="4104" width="19.42578125" style="168" customWidth="1"/>
    <col min="4105" max="4105" width="10.28515625" style="168" customWidth="1"/>
    <col min="4106" max="4106" width="19.5703125" style="168" customWidth="1"/>
    <col min="4107" max="4107" width="10.42578125" style="168" customWidth="1"/>
    <col min="4108" max="4108" width="21.140625" style="168" customWidth="1"/>
    <col min="4109" max="4109" width="11.7109375" style="168" customWidth="1"/>
    <col min="4110" max="4351" width="11.42578125" style="168"/>
    <col min="4352" max="4352" width="13.28515625" style="168" customWidth="1"/>
    <col min="4353" max="4353" width="32.140625" style="168" customWidth="1"/>
    <col min="4354" max="4354" width="20.7109375" style="168" customWidth="1"/>
    <col min="4355" max="4355" width="10.42578125" style="168" customWidth="1"/>
    <col min="4356" max="4356" width="18.5703125" style="168" customWidth="1"/>
    <col min="4357" max="4357" width="11.7109375" style="168" customWidth="1"/>
    <col min="4358" max="4358" width="19.28515625" style="168" customWidth="1"/>
    <col min="4359" max="4359" width="10.28515625" style="168" customWidth="1"/>
    <col min="4360" max="4360" width="19.42578125" style="168" customWidth="1"/>
    <col min="4361" max="4361" width="10.28515625" style="168" customWidth="1"/>
    <col min="4362" max="4362" width="19.5703125" style="168" customWidth="1"/>
    <col min="4363" max="4363" width="10.42578125" style="168" customWidth="1"/>
    <col min="4364" max="4364" width="21.140625" style="168" customWidth="1"/>
    <col min="4365" max="4365" width="11.7109375" style="168" customWidth="1"/>
    <col min="4366" max="4607" width="11.42578125" style="168"/>
    <col min="4608" max="4608" width="13.28515625" style="168" customWidth="1"/>
    <col min="4609" max="4609" width="32.140625" style="168" customWidth="1"/>
    <col min="4610" max="4610" width="20.7109375" style="168" customWidth="1"/>
    <col min="4611" max="4611" width="10.42578125" style="168" customWidth="1"/>
    <col min="4612" max="4612" width="18.5703125" style="168" customWidth="1"/>
    <col min="4613" max="4613" width="11.7109375" style="168" customWidth="1"/>
    <col min="4614" max="4614" width="19.28515625" style="168" customWidth="1"/>
    <col min="4615" max="4615" width="10.28515625" style="168" customWidth="1"/>
    <col min="4616" max="4616" width="19.42578125" style="168" customWidth="1"/>
    <col min="4617" max="4617" width="10.28515625" style="168" customWidth="1"/>
    <col min="4618" max="4618" width="19.5703125" style="168" customWidth="1"/>
    <col min="4619" max="4619" width="10.42578125" style="168" customWidth="1"/>
    <col min="4620" max="4620" width="21.140625" style="168" customWidth="1"/>
    <col min="4621" max="4621" width="11.7109375" style="168" customWidth="1"/>
    <col min="4622" max="4863" width="11.42578125" style="168"/>
    <col min="4864" max="4864" width="13.28515625" style="168" customWidth="1"/>
    <col min="4865" max="4865" width="32.140625" style="168" customWidth="1"/>
    <col min="4866" max="4866" width="20.7109375" style="168" customWidth="1"/>
    <col min="4867" max="4867" width="10.42578125" style="168" customWidth="1"/>
    <col min="4868" max="4868" width="18.5703125" style="168" customWidth="1"/>
    <col min="4869" max="4869" width="11.7109375" style="168" customWidth="1"/>
    <col min="4870" max="4870" width="19.28515625" style="168" customWidth="1"/>
    <col min="4871" max="4871" width="10.28515625" style="168" customWidth="1"/>
    <col min="4872" max="4872" width="19.42578125" style="168" customWidth="1"/>
    <col min="4873" max="4873" width="10.28515625" style="168" customWidth="1"/>
    <col min="4874" max="4874" width="19.5703125" style="168" customWidth="1"/>
    <col min="4875" max="4875" width="10.42578125" style="168" customWidth="1"/>
    <col min="4876" max="4876" width="21.140625" style="168" customWidth="1"/>
    <col min="4877" max="4877" width="11.7109375" style="168" customWidth="1"/>
    <col min="4878" max="5119" width="11.42578125" style="168"/>
    <col min="5120" max="5120" width="13.28515625" style="168" customWidth="1"/>
    <col min="5121" max="5121" width="32.140625" style="168" customWidth="1"/>
    <col min="5122" max="5122" width="20.7109375" style="168" customWidth="1"/>
    <col min="5123" max="5123" width="10.42578125" style="168" customWidth="1"/>
    <col min="5124" max="5124" width="18.5703125" style="168" customWidth="1"/>
    <col min="5125" max="5125" width="11.7109375" style="168" customWidth="1"/>
    <col min="5126" max="5126" width="19.28515625" style="168" customWidth="1"/>
    <col min="5127" max="5127" width="10.28515625" style="168" customWidth="1"/>
    <col min="5128" max="5128" width="19.42578125" style="168" customWidth="1"/>
    <col min="5129" max="5129" width="10.28515625" style="168" customWidth="1"/>
    <col min="5130" max="5130" width="19.5703125" style="168" customWidth="1"/>
    <col min="5131" max="5131" width="10.42578125" style="168" customWidth="1"/>
    <col min="5132" max="5132" width="21.140625" style="168" customWidth="1"/>
    <col min="5133" max="5133" width="11.7109375" style="168" customWidth="1"/>
    <col min="5134" max="5375" width="11.42578125" style="168"/>
    <col min="5376" max="5376" width="13.28515625" style="168" customWidth="1"/>
    <col min="5377" max="5377" width="32.140625" style="168" customWidth="1"/>
    <col min="5378" max="5378" width="20.7109375" style="168" customWidth="1"/>
    <col min="5379" max="5379" width="10.42578125" style="168" customWidth="1"/>
    <col min="5380" max="5380" width="18.5703125" style="168" customWidth="1"/>
    <col min="5381" max="5381" width="11.7109375" style="168" customWidth="1"/>
    <col min="5382" max="5382" width="19.28515625" style="168" customWidth="1"/>
    <col min="5383" max="5383" width="10.28515625" style="168" customWidth="1"/>
    <col min="5384" max="5384" width="19.42578125" style="168" customWidth="1"/>
    <col min="5385" max="5385" width="10.28515625" style="168" customWidth="1"/>
    <col min="5386" max="5386" width="19.5703125" style="168" customWidth="1"/>
    <col min="5387" max="5387" width="10.42578125" style="168" customWidth="1"/>
    <col min="5388" max="5388" width="21.140625" style="168" customWidth="1"/>
    <col min="5389" max="5389" width="11.7109375" style="168" customWidth="1"/>
    <col min="5390" max="5631" width="11.42578125" style="168"/>
    <col min="5632" max="5632" width="13.28515625" style="168" customWidth="1"/>
    <col min="5633" max="5633" width="32.140625" style="168" customWidth="1"/>
    <col min="5634" max="5634" width="20.7109375" style="168" customWidth="1"/>
    <col min="5635" max="5635" width="10.42578125" style="168" customWidth="1"/>
    <col min="5636" max="5636" width="18.5703125" style="168" customWidth="1"/>
    <col min="5637" max="5637" width="11.7109375" style="168" customWidth="1"/>
    <col min="5638" max="5638" width="19.28515625" style="168" customWidth="1"/>
    <col min="5639" max="5639" width="10.28515625" style="168" customWidth="1"/>
    <col min="5640" max="5640" width="19.42578125" style="168" customWidth="1"/>
    <col min="5641" max="5641" width="10.28515625" style="168" customWidth="1"/>
    <col min="5642" max="5642" width="19.5703125" style="168" customWidth="1"/>
    <col min="5643" max="5643" width="10.42578125" style="168" customWidth="1"/>
    <col min="5644" max="5644" width="21.140625" style="168" customWidth="1"/>
    <col min="5645" max="5645" width="11.7109375" style="168" customWidth="1"/>
    <col min="5646" max="5887" width="11.42578125" style="168"/>
    <col min="5888" max="5888" width="13.28515625" style="168" customWidth="1"/>
    <col min="5889" max="5889" width="32.140625" style="168" customWidth="1"/>
    <col min="5890" max="5890" width="20.7109375" style="168" customWidth="1"/>
    <col min="5891" max="5891" width="10.42578125" style="168" customWidth="1"/>
    <col min="5892" max="5892" width="18.5703125" style="168" customWidth="1"/>
    <col min="5893" max="5893" width="11.7109375" style="168" customWidth="1"/>
    <col min="5894" max="5894" width="19.28515625" style="168" customWidth="1"/>
    <col min="5895" max="5895" width="10.28515625" style="168" customWidth="1"/>
    <col min="5896" max="5896" width="19.42578125" style="168" customWidth="1"/>
    <col min="5897" max="5897" width="10.28515625" style="168" customWidth="1"/>
    <col min="5898" max="5898" width="19.5703125" style="168" customWidth="1"/>
    <col min="5899" max="5899" width="10.42578125" style="168" customWidth="1"/>
    <col min="5900" max="5900" width="21.140625" style="168" customWidth="1"/>
    <col min="5901" max="5901" width="11.7109375" style="168" customWidth="1"/>
    <col min="5902" max="6143" width="11.42578125" style="168"/>
    <col min="6144" max="6144" width="13.28515625" style="168" customWidth="1"/>
    <col min="6145" max="6145" width="32.140625" style="168" customWidth="1"/>
    <col min="6146" max="6146" width="20.7109375" style="168" customWidth="1"/>
    <col min="6147" max="6147" width="10.42578125" style="168" customWidth="1"/>
    <col min="6148" max="6148" width="18.5703125" style="168" customWidth="1"/>
    <col min="6149" max="6149" width="11.7109375" style="168" customWidth="1"/>
    <col min="6150" max="6150" width="19.28515625" style="168" customWidth="1"/>
    <col min="6151" max="6151" width="10.28515625" style="168" customWidth="1"/>
    <col min="6152" max="6152" width="19.42578125" style="168" customWidth="1"/>
    <col min="6153" max="6153" width="10.28515625" style="168" customWidth="1"/>
    <col min="6154" max="6154" width="19.5703125" style="168" customWidth="1"/>
    <col min="6155" max="6155" width="10.42578125" style="168" customWidth="1"/>
    <col min="6156" max="6156" width="21.140625" style="168" customWidth="1"/>
    <col min="6157" max="6157" width="11.7109375" style="168" customWidth="1"/>
    <col min="6158" max="6399" width="11.42578125" style="168"/>
    <col min="6400" max="6400" width="13.28515625" style="168" customWidth="1"/>
    <col min="6401" max="6401" width="32.140625" style="168" customWidth="1"/>
    <col min="6402" max="6402" width="20.7109375" style="168" customWidth="1"/>
    <col min="6403" max="6403" width="10.42578125" style="168" customWidth="1"/>
    <col min="6404" max="6404" width="18.5703125" style="168" customWidth="1"/>
    <col min="6405" max="6405" width="11.7109375" style="168" customWidth="1"/>
    <col min="6406" max="6406" width="19.28515625" style="168" customWidth="1"/>
    <col min="6407" max="6407" width="10.28515625" style="168" customWidth="1"/>
    <col min="6408" max="6408" width="19.42578125" style="168" customWidth="1"/>
    <col min="6409" max="6409" width="10.28515625" style="168" customWidth="1"/>
    <col min="6410" max="6410" width="19.5703125" style="168" customWidth="1"/>
    <col min="6411" max="6411" width="10.42578125" style="168" customWidth="1"/>
    <col min="6412" max="6412" width="21.140625" style="168" customWidth="1"/>
    <col min="6413" max="6413" width="11.7109375" style="168" customWidth="1"/>
    <col min="6414" max="6655" width="11.42578125" style="168"/>
    <col min="6656" max="6656" width="13.28515625" style="168" customWidth="1"/>
    <col min="6657" max="6657" width="32.140625" style="168" customWidth="1"/>
    <col min="6658" max="6658" width="20.7109375" style="168" customWidth="1"/>
    <col min="6659" max="6659" width="10.42578125" style="168" customWidth="1"/>
    <col min="6660" max="6660" width="18.5703125" style="168" customWidth="1"/>
    <col min="6661" max="6661" width="11.7109375" style="168" customWidth="1"/>
    <col min="6662" max="6662" width="19.28515625" style="168" customWidth="1"/>
    <col min="6663" max="6663" width="10.28515625" style="168" customWidth="1"/>
    <col min="6664" max="6664" width="19.42578125" style="168" customWidth="1"/>
    <col min="6665" max="6665" width="10.28515625" style="168" customWidth="1"/>
    <col min="6666" max="6666" width="19.5703125" style="168" customWidth="1"/>
    <col min="6667" max="6667" width="10.42578125" style="168" customWidth="1"/>
    <col min="6668" max="6668" width="21.140625" style="168" customWidth="1"/>
    <col min="6669" max="6669" width="11.7109375" style="168" customWidth="1"/>
    <col min="6670" max="6911" width="11.42578125" style="168"/>
    <col min="6912" max="6912" width="13.28515625" style="168" customWidth="1"/>
    <col min="6913" max="6913" width="32.140625" style="168" customWidth="1"/>
    <col min="6914" max="6914" width="20.7109375" style="168" customWidth="1"/>
    <col min="6915" max="6915" width="10.42578125" style="168" customWidth="1"/>
    <col min="6916" max="6916" width="18.5703125" style="168" customWidth="1"/>
    <col min="6917" max="6917" width="11.7109375" style="168" customWidth="1"/>
    <col min="6918" max="6918" width="19.28515625" style="168" customWidth="1"/>
    <col min="6919" max="6919" width="10.28515625" style="168" customWidth="1"/>
    <col min="6920" max="6920" width="19.42578125" style="168" customWidth="1"/>
    <col min="6921" max="6921" width="10.28515625" style="168" customWidth="1"/>
    <col min="6922" max="6922" width="19.5703125" style="168" customWidth="1"/>
    <col min="6923" max="6923" width="10.42578125" style="168" customWidth="1"/>
    <col min="6924" max="6924" width="21.140625" style="168" customWidth="1"/>
    <col min="6925" max="6925" width="11.7109375" style="168" customWidth="1"/>
    <col min="6926" max="7167" width="11.42578125" style="168"/>
    <col min="7168" max="7168" width="13.28515625" style="168" customWidth="1"/>
    <col min="7169" max="7169" width="32.140625" style="168" customWidth="1"/>
    <col min="7170" max="7170" width="20.7109375" style="168" customWidth="1"/>
    <col min="7171" max="7171" width="10.42578125" style="168" customWidth="1"/>
    <col min="7172" max="7172" width="18.5703125" style="168" customWidth="1"/>
    <col min="7173" max="7173" width="11.7109375" style="168" customWidth="1"/>
    <col min="7174" max="7174" width="19.28515625" style="168" customWidth="1"/>
    <col min="7175" max="7175" width="10.28515625" style="168" customWidth="1"/>
    <col min="7176" max="7176" width="19.42578125" style="168" customWidth="1"/>
    <col min="7177" max="7177" width="10.28515625" style="168" customWidth="1"/>
    <col min="7178" max="7178" width="19.5703125" style="168" customWidth="1"/>
    <col min="7179" max="7179" width="10.42578125" style="168" customWidth="1"/>
    <col min="7180" max="7180" width="21.140625" style="168" customWidth="1"/>
    <col min="7181" max="7181" width="11.7109375" style="168" customWidth="1"/>
    <col min="7182" max="7423" width="11.42578125" style="168"/>
    <col min="7424" max="7424" width="13.28515625" style="168" customWidth="1"/>
    <col min="7425" max="7425" width="32.140625" style="168" customWidth="1"/>
    <col min="7426" max="7426" width="20.7109375" style="168" customWidth="1"/>
    <col min="7427" max="7427" width="10.42578125" style="168" customWidth="1"/>
    <col min="7428" max="7428" width="18.5703125" style="168" customWidth="1"/>
    <col min="7429" max="7429" width="11.7109375" style="168" customWidth="1"/>
    <col min="7430" max="7430" width="19.28515625" style="168" customWidth="1"/>
    <col min="7431" max="7431" width="10.28515625" style="168" customWidth="1"/>
    <col min="7432" max="7432" width="19.42578125" style="168" customWidth="1"/>
    <col min="7433" max="7433" width="10.28515625" style="168" customWidth="1"/>
    <col min="7434" max="7434" width="19.5703125" style="168" customWidth="1"/>
    <col min="7435" max="7435" width="10.42578125" style="168" customWidth="1"/>
    <col min="7436" max="7436" width="21.140625" style="168" customWidth="1"/>
    <col min="7437" max="7437" width="11.7109375" style="168" customWidth="1"/>
    <col min="7438" max="7679" width="11.42578125" style="168"/>
    <col min="7680" max="7680" width="13.28515625" style="168" customWidth="1"/>
    <col min="7681" max="7681" width="32.140625" style="168" customWidth="1"/>
    <col min="7682" max="7682" width="20.7109375" style="168" customWidth="1"/>
    <col min="7683" max="7683" width="10.42578125" style="168" customWidth="1"/>
    <col min="7684" max="7684" width="18.5703125" style="168" customWidth="1"/>
    <col min="7685" max="7685" width="11.7109375" style="168" customWidth="1"/>
    <col min="7686" max="7686" width="19.28515625" style="168" customWidth="1"/>
    <col min="7687" max="7687" width="10.28515625" style="168" customWidth="1"/>
    <col min="7688" max="7688" width="19.42578125" style="168" customWidth="1"/>
    <col min="7689" max="7689" width="10.28515625" style="168" customWidth="1"/>
    <col min="7690" max="7690" width="19.5703125" style="168" customWidth="1"/>
    <col min="7691" max="7691" width="10.42578125" style="168" customWidth="1"/>
    <col min="7692" max="7692" width="21.140625" style="168" customWidth="1"/>
    <col min="7693" max="7693" width="11.7109375" style="168" customWidth="1"/>
    <col min="7694" max="7935" width="11.42578125" style="168"/>
    <col min="7936" max="7936" width="13.28515625" style="168" customWidth="1"/>
    <col min="7937" max="7937" width="32.140625" style="168" customWidth="1"/>
    <col min="7938" max="7938" width="20.7109375" style="168" customWidth="1"/>
    <col min="7939" max="7939" width="10.42578125" style="168" customWidth="1"/>
    <col min="7940" max="7940" width="18.5703125" style="168" customWidth="1"/>
    <col min="7941" max="7941" width="11.7109375" style="168" customWidth="1"/>
    <col min="7942" max="7942" width="19.28515625" style="168" customWidth="1"/>
    <col min="7943" max="7943" width="10.28515625" style="168" customWidth="1"/>
    <col min="7944" max="7944" width="19.42578125" style="168" customWidth="1"/>
    <col min="7945" max="7945" width="10.28515625" style="168" customWidth="1"/>
    <col min="7946" max="7946" width="19.5703125" style="168" customWidth="1"/>
    <col min="7947" max="7947" width="10.42578125" style="168" customWidth="1"/>
    <col min="7948" max="7948" width="21.140625" style="168" customWidth="1"/>
    <col min="7949" max="7949" width="11.7109375" style="168" customWidth="1"/>
    <col min="7950" max="8191" width="11.42578125" style="168"/>
    <col min="8192" max="8192" width="13.28515625" style="168" customWidth="1"/>
    <col min="8193" max="8193" width="32.140625" style="168" customWidth="1"/>
    <col min="8194" max="8194" width="20.7109375" style="168" customWidth="1"/>
    <col min="8195" max="8195" width="10.42578125" style="168" customWidth="1"/>
    <col min="8196" max="8196" width="18.5703125" style="168" customWidth="1"/>
    <col min="8197" max="8197" width="11.7109375" style="168" customWidth="1"/>
    <col min="8198" max="8198" width="19.28515625" style="168" customWidth="1"/>
    <col min="8199" max="8199" width="10.28515625" style="168" customWidth="1"/>
    <col min="8200" max="8200" width="19.42578125" style="168" customWidth="1"/>
    <col min="8201" max="8201" width="10.28515625" style="168" customWidth="1"/>
    <col min="8202" max="8202" width="19.5703125" style="168" customWidth="1"/>
    <col min="8203" max="8203" width="10.42578125" style="168" customWidth="1"/>
    <col min="8204" max="8204" width="21.140625" style="168" customWidth="1"/>
    <col min="8205" max="8205" width="11.7109375" style="168" customWidth="1"/>
    <col min="8206" max="8447" width="11.42578125" style="168"/>
    <col min="8448" max="8448" width="13.28515625" style="168" customWidth="1"/>
    <col min="8449" max="8449" width="32.140625" style="168" customWidth="1"/>
    <col min="8450" max="8450" width="20.7109375" style="168" customWidth="1"/>
    <col min="8451" max="8451" width="10.42578125" style="168" customWidth="1"/>
    <col min="8452" max="8452" width="18.5703125" style="168" customWidth="1"/>
    <col min="8453" max="8453" width="11.7109375" style="168" customWidth="1"/>
    <col min="8454" max="8454" width="19.28515625" style="168" customWidth="1"/>
    <col min="8455" max="8455" width="10.28515625" style="168" customWidth="1"/>
    <col min="8456" max="8456" width="19.42578125" style="168" customWidth="1"/>
    <col min="8457" max="8457" width="10.28515625" style="168" customWidth="1"/>
    <col min="8458" max="8458" width="19.5703125" style="168" customWidth="1"/>
    <col min="8459" max="8459" width="10.42578125" style="168" customWidth="1"/>
    <col min="8460" max="8460" width="21.140625" style="168" customWidth="1"/>
    <col min="8461" max="8461" width="11.7109375" style="168" customWidth="1"/>
    <col min="8462" max="8703" width="11.42578125" style="168"/>
    <col min="8704" max="8704" width="13.28515625" style="168" customWidth="1"/>
    <col min="8705" max="8705" width="32.140625" style="168" customWidth="1"/>
    <col min="8706" max="8706" width="20.7109375" style="168" customWidth="1"/>
    <col min="8707" max="8707" width="10.42578125" style="168" customWidth="1"/>
    <col min="8708" max="8708" width="18.5703125" style="168" customWidth="1"/>
    <col min="8709" max="8709" width="11.7109375" style="168" customWidth="1"/>
    <col min="8710" max="8710" width="19.28515625" style="168" customWidth="1"/>
    <col min="8711" max="8711" width="10.28515625" style="168" customWidth="1"/>
    <col min="8712" max="8712" width="19.42578125" style="168" customWidth="1"/>
    <col min="8713" max="8713" width="10.28515625" style="168" customWidth="1"/>
    <col min="8714" max="8714" width="19.5703125" style="168" customWidth="1"/>
    <col min="8715" max="8715" width="10.42578125" style="168" customWidth="1"/>
    <col min="8716" max="8716" width="21.140625" style="168" customWidth="1"/>
    <col min="8717" max="8717" width="11.7109375" style="168" customWidth="1"/>
    <col min="8718" max="8959" width="11.42578125" style="168"/>
    <col min="8960" max="8960" width="13.28515625" style="168" customWidth="1"/>
    <col min="8961" max="8961" width="32.140625" style="168" customWidth="1"/>
    <col min="8962" max="8962" width="20.7109375" style="168" customWidth="1"/>
    <col min="8963" max="8963" width="10.42578125" style="168" customWidth="1"/>
    <col min="8964" max="8964" width="18.5703125" style="168" customWidth="1"/>
    <col min="8965" max="8965" width="11.7109375" style="168" customWidth="1"/>
    <col min="8966" max="8966" width="19.28515625" style="168" customWidth="1"/>
    <col min="8967" max="8967" width="10.28515625" style="168" customWidth="1"/>
    <col min="8968" max="8968" width="19.42578125" style="168" customWidth="1"/>
    <col min="8969" max="8969" width="10.28515625" style="168" customWidth="1"/>
    <col min="8970" max="8970" width="19.5703125" style="168" customWidth="1"/>
    <col min="8971" max="8971" width="10.42578125" style="168" customWidth="1"/>
    <col min="8972" max="8972" width="21.140625" style="168" customWidth="1"/>
    <col min="8973" max="8973" width="11.7109375" style="168" customWidth="1"/>
    <col min="8974" max="9215" width="11.42578125" style="168"/>
    <col min="9216" max="9216" width="13.28515625" style="168" customWidth="1"/>
    <col min="9217" max="9217" width="32.140625" style="168" customWidth="1"/>
    <col min="9218" max="9218" width="20.7109375" style="168" customWidth="1"/>
    <col min="9219" max="9219" width="10.42578125" style="168" customWidth="1"/>
    <col min="9220" max="9220" width="18.5703125" style="168" customWidth="1"/>
    <col min="9221" max="9221" width="11.7109375" style="168" customWidth="1"/>
    <col min="9222" max="9222" width="19.28515625" style="168" customWidth="1"/>
    <col min="9223" max="9223" width="10.28515625" style="168" customWidth="1"/>
    <col min="9224" max="9224" width="19.42578125" style="168" customWidth="1"/>
    <col min="9225" max="9225" width="10.28515625" style="168" customWidth="1"/>
    <col min="9226" max="9226" width="19.5703125" style="168" customWidth="1"/>
    <col min="9227" max="9227" width="10.42578125" style="168" customWidth="1"/>
    <col min="9228" max="9228" width="21.140625" style="168" customWidth="1"/>
    <col min="9229" max="9229" width="11.7109375" style="168" customWidth="1"/>
    <col min="9230" max="9471" width="11.42578125" style="168"/>
    <col min="9472" max="9472" width="13.28515625" style="168" customWidth="1"/>
    <col min="9473" max="9473" width="32.140625" style="168" customWidth="1"/>
    <col min="9474" max="9474" width="20.7109375" style="168" customWidth="1"/>
    <col min="9475" max="9475" width="10.42578125" style="168" customWidth="1"/>
    <col min="9476" max="9476" width="18.5703125" style="168" customWidth="1"/>
    <col min="9477" max="9477" width="11.7109375" style="168" customWidth="1"/>
    <col min="9478" max="9478" width="19.28515625" style="168" customWidth="1"/>
    <col min="9479" max="9479" width="10.28515625" style="168" customWidth="1"/>
    <col min="9480" max="9480" width="19.42578125" style="168" customWidth="1"/>
    <col min="9481" max="9481" width="10.28515625" style="168" customWidth="1"/>
    <col min="9482" max="9482" width="19.5703125" style="168" customWidth="1"/>
    <col min="9483" max="9483" width="10.42578125" style="168" customWidth="1"/>
    <col min="9484" max="9484" width="21.140625" style="168" customWidth="1"/>
    <col min="9485" max="9485" width="11.7109375" style="168" customWidth="1"/>
    <col min="9486" max="9727" width="11.42578125" style="168"/>
    <col min="9728" max="9728" width="13.28515625" style="168" customWidth="1"/>
    <col min="9729" max="9729" width="32.140625" style="168" customWidth="1"/>
    <col min="9730" max="9730" width="20.7109375" style="168" customWidth="1"/>
    <col min="9731" max="9731" width="10.42578125" style="168" customWidth="1"/>
    <col min="9732" max="9732" width="18.5703125" style="168" customWidth="1"/>
    <col min="9733" max="9733" width="11.7109375" style="168" customWidth="1"/>
    <col min="9734" max="9734" width="19.28515625" style="168" customWidth="1"/>
    <col min="9735" max="9735" width="10.28515625" style="168" customWidth="1"/>
    <col min="9736" max="9736" width="19.42578125" style="168" customWidth="1"/>
    <col min="9737" max="9737" width="10.28515625" style="168" customWidth="1"/>
    <col min="9738" max="9738" width="19.5703125" style="168" customWidth="1"/>
    <col min="9739" max="9739" width="10.42578125" style="168" customWidth="1"/>
    <col min="9740" max="9740" width="21.140625" style="168" customWidth="1"/>
    <col min="9741" max="9741" width="11.7109375" style="168" customWidth="1"/>
    <col min="9742" max="9983" width="11.42578125" style="168"/>
    <col min="9984" max="9984" width="13.28515625" style="168" customWidth="1"/>
    <col min="9985" max="9985" width="32.140625" style="168" customWidth="1"/>
    <col min="9986" max="9986" width="20.7109375" style="168" customWidth="1"/>
    <col min="9987" max="9987" width="10.42578125" style="168" customWidth="1"/>
    <col min="9988" max="9988" width="18.5703125" style="168" customWidth="1"/>
    <col min="9989" max="9989" width="11.7109375" style="168" customWidth="1"/>
    <col min="9990" max="9990" width="19.28515625" style="168" customWidth="1"/>
    <col min="9991" max="9991" width="10.28515625" style="168" customWidth="1"/>
    <col min="9992" max="9992" width="19.42578125" style="168" customWidth="1"/>
    <col min="9993" max="9993" width="10.28515625" style="168" customWidth="1"/>
    <col min="9994" max="9994" width="19.5703125" style="168" customWidth="1"/>
    <col min="9995" max="9995" width="10.42578125" style="168" customWidth="1"/>
    <col min="9996" max="9996" width="21.140625" style="168" customWidth="1"/>
    <col min="9997" max="9997" width="11.7109375" style="168" customWidth="1"/>
    <col min="9998" max="10239" width="11.42578125" style="168"/>
    <col min="10240" max="10240" width="13.28515625" style="168" customWidth="1"/>
    <col min="10241" max="10241" width="32.140625" style="168" customWidth="1"/>
    <col min="10242" max="10242" width="20.7109375" style="168" customWidth="1"/>
    <col min="10243" max="10243" width="10.42578125" style="168" customWidth="1"/>
    <col min="10244" max="10244" width="18.5703125" style="168" customWidth="1"/>
    <col min="10245" max="10245" width="11.7109375" style="168" customWidth="1"/>
    <col min="10246" max="10246" width="19.28515625" style="168" customWidth="1"/>
    <col min="10247" max="10247" width="10.28515625" style="168" customWidth="1"/>
    <col min="10248" max="10248" width="19.42578125" style="168" customWidth="1"/>
    <col min="10249" max="10249" width="10.28515625" style="168" customWidth="1"/>
    <col min="10250" max="10250" width="19.5703125" style="168" customWidth="1"/>
    <col min="10251" max="10251" width="10.42578125" style="168" customWidth="1"/>
    <col min="10252" max="10252" width="21.140625" style="168" customWidth="1"/>
    <col min="10253" max="10253" width="11.7109375" style="168" customWidth="1"/>
    <col min="10254" max="10495" width="11.42578125" style="168"/>
    <col min="10496" max="10496" width="13.28515625" style="168" customWidth="1"/>
    <col min="10497" max="10497" width="32.140625" style="168" customWidth="1"/>
    <col min="10498" max="10498" width="20.7109375" style="168" customWidth="1"/>
    <col min="10499" max="10499" width="10.42578125" style="168" customWidth="1"/>
    <col min="10500" max="10500" width="18.5703125" style="168" customWidth="1"/>
    <col min="10501" max="10501" width="11.7109375" style="168" customWidth="1"/>
    <col min="10502" max="10502" width="19.28515625" style="168" customWidth="1"/>
    <col min="10503" max="10503" width="10.28515625" style="168" customWidth="1"/>
    <col min="10504" max="10504" width="19.42578125" style="168" customWidth="1"/>
    <col min="10505" max="10505" width="10.28515625" style="168" customWidth="1"/>
    <col min="10506" max="10506" width="19.5703125" style="168" customWidth="1"/>
    <col min="10507" max="10507" width="10.42578125" style="168" customWidth="1"/>
    <col min="10508" max="10508" width="21.140625" style="168" customWidth="1"/>
    <col min="10509" max="10509" width="11.7109375" style="168" customWidth="1"/>
    <col min="10510" max="10751" width="11.42578125" style="168"/>
    <col min="10752" max="10752" width="13.28515625" style="168" customWidth="1"/>
    <col min="10753" max="10753" width="32.140625" style="168" customWidth="1"/>
    <col min="10754" max="10754" width="20.7109375" style="168" customWidth="1"/>
    <col min="10755" max="10755" width="10.42578125" style="168" customWidth="1"/>
    <col min="10756" max="10756" width="18.5703125" style="168" customWidth="1"/>
    <col min="10757" max="10757" width="11.7109375" style="168" customWidth="1"/>
    <col min="10758" max="10758" width="19.28515625" style="168" customWidth="1"/>
    <col min="10759" max="10759" width="10.28515625" style="168" customWidth="1"/>
    <col min="10760" max="10760" width="19.42578125" style="168" customWidth="1"/>
    <col min="10761" max="10761" width="10.28515625" style="168" customWidth="1"/>
    <col min="10762" max="10762" width="19.5703125" style="168" customWidth="1"/>
    <col min="10763" max="10763" width="10.42578125" style="168" customWidth="1"/>
    <col min="10764" max="10764" width="21.140625" style="168" customWidth="1"/>
    <col min="10765" max="10765" width="11.7109375" style="168" customWidth="1"/>
    <col min="10766" max="11007" width="11.42578125" style="168"/>
    <col min="11008" max="11008" width="13.28515625" style="168" customWidth="1"/>
    <col min="11009" max="11009" width="32.140625" style="168" customWidth="1"/>
    <col min="11010" max="11010" width="20.7109375" style="168" customWidth="1"/>
    <col min="11011" max="11011" width="10.42578125" style="168" customWidth="1"/>
    <col min="11012" max="11012" width="18.5703125" style="168" customWidth="1"/>
    <col min="11013" max="11013" width="11.7109375" style="168" customWidth="1"/>
    <col min="11014" max="11014" width="19.28515625" style="168" customWidth="1"/>
    <col min="11015" max="11015" width="10.28515625" style="168" customWidth="1"/>
    <col min="11016" max="11016" width="19.42578125" style="168" customWidth="1"/>
    <col min="11017" max="11017" width="10.28515625" style="168" customWidth="1"/>
    <col min="11018" max="11018" width="19.5703125" style="168" customWidth="1"/>
    <col min="11019" max="11019" width="10.42578125" style="168" customWidth="1"/>
    <col min="11020" max="11020" width="21.140625" style="168" customWidth="1"/>
    <col min="11021" max="11021" width="11.7109375" style="168" customWidth="1"/>
    <col min="11022" max="11263" width="11.42578125" style="168"/>
    <col min="11264" max="11264" width="13.28515625" style="168" customWidth="1"/>
    <col min="11265" max="11265" width="32.140625" style="168" customWidth="1"/>
    <col min="11266" max="11266" width="20.7109375" style="168" customWidth="1"/>
    <col min="11267" max="11267" width="10.42578125" style="168" customWidth="1"/>
    <col min="11268" max="11268" width="18.5703125" style="168" customWidth="1"/>
    <col min="11269" max="11269" width="11.7109375" style="168" customWidth="1"/>
    <col min="11270" max="11270" width="19.28515625" style="168" customWidth="1"/>
    <col min="11271" max="11271" width="10.28515625" style="168" customWidth="1"/>
    <col min="11272" max="11272" width="19.42578125" style="168" customWidth="1"/>
    <col min="11273" max="11273" width="10.28515625" style="168" customWidth="1"/>
    <col min="11274" max="11274" width="19.5703125" style="168" customWidth="1"/>
    <col min="11275" max="11275" width="10.42578125" style="168" customWidth="1"/>
    <col min="11276" max="11276" width="21.140625" style="168" customWidth="1"/>
    <col min="11277" max="11277" width="11.7109375" style="168" customWidth="1"/>
    <col min="11278" max="11519" width="11.42578125" style="168"/>
    <col min="11520" max="11520" width="13.28515625" style="168" customWidth="1"/>
    <col min="11521" max="11521" width="32.140625" style="168" customWidth="1"/>
    <col min="11522" max="11522" width="20.7109375" style="168" customWidth="1"/>
    <col min="11523" max="11523" width="10.42578125" style="168" customWidth="1"/>
    <col min="11524" max="11524" width="18.5703125" style="168" customWidth="1"/>
    <col min="11525" max="11525" width="11.7109375" style="168" customWidth="1"/>
    <col min="11526" max="11526" width="19.28515625" style="168" customWidth="1"/>
    <col min="11527" max="11527" width="10.28515625" style="168" customWidth="1"/>
    <col min="11528" max="11528" width="19.42578125" style="168" customWidth="1"/>
    <col min="11529" max="11529" width="10.28515625" style="168" customWidth="1"/>
    <col min="11530" max="11530" width="19.5703125" style="168" customWidth="1"/>
    <col min="11531" max="11531" width="10.42578125" style="168" customWidth="1"/>
    <col min="11532" max="11532" width="21.140625" style="168" customWidth="1"/>
    <col min="11533" max="11533" width="11.7109375" style="168" customWidth="1"/>
    <col min="11534" max="11775" width="11.42578125" style="168"/>
    <col min="11776" max="11776" width="13.28515625" style="168" customWidth="1"/>
    <col min="11777" max="11777" width="32.140625" style="168" customWidth="1"/>
    <col min="11778" max="11778" width="20.7109375" style="168" customWidth="1"/>
    <col min="11779" max="11779" width="10.42578125" style="168" customWidth="1"/>
    <col min="11780" max="11780" width="18.5703125" style="168" customWidth="1"/>
    <col min="11781" max="11781" width="11.7109375" style="168" customWidth="1"/>
    <col min="11782" max="11782" width="19.28515625" style="168" customWidth="1"/>
    <col min="11783" max="11783" width="10.28515625" style="168" customWidth="1"/>
    <col min="11784" max="11784" width="19.42578125" style="168" customWidth="1"/>
    <col min="11785" max="11785" width="10.28515625" style="168" customWidth="1"/>
    <col min="11786" max="11786" width="19.5703125" style="168" customWidth="1"/>
    <col min="11787" max="11787" width="10.42578125" style="168" customWidth="1"/>
    <col min="11788" max="11788" width="21.140625" style="168" customWidth="1"/>
    <col min="11789" max="11789" width="11.7109375" style="168" customWidth="1"/>
    <col min="11790" max="12031" width="11.42578125" style="168"/>
    <col min="12032" max="12032" width="13.28515625" style="168" customWidth="1"/>
    <col min="12033" max="12033" width="32.140625" style="168" customWidth="1"/>
    <col min="12034" max="12034" width="20.7109375" style="168" customWidth="1"/>
    <col min="12035" max="12035" width="10.42578125" style="168" customWidth="1"/>
    <col min="12036" max="12036" width="18.5703125" style="168" customWidth="1"/>
    <col min="12037" max="12037" width="11.7109375" style="168" customWidth="1"/>
    <col min="12038" max="12038" width="19.28515625" style="168" customWidth="1"/>
    <col min="12039" max="12039" width="10.28515625" style="168" customWidth="1"/>
    <col min="12040" max="12040" width="19.42578125" style="168" customWidth="1"/>
    <col min="12041" max="12041" width="10.28515625" style="168" customWidth="1"/>
    <col min="12042" max="12042" width="19.5703125" style="168" customWidth="1"/>
    <col min="12043" max="12043" width="10.42578125" style="168" customWidth="1"/>
    <col min="12044" max="12044" width="21.140625" style="168" customWidth="1"/>
    <col min="12045" max="12045" width="11.7109375" style="168" customWidth="1"/>
    <col min="12046" max="12287" width="11.42578125" style="168"/>
    <col min="12288" max="12288" width="13.28515625" style="168" customWidth="1"/>
    <col min="12289" max="12289" width="32.140625" style="168" customWidth="1"/>
    <col min="12290" max="12290" width="20.7109375" style="168" customWidth="1"/>
    <col min="12291" max="12291" width="10.42578125" style="168" customWidth="1"/>
    <col min="12292" max="12292" width="18.5703125" style="168" customWidth="1"/>
    <col min="12293" max="12293" width="11.7109375" style="168" customWidth="1"/>
    <col min="12294" max="12294" width="19.28515625" style="168" customWidth="1"/>
    <col min="12295" max="12295" width="10.28515625" style="168" customWidth="1"/>
    <col min="12296" max="12296" width="19.42578125" style="168" customWidth="1"/>
    <col min="12297" max="12297" width="10.28515625" style="168" customWidth="1"/>
    <col min="12298" max="12298" width="19.5703125" style="168" customWidth="1"/>
    <col min="12299" max="12299" width="10.42578125" style="168" customWidth="1"/>
    <col min="12300" max="12300" width="21.140625" style="168" customWidth="1"/>
    <col min="12301" max="12301" width="11.7109375" style="168" customWidth="1"/>
    <col min="12302" max="12543" width="11.42578125" style="168"/>
    <col min="12544" max="12544" width="13.28515625" style="168" customWidth="1"/>
    <col min="12545" max="12545" width="32.140625" style="168" customWidth="1"/>
    <col min="12546" max="12546" width="20.7109375" style="168" customWidth="1"/>
    <col min="12547" max="12547" width="10.42578125" style="168" customWidth="1"/>
    <col min="12548" max="12548" width="18.5703125" style="168" customWidth="1"/>
    <col min="12549" max="12549" width="11.7109375" style="168" customWidth="1"/>
    <col min="12550" max="12550" width="19.28515625" style="168" customWidth="1"/>
    <col min="12551" max="12551" width="10.28515625" style="168" customWidth="1"/>
    <col min="12552" max="12552" width="19.42578125" style="168" customWidth="1"/>
    <col min="12553" max="12553" width="10.28515625" style="168" customWidth="1"/>
    <col min="12554" max="12554" width="19.5703125" style="168" customWidth="1"/>
    <col min="12555" max="12555" width="10.42578125" style="168" customWidth="1"/>
    <col min="12556" max="12556" width="21.140625" style="168" customWidth="1"/>
    <col min="12557" max="12557" width="11.7109375" style="168" customWidth="1"/>
    <col min="12558" max="12799" width="11.42578125" style="168"/>
    <col min="12800" max="12800" width="13.28515625" style="168" customWidth="1"/>
    <col min="12801" max="12801" width="32.140625" style="168" customWidth="1"/>
    <col min="12802" max="12802" width="20.7109375" style="168" customWidth="1"/>
    <col min="12803" max="12803" width="10.42578125" style="168" customWidth="1"/>
    <col min="12804" max="12804" width="18.5703125" style="168" customWidth="1"/>
    <col min="12805" max="12805" width="11.7109375" style="168" customWidth="1"/>
    <col min="12806" max="12806" width="19.28515625" style="168" customWidth="1"/>
    <col min="12807" max="12807" width="10.28515625" style="168" customWidth="1"/>
    <col min="12808" max="12808" width="19.42578125" style="168" customWidth="1"/>
    <col min="12809" max="12809" width="10.28515625" style="168" customWidth="1"/>
    <col min="12810" max="12810" width="19.5703125" style="168" customWidth="1"/>
    <col min="12811" max="12811" width="10.42578125" style="168" customWidth="1"/>
    <col min="12812" max="12812" width="21.140625" style="168" customWidth="1"/>
    <col min="12813" max="12813" width="11.7109375" style="168" customWidth="1"/>
    <col min="12814" max="13055" width="11.42578125" style="168"/>
    <col min="13056" max="13056" width="13.28515625" style="168" customWidth="1"/>
    <col min="13057" max="13057" width="32.140625" style="168" customWidth="1"/>
    <col min="13058" max="13058" width="20.7109375" style="168" customWidth="1"/>
    <col min="13059" max="13059" width="10.42578125" style="168" customWidth="1"/>
    <col min="13060" max="13060" width="18.5703125" style="168" customWidth="1"/>
    <col min="13061" max="13061" width="11.7109375" style="168" customWidth="1"/>
    <col min="13062" max="13062" width="19.28515625" style="168" customWidth="1"/>
    <col min="13063" max="13063" width="10.28515625" style="168" customWidth="1"/>
    <col min="13064" max="13064" width="19.42578125" style="168" customWidth="1"/>
    <col min="13065" max="13065" width="10.28515625" style="168" customWidth="1"/>
    <col min="13066" max="13066" width="19.5703125" style="168" customWidth="1"/>
    <col min="13067" max="13067" width="10.42578125" style="168" customWidth="1"/>
    <col min="13068" max="13068" width="21.140625" style="168" customWidth="1"/>
    <col min="13069" max="13069" width="11.7109375" style="168" customWidth="1"/>
    <col min="13070" max="13311" width="11.42578125" style="168"/>
    <col min="13312" max="13312" width="13.28515625" style="168" customWidth="1"/>
    <col min="13313" max="13313" width="32.140625" style="168" customWidth="1"/>
    <col min="13314" max="13314" width="20.7109375" style="168" customWidth="1"/>
    <col min="13315" max="13315" width="10.42578125" style="168" customWidth="1"/>
    <col min="13316" max="13316" width="18.5703125" style="168" customWidth="1"/>
    <col min="13317" max="13317" width="11.7109375" style="168" customWidth="1"/>
    <col min="13318" max="13318" width="19.28515625" style="168" customWidth="1"/>
    <col min="13319" max="13319" width="10.28515625" style="168" customWidth="1"/>
    <col min="13320" max="13320" width="19.42578125" style="168" customWidth="1"/>
    <col min="13321" max="13321" width="10.28515625" style="168" customWidth="1"/>
    <col min="13322" max="13322" width="19.5703125" style="168" customWidth="1"/>
    <col min="13323" max="13323" width="10.42578125" style="168" customWidth="1"/>
    <col min="13324" max="13324" width="21.140625" style="168" customWidth="1"/>
    <col min="13325" max="13325" width="11.7109375" style="168" customWidth="1"/>
    <col min="13326" max="13567" width="11.42578125" style="168"/>
    <col min="13568" max="13568" width="13.28515625" style="168" customWidth="1"/>
    <col min="13569" max="13569" width="32.140625" style="168" customWidth="1"/>
    <col min="13570" max="13570" width="20.7109375" style="168" customWidth="1"/>
    <col min="13571" max="13571" width="10.42578125" style="168" customWidth="1"/>
    <col min="13572" max="13572" width="18.5703125" style="168" customWidth="1"/>
    <col min="13573" max="13573" width="11.7109375" style="168" customWidth="1"/>
    <col min="13574" max="13574" width="19.28515625" style="168" customWidth="1"/>
    <col min="13575" max="13575" width="10.28515625" style="168" customWidth="1"/>
    <col min="13576" max="13576" width="19.42578125" style="168" customWidth="1"/>
    <col min="13577" max="13577" width="10.28515625" style="168" customWidth="1"/>
    <col min="13578" max="13578" width="19.5703125" style="168" customWidth="1"/>
    <col min="13579" max="13579" width="10.42578125" style="168" customWidth="1"/>
    <col min="13580" max="13580" width="21.140625" style="168" customWidth="1"/>
    <col min="13581" max="13581" width="11.7109375" style="168" customWidth="1"/>
    <col min="13582" max="13823" width="11.42578125" style="168"/>
    <col min="13824" max="13824" width="13.28515625" style="168" customWidth="1"/>
    <col min="13825" max="13825" width="32.140625" style="168" customWidth="1"/>
    <col min="13826" max="13826" width="20.7109375" style="168" customWidth="1"/>
    <col min="13827" max="13827" width="10.42578125" style="168" customWidth="1"/>
    <col min="13828" max="13828" width="18.5703125" style="168" customWidth="1"/>
    <col min="13829" max="13829" width="11.7109375" style="168" customWidth="1"/>
    <col min="13830" max="13830" width="19.28515625" style="168" customWidth="1"/>
    <col min="13831" max="13831" width="10.28515625" style="168" customWidth="1"/>
    <col min="13832" max="13832" width="19.42578125" style="168" customWidth="1"/>
    <col min="13833" max="13833" width="10.28515625" style="168" customWidth="1"/>
    <col min="13834" max="13834" width="19.5703125" style="168" customWidth="1"/>
    <col min="13835" max="13835" width="10.42578125" style="168" customWidth="1"/>
    <col min="13836" max="13836" width="21.140625" style="168" customWidth="1"/>
    <col min="13837" max="13837" width="11.7109375" style="168" customWidth="1"/>
    <col min="13838" max="14079" width="11.42578125" style="168"/>
    <col min="14080" max="14080" width="13.28515625" style="168" customWidth="1"/>
    <col min="14081" max="14081" width="32.140625" style="168" customWidth="1"/>
    <col min="14082" max="14082" width="20.7109375" style="168" customWidth="1"/>
    <col min="14083" max="14083" width="10.42578125" style="168" customWidth="1"/>
    <col min="14084" max="14084" width="18.5703125" style="168" customWidth="1"/>
    <col min="14085" max="14085" width="11.7109375" style="168" customWidth="1"/>
    <col min="14086" max="14086" width="19.28515625" style="168" customWidth="1"/>
    <col min="14087" max="14087" width="10.28515625" style="168" customWidth="1"/>
    <col min="14088" max="14088" width="19.42578125" style="168" customWidth="1"/>
    <col min="14089" max="14089" width="10.28515625" style="168" customWidth="1"/>
    <col min="14090" max="14090" width="19.5703125" style="168" customWidth="1"/>
    <col min="14091" max="14091" width="10.42578125" style="168" customWidth="1"/>
    <col min="14092" max="14092" width="21.140625" style="168" customWidth="1"/>
    <col min="14093" max="14093" width="11.7109375" style="168" customWidth="1"/>
    <col min="14094" max="14335" width="11.42578125" style="168"/>
    <col min="14336" max="14336" width="13.28515625" style="168" customWidth="1"/>
    <col min="14337" max="14337" width="32.140625" style="168" customWidth="1"/>
    <col min="14338" max="14338" width="20.7109375" style="168" customWidth="1"/>
    <col min="14339" max="14339" width="10.42578125" style="168" customWidth="1"/>
    <col min="14340" max="14340" width="18.5703125" style="168" customWidth="1"/>
    <col min="14341" max="14341" width="11.7109375" style="168" customWidth="1"/>
    <col min="14342" max="14342" width="19.28515625" style="168" customWidth="1"/>
    <col min="14343" max="14343" width="10.28515625" style="168" customWidth="1"/>
    <col min="14344" max="14344" width="19.42578125" style="168" customWidth="1"/>
    <col min="14345" max="14345" width="10.28515625" style="168" customWidth="1"/>
    <col min="14346" max="14346" width="19.5703125" style="168" customWidth="1"/>
    <col min="14347" max="14347" width="10.42578125" style="168" customWidth="1"/>
    <col min="14348" max="14348" width="21.140625" style="168" customWidth="1"/>
    <col min="14349" max="14349" width="11.7109375" style="168" customWidth="1"/>
    <col min="14350" max="14591" width="11.42578125" style="168"/>
    <col min="14592" max="14592" width="13.28515625" style="168" customWidth="1"/>
    <col min="14593" max="14593" width="32.140625" style="168" customWidth="1"/>
    <col min="14594" max="14594" width="20.7109375" style="168" customWidth="1"/>
    <col min="14595" max="14595" width="10.42578125" style="168" customWidth="1"/>
    <col min="14596" max="14596" width="18.5703125" style="168" customWidth="1"/>
    <col min="14597" max="14597" width="11.7109375" style="168" customWidth="1"/>
    <col min="14598" max="14598" width="19.28515625" style="168" customWidth="1"/>
    <col min="14599" max="14599" width="10.28515625" style="168" customWidth="1"/>
    <col min="14600" max="14600" width="19.42578125" style="168" customWidth="1"/>
    <col min="14601" max="14601" width="10.28515625" style="168" customWidth="1"/>
    <col min="14602" max="14602" width="19.5703125" style="168" customWidth="1"/>
    <col min="14603" max="14603" width="10.42578125" style="168" customWidth="1"/>
    <col min="14604" max="14604" width="21.140625" style="168" customWidth="1"/>
    <col min="14605" max="14605" width="11.7109375" style="168" customWidth="1"/>
    <col min="14606" max="14847" width="11.42578125" style="168"/>
    <col min="14848" max="14848" width="13.28515625" style="168" customWidth="1"/>
    <col min="14849" max="14849" width="32.140625" style="168" customWidth="1"/>
    <col min="14850" max="14850" width="20.7109375" style="168" customWidth="1"/>
    <col min="14851" max="14851" width="10.42578125" style="168" customWidth="1"/>
    <col min="14852" max="14852" width="18.5703125" style="168" customWidth="1"/>
    <col min="14853" max="14853" width="11.7109375" style="168" customWidth="1"/>
    <col min="14854" max="14854" width="19.28515625" style="168" customWidth="1"/>
    <col min="14855" max="14855" width="10.28515625" style="168" customWidth="1"/>
    <col min="14856" max="14856" width="19.42578125" style="168" customWidth="1"/>
    <col min="14857" max="14857" width="10.28515625" style="168" customWidth="1"/>
    <col min="14858" max="14858" width="19.5703125" style="168" customWidth="1"/>
    <col min="14859" max="14859" width="10.42578125" style="168" customWidth="1"/>
    <col min="14860" max="14860" width="21.140625" style="168" customWidth="1"/>
    <col min="14861" max="14861" width="11.7109375" style="168" customWidth="1"/>
    <col min="14862" max="15103" width="11.42578125" style="168"/>
    <col min="15104" max="15104" width="13.28515625" style="168" customWidth="1"/>
    <col min="15105" max="15105" width="32.140625" style="168" customWidth="1"/>
    <col min="15106" max="15106" width="20.7109375" style="168" customWidth="1"/>
    <col min="15107" max="15107" width="10.42578125" style="168" customWidth="1"/>
    <col min="15108" max="15108" width="18.5703125" style="168" customWidth="1"/>
    <col min="15109" max="15109" width="11.7109375" style="168" customWidth="1"/>
    <col min="15110" max="15110" width="19.28515625" style="168" customWidth="1"/>
    <col min="15111" max="15111" width="10.28515625" style="168" customWidth="1"/>
    <col min="15112" max="15112" width="19.42578125" style="168" customWidth="1"/>
    <col min="15113" max="15113" width="10.28515625" style="168" customWidth="1"/>
    <col min="15114" max="15114" width="19.5703125" style="168" customWidth="1"/>
    <col min="15115" max="15115" width="10.42578125" style="168" customWidth="1"/>
    <col min="15116" max="15116" width="21.140625" style="168" customWidth="1"/>
    <col min="15117" max="15117" width="11.7109375" style="168" customWidth="1"/>
    <col min="15118" max="15359" width="11.42578125" style="168"/>
    <col min="15360" max="15360" width="13.28515625" style="168" customWidth="1"/>
    <col min="15361" max="15361" width="32.140625" style="168" customWidth="1"/>
    <col min="15362" max="15362" width="20.7109375" style="168" customWidth="1"/>
    <col min="15363" max="15363" width="10.42578125" style="168" customWidth="1"/>
    <col min="15364" max="15364" width="18.5703125" style="168" customWidth="1"/>
    <col min="15365" max="15365" width="11.7109375" style="168" customWidth="1"/>
    <col min="15366" max="15366" width="19.28515625" style="168" customWidth="1"/>
    <col min="15367" max="15367" width="10.28515625" style="168" customWidth="1"/>
    <col min="15368" max="15368" width="19.42578125" style="168" customWidth="1"/>
    <col min="15369" max="15369" width="10.28515625" style="168" customWidth="1"/>
    <col min="15370" max="15370" width="19.5703125" style="168" customWidth="1"/>
    <col min="15371" max="15371" width="10.42578125" style="168" customWidth="1"/>
    <col min="15372" max="15372" width="21.140625" style="168" customWidth="1"/>
    <col min="15373" max="15373" width="11.7109375" style="168" customWidth="1"/>
    <col min="15374" max="15615" width="11.42578125" style="168"/>
    <col min="15616" max="15616" width="13.28515625" style="168" customWidth="1"/>
    <col min="15617" max="15617" width="32.140625" style="168" customWidth="1"/>
    <col min="15618" max="15618" width="20.7109375" style="168" customWidth="1"/>
    <col min="15619" max="15619" width="10.42578125" style="168" customWidth="1"/>
    <col min="15620" max="15620" width="18.5703125" style="168" customWidth="1"/>
    <col min="15621" max="15621" width="11.7109375" style="168" customWidth="1"/>
    <col min="15622" max="15622" width="19.28515625" style="168" customWidth="1"/>
    <col min="15623" max="15623" width="10.28515625" style="168" customWidth="1"/>
    <col min="15624" max="15624" width="19.42578125" style="168" customWidth="1"/>
    <col min="15625" max="15625" width="10.28515625" style="168" customWidth="1"/>
    <col min="15626" max="15626" width="19.5703125" style="168" customWidth="1"/>
    <col min="15627" max="15627" width="10.42578125" style="168" customWidth="1"/>
    <col min="15628" max="15628" width="21.140625" style="168" customWidth="1"/>
    <col min="15629" max="15629" width="11.7109375" style="168" customWidth="1"/>
    <col min="15630" max="15871" width="11.42578125" style="168"/>
    <col min="15872" max="15872" width="13.28515625" style="168" customWidth="1"/>
    <col min="15873" max="15873" width="32.140625" style="168" customWidth="1"/>
    <col min="15874" max="15874" width="20.7109375" style="168" customWidth="1"/>
    <col min="15875" max="15875" width="10.42578125" style="168" customWidth="1"/>
    <col min="15876" max="15876" width="18.5703125" style="168" customWidth="1"/>
    <col min="15877" max="15877" width="11.7109375" style="168" customWidth="1"/>
    <col min="15878" max="15878" width="19.28515625" style="168" customWidth="1"/>
    <col min="15879" max="15879" width="10.28515625" style="168" customWidth="1"/>
    <col min="15880" max="15880" width="19.42578125" style="168" customWidth="1"/>
    <col min="15881" max="15881" width="10.28515625" style="168" customWidth="1"/>
    <col min="15882" max="15882" width="19.5703125" style="168" customWidth="1"/>
    <col min="15883" max="15883" width="10.42578125" style="168" customWidth="1"/>
    <col min="15884" max="15884" width="21.140625" style="168" customWidth="1"/>
    <col min="15885" max="15885" width="11.7109375" style="168" customWidth="1"/>
    <col min="15886" max="16127" width="11.42578125" style="168"/>
    <col min="16128" max="16128" width="13.28515625" style="168" customWidth="1"/>
    <col min="16129" max="16129" width="32.140625" style="168" customWidth="1"/>
    <col min="16130" max="16130" width="20.7109375" style="168" customWidth="1"/>
    <col min="16131" max="16131" width="10.42578125" style="168" customWidth="1"/>
    <col min="16132" max="16132" width="18.5703125" style="168" customWidth="1"/>
    <col min="16133" max="16133" width="11.7109375" style="168" customWidth="1"/>
    <col min="16134" max="16134" width="19.28515625" style="168" customWidth="1"/>
    <col min="16135" max="16135" width="10.28515625" style="168" customWidth="1"/>
    <col min="16136" max="16136" width="19.42578125" style="168" customWidth="1"/>
    <col min="16137" max="16137" width="10.28515625" style="168" customWidth="1"/>
    <col min="16138" max="16138" width="19.5703125" style="168" customWidth="1"/>
    <col min="16139" max="16139" width="10.42578125" style="168" customWidth="1"/>
    <col min="16140" max="16140" width="21.140625" style="168" customWidth="1"/>
    <col min="16141" max="16141" width="11.7109375" style="168" customWidth="1"/>
    <col min="16142" max="16384" width="11.42578125" style="168"/>
  </cols>
  <sheetData>
    <row r="1" spans="1:13" ht="67.5" hidden="1" customHeight="1">
      <c r="A1" s="564" t="s">
        <v>1511</v>
      </c>
      <c r="B1" s="564"/>
      <c r="C1" s="564"/>
      <c r="D1" s="564"/>
      <c r="E1" s="564"/>
      <c r="F1" s="564"/>
      <c r="G1" s="564"/>
      <c r="H1" s="564"/>
      <c r="I1" s="564"/>
      <c r="J1" s="564"/>
      <c r="K1" s="564"/>
      <c r="L1" s="564"/>
      <c r="M1" s="565"/>
    </row>
    <row r="2" spans="1:13" s="169" customFormat="1" ht="44.25" customHeight="1">
      <c r="A2" s="222" t="s">
        <v>22</v>
      </c>
      <c r="B2" s="223" t="s">
        <v>1512</v>
      </c>
      <c r="C2" s="223" t="s">
        <v>1509</v>
      </c>
      <c r="D2" s="223" t="s">
        <v>1478</v>
      </c>
      <c r="E2" s="223" t="s">
        <v>1479</v>
      </c>
      <c r="F2" s="223" t="s">
        <v>1466</v>
      </c>
      <c r="G2" s="223" t="s">
        <v>1480</v>
      </c>
      <c r="H2" s="223" t="s">
        <v>1481</v>
      </c>
      <c r="I2" s="223" t="s">
        <v>1482</v>
      </c>
      <c r="J2" s="223" t="s">
        <v>1483</v>
      </c>
      <c r="K2" s="223" t="s">
        <v>1484</v>
      </c>
      <c r="L2" s="224" t="s">
        <v>1485</v>
      </c>
      <c r="M2" s="223" t="s">
        <v>1486</v>
      </c>
    </row>
    <row r="3" spans="1:13" s="181" customFormat="1">
      <c r="A3" s="170" t="s">
        <v>1487</v>
      </c>
      <c r="B3" s="173">
        <f>'RELACIÓN PROYECTOS'!D3</f>
        <v>10549509202</v>
      </c>
      <c r="C3" s="172">
        <f>B3/B3</f>
        <v>1</v>
      </c>
      <c r="D3" s="173">
        <v>4770200730</v>
      </c>
      <c r="E3" s="174">
        <f>D3/B3</f>
        <v>0.45217276355336555</v>
      </c>
      <c r="F3" s="173">
        <f>'RELACIÓN PROYECTOS'!E3</f>
        <v>4687830730</v>
      </c>
      <c r="G3" s="175">
        <f>F3/B3</f>
        <v>0.44436481738043987</v>
      </c>
      <c r="H3" s="176">
        <f>'RELACIÓN PROYECTOS'!G3</f>
        <v>209642000</v>
      </c>
      <c r="I3" s="175">
        <f>H3/B3</f>
        <v>1.9872204098391192E-2</v>
      </c>
      <c r="J3" s="177">
        <f t="shared" ref="J3:J15" si="0">H3</f>
        <v>209642000</v>
      </c>
      <c r="K3" s="178">
        <f>J3/B3</f>
        <v>1.9872204098391192E-2</v>
      </c>
      <c r="L3" s="179">
        <f t="shared" ref="L3:L15" si="1">B3-D3</f>
        <v>5779308472</v>
      </c>
      <c r="M3" s="180">
        <f>L3/B3</f>
        <v>0.54782723644663445</v>
      </c>
    </row>
    <row r="4" spans="1:13" s="181" customFormat="1">
      <c r="A4" s="170" t="s">
        <v>1412</v>
      </c>
      <c r="B4" s="173">
        <f>'RELACIÓN PROYECTOS'!D9</f>
        <v>1182099650</v>
      </c>
      <c r="C4" s="172">
        <f t="shared" ref="C4:C22" si="2">B4/B4</f>
        <v>1</v>
      </c>
      <c r="D4" s="173">
        <v>399660001</v>
      </c>
      <c r="E4" s="174">
        <f t="shared" ref="E4:E15" si="3">D4/B4</f>
        <v>0.33809332487324567</v>
      </c>
      <c r="F4" s="173">
        <f>'RELACIÓN PROYECTOS'!E9</f>
        <v>350060001</v>
      </c>
      <c r="G4" s="175">
        <f t="shared" ref="G4:G16" si="4">F4/B4</f>
        <v>0.29613408734195973</v>
      </c>
      <c r="H4" s="176">
        <f>'RELACIÓN PROYECTOS'!G9</f>
        <v>153550000</v>
      </c>
      <c r="I4" s="175">
        <f t="shared" ref="I4:I20" si="5">H4/B4</f>
        <v>0.12989598634937419</v>
      </c>
      <c r="J4" s="177">
        <f t="shared" si="0"/>
        <v>153550000</v>
      </c>
      <c r="K4" s="178">
        <f t="shared" ref="K4:K20" si="6">J4/B4</f>
        <v>0.12989598634937419</v>
      </c>
      <c r="L4" s="179">
        <f t="shared" si="1"/>
        <v>782439649</v>
      </c>
      <c r="M4" s="180">
        <f t="shared" ref="M4:M15" si="7">L4/B4</f>
        <v>0.66190667512675438</v>
      </c>
    </row>
    <row r="5" spans="1:13" s="181" customFormat="1">
      <c r="A5" s="170" t="s">
        <v>1488</v>
      </c>
      <c r="B5" s="173">
        <f>'RELACIÓN PROYECTOS'!D18</f>
        <v>3041154599.1599998</v>
      </c>
      <c r="C5" s="172">
        <f t="shared" si="2"/>
        <v>1</v>
      </c>
      <c r="D5" s="173">
        <v>2004890667</v>
      </c>
      <c r="E5" s="174">
        <f t="shared" si="3"/>
        <v>0.65925312299275174</v>
      </c>
      <c r="F5" s="173">
        <f>'RELACIÓN PROYECTOS'!E18</f>
        <v>1634890667</v>
      </c>
      <c r="G5" s="175">
        <f t="shared" si="4"/>
        <v>0.53758880507146023</v>
      </c>
      <c r="H5" s="176">
        <f>'RELACIÓN PROYECTOS'!G18</f>
        <v>446404000</v>
      </c>
      <c r="I5" s="175">
        <f t="shared" si="5"/>
        <v>0.14678767074955731</v>
      </c>
      <c r="J5" s="177">
        <f t="shared" si="0"/>
        <v>446404000</v>
      </c>
      <c r="K5" s="178">
        <f t="shared" si="6"/>
        <v>0.14678767074955731</v>
      </c>
      <c r="L5" s="179">
        <f t="shared" si="1"/>
        <v>1036263932.1599998</v>
      </c>
      <c r="M5" s="180">
        <f t="shared" si="7"/>
        <v>0.34074687700724826</v>
      </c>
    </row>
    <row r="6" spans="1:13" s="181" customFormat="1">
      <c r="A6" s="170" t="s">
        <v>1413</v>
      </c>
      <c r="B6" s="182">
        <f>'RELACIÓN PROYECTOS'!D22</f>
        <v>91905449878.459991</v>
      </c>
      <c r="C6" s="172">
        <f t="shared" si="2"/>
        <v>1</v>
      </c>
      <c r="D6" s="173">
        <v>39908226366</v>
      </c>
      <c r="E6" s="174">
        <f t="shared" si="3"/>
        <v>0.43423133686605614</v>
      </c>
      <c r="F6" s="182">
        <f>'RELACIÓN PROYECTOS'!E22</f>
        <v>5560583941</v>
      </c>
      <c r="G6" s="175">
        <f t="shared" si="4"/>
        <v>6.050331017750931E-2</v>
      </c>
      <c r="H6" s="176">
        <f>'RELACIÓN PROYECTOS'!G22</f>
        <v>258300000</v>
      </c>
      <c r="I6" s="175">
        <f t="shared" si="5"/>
        <v>2.8104970961089666E-3</v>
      </c>
      <c r="J6" s="177">
        <f t="shared" si="0"/>
        <v>258300000</v>
      </c>
      <c r="K6" s="178">
        <f t="shared" si="6"/>
        <v>2.8104970961089666E-3</v>
      </c>
      <c r="L6" s="179">
        <f t="shared" si="1"/>
        <v>51997223512.459991</v>
      </c>
      <c r="M6" s="180">
        <f t="shared" si="7"/>
        <v>0.56576866313394381</v>
      </c>
    </row>
    <row r="7" spans="1:13" s="181" customFormat="1">
      <c r="A7" s="170" t="s">
        <v>1414</v>
      </c>
      <c r="B7" s="182">
        <f>'RELACIÓN PROYECTOS'!D47</f>
        <v>9005666049.1399994</v>
      </c>
      <c r="C7" s="172">
        <f t="shared" si="2"/>
        <v>1</v>
      </c>
      <c r="D7" s="173">
        <v>4495334951.8500004</v>
      </c>
      <c r="E7" s="174">
        <f t="shared" si="3"/>
        <v>0.4991674049782564</v>
      </c>
      <c r="F7" s="182">
        <f>'RELACIÓN PROYECTOS'!E47</f>
        <v>1519297794.3499999</v>
      </c>
      <c r="G7" s="175">
        <f t="shared" si="4"/>
        <v>0.1687046561642252</v>
      </c>
      <c r="H7" s="176">
        <f>'RELACIÓN PROYECTOS'!G47</f>
        <v>336093935.85000002</v>
      </c>
      <c r="I7" s="175">
        <f t="shared" si="5"/>
        <v>3.7320275259606753E-2</v>
      </c>
      <c r="J7" s="177">
        <f t="shared" si="0"/>
        <v>336093935.85000002</v>
      </c>
      <c r="K7" s="178">
        <f t="shared" si="6"/>
        <v>3.7320275259606753E-2</v>
      </c>
      <c r="L7" s="179">
        <f t="shared" si="1"/>
        <v>4510331097.289999</v>
      </c>
      <c r="M7" s="180">
        <f t="shared" si="7"/>
        <v>0.5008325950217436</v>
      </c>
    </row>
    <row r="8" spans="1:13" s="181" customFormat="1">
      <c r="A8" s="170" t="s">
        <v>170</v>
      </c>
      <c r="B8" s="173">
        <f>'RELACIÓN PROYECTOS'!D63</f>
        <v>3959930987.3400002</v>
      </c>
      <c r="C8" s="172">
        <f t="shared" si="2"/>
        <v>1</v>
      </c>
      <c r="D8" s="173">
        <v>2548150845.6700001</v>
      </c>
      <c r="E8" s="174">
        <f t="shared" si="3"/>
        <v>0.64348365004756469</v>
      </c>
      <c r="F8" s="182">
        <f>'RELACIÓN PROYECTOS'!E63</f>
        <v>581014999.67000008</v>
      </c>
      <c r="G8" s="175">
        <f t="shared" si="4"/>
        <v>0.14672351652781823</v>
      </c>
      <c r="H8" s="176">
        <f>'RELACIÓN PROYECTOS'!G63</f>
        <v>216539999.67000002</v>
      </c>
      <c r="I8" s="175">
        <f t="shared" si="5"/>
        <v>5.4682771079163722E-2</v>
      </c>
      <c r="J8" s="177">
        <f t="shared" si="0"/>
        <v>216539999.67000002</v>
      </c>
      <c r="K8" s="178">
        <f t="shared" si="6"/>
        <v>5.4682771079163722E-2</v>
      </c>
      <c r="L8" s="179">
        <f t="shared" si="1"/>
        <v>1411780141.6700001</v>
      </c>
      <c r="M8" s="180">
        <f t="shared" si="7"/>
        <v>0.35651634995243531</v>
      </c>
    </row>
    <row r="9" spans="1:13" s="181" customFormat="1" ht="19.5" customHeight="1">
      <c r="A9" s="183" t="s">
        <v>1415</v>
      </c>
      <c r="B9" s="173">
        <f>'RELACIÓN PROYECTOS'!D69</f>
        <v>2740910173.9000001</v>
      </c>
      <c r="C9" s="172">
        <f t="shared" si="2"/>
        <v>1</v>
      </c>
      <c r="D9" s="173">
        <v>1737995000</v>
      </c>
      <c r="E9" s="174">
        <f t="shared" si="3"/>
        <v>0.6340941109817666</v>
      </c>
      <c r="F9" s="182">
        <f>'RELACIÓN PROYECTOS'!E69</f>
        <v>981947000</v>
      </c>
      <c r="G9" s="175">
        <f t="shared" si="4"/>
        <v>0.35825581201108914</v>
      </c>
      <c r="H9" s="176">
        <f>'RELACIÓN PROYECTOS'!G69</f>
        <v>356901999.00999999</v>
      </c>
      <c r="I9" s="175">
        <f t="shared" si="5"/>
        <v>0.13021294984730181</v>
      </c>
      <c r="J9" s="177">
        <f t="shared" si="0"/>
        <v>356901999.00999999</v>
      </c>
      <c r="K9" s="178">
        <f t="shared" si="6"/>
        <v>0.13021294984730181</v>
      </c>
      <c r="L9" s="179">
        <f t="shared" si="1"/>
        <v>1002915173.9000001</v>
      </c>
      <c r="M9" s="180">
        <f t="shared" si="7"/>
        <v>0.36590588901823334</v>
      </c>
    </row>
    <row r="10" spans="1:13" s="181" customFormat="1" ht="25.5">
      <c r="A10" s="183" t="s">
        <v>1489</v>
      </c>
      <c r="B10" s="173">
        <f>'RELACIÓN PROYECTOS'!D77</f>
        <v>4551806900</v>
      </c>
      <c r="C10" s="172">
        <f t="shared" si="2"/>
        <v>1</v>
      </c>
      <c r="D10" s="173">
        <v>1401788542</v>
      </c>
      <c r="E10" s="174">
        <f t="shared" si="3"/>
        <v>0.30796309527102306</v>
      </c>
      <c r="F10" s="182">
        <f>'RELACIÓN PROYECTOS'!E77</f>
        <v>590241617</v>
      </c>
      <c r="G10" s="175">
        <f t="shared" si="4"/>
        <v>0.12967193687412354</v>
      </c>
      <c r="H10" s="176">
        <f>'RELACIÓN PROYECTOS'!G77</f>
        <v>203196666</v>
      </c>
      <c r="I10" s="175">
        <f t="shared" si="5"/>
        <v>4.4640880086543211E-2</v>
      </c>
      <c r="J10" s="177">
        <f t="shared" si="0"/>
        <v>203196666</v>
      </c>
      <c r="K10" s="178">
        <f t="shared" si="6"/>
        <v>4.4640880086543211E-2</v>
      </c>
      <c r="L10" s="179">
        <f t="shared" si="1"/>
        <v>3150018358</v>
      </c>
      <c r="M10" s="180">
        <f t="shared" si="7"/>
        <v>0.69203690472897694</v>
      </c>
    </row>
    <row r="11" spans="1:13" s="185" customFormat="1">
      <c r="A11" s="170" t="s">
        <v>1422</v>
      </c>
      <c r="B11" s="250">
        <f>'RELACIÓN PROYECTOS'!D99</f>
        <v>3343243430</v>
      </c>
      <c r="C11" s="172">
        <f t="shared" si="2"/>
        <v>1</v>
      </c>
      <c r="D11" s="173">
        <v>2408300000</v>
      </c>
      <c r="E11" s="174">
        <f t="shared" si="3"/>
        <v>0.72034838336614937</v>
      </c>
      <c r="F11" s="182">
        <f>'RELACIÓN PROYECTOS'!E99</f>
        <v>1018928000</v>
      </c>
      <c r="G11" s="175">
        <f t="shared" si="4"/>
        <v>0.30477230310447362</v>
      </c>
      <c r="H11" s="176">
        <f>'RELACIÓN PROYECTOS'!G99</f>
        <v>235130000</v>
      </c>
      <c r="I11" s="175">
        <f t="shared" si="5"/>
        <v>7.0329907146486195E-2</v>
      </c>
      <c r="J11" s="177">
        <f t="shared" si="0"/>
        <v>235130000</v>
      </c>
      <c r="K11" s="178">
        <f t="shared" si="6"/>
        <v>7.0329907146486195E-2</v>
      </c>
      <c r="L11" s="179">
        <f t="shared" si="1"/>
        <v>934943430</v>
      </c>
      <c r="M11" s="180">
        <f t="shared" si="7"/>
        <v>0.27965161663385069</v>
      </c>
    </row>
    <row r="12" spans="1:13" s="185" customFormat="1">
      <c r="A12" s="170" t="s">
        <v>160</v>
      </c>
      <c r="B12" s="251">
        <f>'RELACIÓN PROYECTOS'!D105</f>
        <v>213645814849.25</v>
      </c>
      <c r="C12" s="172">
        <f t="shared" si="2"/>
        <v>1</v>
      </c>
      <c r="D12" s="173">
        <f>'[1]EJECUCIÓN MARZO'!$Y$1046+'[1]EJECUCIÓN MARZO'!$Y$1663+'[1]EJECUCIÓN MARZO'!$Y$1840+'[1]EJECUCIÓN MARZO'!$Y$1995+'[1]EJECUCIÓN MARZO'!$Y$2177+'[1]EJECUCIÓN MARZO'!$Y$2333</f>
        <v>62876703404.440002</v>
      </c>
      <c r="E12" s="174">
        <f t="shared" si="3"/>
        <v>0.29430346411796671</v>
      </c>
      <c r="F12" s="182">
        <f>'RELACIÓN PROYECTOS'!E105</f>
        <v>58593949470.360001</v>
      </c>
      <c r="G12" s="175">
        <f t="shared" si="4"/>
        <v>0.27425741764098821</v>
      </c>
      <c r="H12" s="176">
        <f>'RELACIÓN PROYECTOS'!G105</f>
        <v>40947479903.300003</v>
      </c>
      <c r="I12" s="175">
        <f t="shared" si="5"/>
        <v>0.19166057585632013</v>
      </c>
      <c r="J12" s="177">
        <f t="shared" si="0"/>
        <v>40947479903.300003</v>
      </c>
      <c r="K12" s="178">
        <f t="shared" si="6"/>
        <v>0.19166057585632013</v>
      </c>
      <c r="L12" s="179">
        <f t="shared" si="1"/>
        <v>150769111444.81</v>
      </c>
      <c r="M12" s="180">
        <f t="shared" si="7"/>
        <v>0.70569653588203329</v>
      </c>
    </row>
    <row r="13" spans="1:13" s="181" customFormat="1">
      <c r="A13" s="170" t="s">
        <v>1416</v>
      </c>
      <c r="B13" s="250">
        <f>'RELACIÓN PROYECTOS'!D117</f>
        <v>7537461518.4300003</v>
      </c>
      <c r="C13" s="172">
        <f t="shared" si="2"/>
        <v>1</v>
      </c>
      <c r="D13" s="173">
        <f>'[1]EJECUCIÓN MARZO'!$Y$1235</f>
        <v>2320305106.4299998</v>
      </c>
      <c r="E13" s="174">
        <f t="shared" si="3"/>
        <v>0.30783641160310732</v>
      </c>
      <c r="F13" s="182">
        <f>'RELACIÓN PROYECTOS'!E117</f>
        <v>1710985106.4300001</v>
      </c>
      <c r="G13" s="175">
        <f t="shared" si="4"/>
        <v>0.22699752459716518</v>
      </c>
      <c r="H13" s="176">
        <f>'RELACIÓN PROYECTOS'!G117</f>
        <v>1241735106.4300001</v>
      </c>
      <c r="I13" s="175">
        <f t="shared" si="5"/>
        <v>0.16474181704195881</v>
      </c>
      <c r="J13" s="177">
        <f t="shared" si="0"/>
        <v>1241735106.4300001</v>
      </c>
      <c r="K13" s="178">
        <f t="shared" si="6"/>
        <v>0.16474181704195881</v>
      </c>
      <c r="L13" s="179">
        <f t="shared" si="1"/>
        <v>5217156412</v>
      </c>
      <c r="M13" s="180">
        <f t="shared" si="7"/>
        <v>0.69216358839689263</v>
      </c>
    </row>
    <row r="14" spans="1:13" s="181" customFormat="1">
      <c r="A14" s="170" t="s">
        <v>1417</v>
      </c>
      <c r="B14" s="173">
        <f>'RELACIÓN PROYECTOS'!D146</f>
        <v>53313292857.790001</v>
      </c>
      <c r="C14" s="172">
        <f t="shared" si="2"/>
        <v>1</v>
      </c>
      <c r="D14" s="173">
        <f>'[1]EJECUCIÓN MARZO'!$Y$1435+'[1]EJECUCIÓN MARZO'!$Y$2391+'[1]EJECUCIÓN MARZO'!$Y$2414+'[1]EJECUCIÓN MARZO'!$Y$2435+'[1]EJECUCIÓN MARZO'!$Y$2593</f>
        <v>39599217693.099998</v>
      </c>
      <c r="E14" s="174">
        <f t="shared" si="3"/>
        <v>0.74276443210380061</v>
      </c>
      <c r="F14" s="182">
        <f>'RELACIÓN PROYECTOS'!E146</f>
        <v>39176601827.099998</v>
      </c>
      <c r="G14" s="175">
        <f t="shared" si="4"/>
        <v>0.73483740596554836</v>
      </c>
      <c r="H14" s="176">
        <f>'RELACIÓN PROYECTOS'!G146</f>
        <v>8534465634.1400003</v>
      </c>
      <c r="I14" s="175">
        <f t="shared" si="5"/>
        <v>0.16008138264701027</v>
      </c>
      <c r="J14" s="177">
        <f t="shared" si="0"/>
        <v>8534465634.1400003</v>
      </c>
      <c r="K14" s="178">
        <f t="shared" si="6"/>
        <v>0.16008138264701027</v>
      </c>
      <c r="L14" s="179">
        <f t="shared" si="1"/>
        <v>13714075164.690002</v>
      </c>
      <c r="M14" s="180">
        <f t="shared" si="7"/>
        <v>0.25723556789619939</v>
      </c>
    </row>
    <row r="15" spans="1:13" s="181" customFormat="1" ht="25.5">
      <c r="A15" s="183" t="s">
        <v>1490</v>
      </c>
      <c r="B15" s="173">
        <f>'RELACIÓN PROYECTOS'!D171</f>
        <v>1266894018</v>
      </c>
      <c r="C15" s="172">
        <f t="shared" si="2"/>
        <v>1</v>
      </c>
      <c r="D15" s="173">
        <f>'[1]EJECUCIÓN MARZO'!$Y$1518</f>
        <v>808474500</v>
      </c>
      <c r="E15" s="174">
        <f t="shared" si="3"/>
        <v>0.63815480104350764</v>
      </c>
      <c r="F15" s="182">
        <f>'RELACIÓN PROYECTOS'!E171</f>
        <v>579300000</v>
      </c>
      <c r="G15" s="175">
        <f t="shared" si="4"/>
        <v>0.45726003262255516</v>
      </c>
      <c r="H15" s="176">
        <f>'RELACIÓN PROYECTOS'!G171</f>
        <v>242300000</v>
      </c>
      <c r="I15" s="175">
        <f t="shared" si="5"/>
        <v>0.19125514570075111</v>
      </c>
      <c r="J15" s="177">
        <f t="shared" si="0"/>
        <v>242300000</v>
      </c>
      <c r="K15" s="178">
        <f t="shared" si="6"/>
        <v>0.19125514570075111</v>
      </c>
      <c r="L15" s="179">
        <f t="shared" si="1"/>
        <v>458419518</v>
      </c>
      <c r="M15" s="180">
        <f t="shared" si="7"/>
        <v>0.36184519895649236</v>
      </c>
    </row>
    <row r="16" spans="1:13" s="191" customFormat="1" ht="16.5" customHeight="1">
      <c r="A16" s="186" t="s">
        <v>1491</v>
      </c>
      <c r="B16" s="187">
        <f>SUM(B3:B15)</f>
        <v>406043234113.46997</v>
      </c>
      <c r="C16" s="188">
        <f t="shared" si="2"/>
        <v>1</v>
      </c>
      <c r="D16" s="187">
        <f>SUM(D3:D15)</f>
        <v>165279247807.48999</v>
      </c>
      <c r="E16" s="189">
        <f>D16/B16</f>
        <v>0.40704839761300449</v>
      </c>
      <c r="F16" s="187">
        <f>SUM(F3:F15)</f>
        <v>116985631153.91</v>
      </c>
      <c r="G16" s="175">
        <f t="shared" si="4"/>
        <v>0.28811126827252592</v>
      </c>
      <c r="H16" s="187">
        <f>SUM(H3:H15)</f>
        <v>53381739244.400002</v>
      </c>
      <c r="I16" s="175">
        <f t="shared" si="5"/>
        <v>0.13146811659342245</v>
      </c>
      <c r="J16" s="187">
        <f>SUM(J3:J15)</f>
        <v>53381739244.400002</v>
      </c>
      <c r="K16" s="190">
        <f t="shared" si="6"/>
        <v>0.13146811659342245</v>
      </c>
      <c r="L16" s="187">
        <f>SUM(L3:L15)</f>
        <v>240763986305.97998</v>
      </c>
      <c r="M16" s="189">
        <f>L16/B16</f>
        <v>0.59295160238699551</v>
      </c>
    </row>
    <row r="17" spans="1:16">
      <c r="A17" s="170" t="s">
        <v>1492</v>
      </c>
      <c r="B17" s="184">
        <f>'RELACIÓN PROYECTOS'!D181</f>
        <v>9310061302.6199989</v>
      </c>
      <c r="C17" s="172">
        <f t="shared" si="2"/>
        <v>1</v>
      </c>
      <c r="D17" s="192">
        <v>3713504846.75</v>
      </c>
      <c r="E17" s="174">
        <f>D17/B17</f>
        <v>0.39887007464762458</v>
      </c>
      <c r="F17" s="182">
        <f>'RELACIÓN PROYECTOS'!E181</f>
        <v>2357978628</v>
      </c>
      <c r="G17" s="175">
        <f>F17/B17</f>
        <v>0.2532720839696756</v>
      </c>
      <c r="H17" s="176">
        <f>'RELACIÓN PROYECTOS'!G181</f>
        <v>436643218</v>
      </c>
      <c r="I17" s="175">
        <f t="shared" si="5"/>
        <v>4.6900144242564938E-2</v>
      </c>
      <c r="J17" s="177">
        <f>H17</f>
        <v>436643218</v>
      </c>
      <c r="K17" s="178">
        <f t="shared" si="6"/>
        <v>4.6900144242564938E-2</v>
      </c>
      <c r="L17" s="179">
        <f>B17-D17</f>
        <v>5596556455.8699989</v>
      </c>
      <c r="M17" s="180">
        <f>L17/B17</f>
        <v>0.60112992535237542</v>
      </c>
    </row>
    <row r="18" spans="1:16" s="193" customFormat="1">
      <c r="A18" s="170" t="s">
        <v>1418</v>
      </c>
      <c r="B18" s="171">
        <f>'RELACIÓN PROYECTOS'!D186</f>
        <v>4454923248</v>
      </c>
      <c r="C18" s="172">
        <f t="shared" si="2"/>
        <v>1</v>
      </c>
      <c r="D18" s="192">
        <v>778829000</v>
      </c>
      <c r="E18" s="174">
        <f>D18/B18</f>
        <v>0.17482433627776836</v>
      </c>
      <c r="F18" s="182">
        <f>'RELACIÓN PROYECTOS'!E186</f>
        <v>778829000</v>
      </c>
      <c r="G18" s="175">
        <f>F18/B18</f>
        <v>0.17482433627776836</v>
      </c>
      <c r="H18" s="176">
        <f>'RELACIÓN PROYECTOS'!G186</f>
        <v>198298500</v>
      </c>
      <c r="I18" s="175">
        <f t="shared" si="5"/>
        <v>4.4512214680471639E-2</v>
      </c>
      <c r="J18" s="177">
        <f>H18</f>
        <v>198298500</v>
      </c>
      <c r="K18" s="178">
        <f t="shared" si="6"/>
        <v>4.4512214680471639E-2</v>
      </c>
      <c r="L18" s="179">
        <f>B18-D18</f>
        <v>3676094248</v>
      </c>
      <c r="M18" s="180">
        <f>L18/B18</f>
        <v>0.82517566372223161</v>
      </c>
    </row>
    <row r="19" spans="1:16" s="193" customFormat="1">
      <c r="A19" s="183" t="s">
        <v>1493</v>
      </c>
      <c r="B19" s="171">
        <f>'RELACIÓN PROYECTOS'!D196</f>
        <v>118932650</v>
      </c>
      <c r="C19" s="172">
        <f t="shared" si="2"/>
        <v>1</v>
      </c>
      <c r="D19" s="192">
        <v>61000000</v>
      </c>
      <c r="E19" s="174">
        <f>D19/B19</f>
        <v>0.51289532352974565</v>
      </c>
      <c r="F19" s="182">
        <f>'RELACIÓN PROYECTOS'!E196</f>
        <v>61000000</v>
      </c>
      <c r="G19" s="175">
        <f>F19/B19</f>
        <v>0.51289532352974565</v>
      </c>
      <c r="H19" s="176">
        <f>'RELACIÓN PROYECTOS'!G196</f>
        <v>25750000</v>
      </c>
      <c r="I19" s="175">
        <f t="shared" si="5"/>
        <v>0.21650909149001557</v>
      </c>
      <c r="J19" s="177">
        <f>H19</f>
        <v>25750000</v>
      </c>
      <c r="K19" s="178">
        <f t="shared" si="6"/>
        <v>0.21650909149001557</v>
      </c>
      <c r="L19" s="179">
        <f>B19-D19</f>
        <v>57932650</v>
      </c>
      <c r="M19" s="180">
        <f>L19/B19</f>
        <v>0.48710467647025441</v>
      </c>
    </row>
    <row r="20" spans="1:16" s="193" customFormat="1">
      <c r="A20" s="194" t="s">
        <v>1494</v>
      </c>
      <c r="B20" s="187">
        <f>SUM(B17:B19)</f>
        <v>13883917200.619999</v>
      </c>
      <c r="C20" s="188">
        <f t="shared" si="2"/>
        <v>1</v>
      </c>
      <c r="D20" s="187">
        <f>SUM(D17:D19)</f>
        <v>4553333846.75</v>
      </c>
      <c r="E20" s="189">
        <f>D20/B20</f>
        <v>0.32795743311885112</v>
      </c>
      <c r="F20" s="187">
        <f>SUM(F17:F19)</f>
        <v>3197807628</v>
      </c>
      <c r="G20" s="195">
        <f>F20/B20</f>
        <v>0.23032459656682475</v>
      </c>
      <c r="H20" s="187">
        <f>SUM(H17:H19)</f>
        <v>660691718</v>
      </c>
      <c r="I20" s="175">
        <f t="shared" si="5"/>
        <v>4.7586837954528872E-2</v>
      </c>
      <c r="J20" s="187">
        <f>SUM(J17:J19)</f>
        <v>660691718</v>
      </c>
      <c r="K20" s="190">
        <f t="shared" si="6"/>
        <v>4.7586837954528872E-2</v>
      </c>
      <c r="L20" s="187">
        <f>SUM(L17:L19)</f>
        <v>9330583353.8699989</v>
      </c>
      <c r="M20" s="189">
        <f>L20/B20</f>
        <v>0.67204256688114883</v>
      </c>
    </row>
    <row r="21" spans="1:16" s="193" customFormat="1">
      <c r="A21" s="196"/>
      <c r="B21" s="197"/>
      <c r="C21" s="198"/>
      <c r="D21" s="198"/>
      <c r="E21" s="199"/>
      <c r="G21" s="200"/>
      <c r="I21" s="200"/>
      <c r="K21" s="200"/>
      <c r="M21" s="201"/>
    </row>
    <row r="22" spans="1:16" s="193" customFormat="1">
      <c r="A22" s="225" t="s">
        <v>1495</v>
      </c>
      <c r="B22" s="226">
        <f>B16+B20</f>
        <v>419927151314.08997</v>
      </c>
      <c r="C22" s="227">
        <f t="shared" si="2"/>
        <v>1</v>
      </c>
      <c r="D22" s="226">
        <f>D16+D20</f>
        <v>169832581654.23999</v>
      </c>
      <c r="E22" s="228">
        <f>D22/B22</f>
        <v>0.40443343833038198</v>
      </c>
      <c r="F22" s="226">
        <f>F16+F20</f>
        <v>120183438781.91</v>
      </c>
      <c r="G22" s="229">
        <f>F22/B22</f>
        <v>0.28620068601379206</v>
      </c>
      <c r="H22" s="226">
        <f>H16+H20</f>
        <v>54042430962.400002</v>
      </c>
      <c r="I22" s="229">
        <f>H22/B22</f>
        <v>0.12869477668515475</v>
      </c>
      <c r="J22" s="226">
        <f>J16+J20</f>
        <v>54042430962.400002</v>
      </c>
      <c r="K22" s="230">
        <f>J22/B22</f>
        <v>0.12869477668515475</v>
      </c>
      <c r="L22" s="226">
        <f>L16+L20</f>
        <v>250094569659.84998</v>
      </c>
      <c r="M22" s="228">
        <f>L22/B22</f>
        <v>0.59556656166961797</v>
      </c>
    </row>
    <row r="23" spans="1:16" s="207" customFormat="1" ht="14.25">
      <c r="A23" s="202"/>
      <c r="B23" s="203"/>
      <c r="C23" s="204"/>
      <c r="D23" s="203"/>
      <c r="E23" s="205"/>
      <c r="F23" s="203"/>
      <c r="G23" s="203"/>
      <c r="H23" s="203"/>
      <c r="I23" s="206"/>
      <c r="J23" s="203"/>
      <c r="K23" s="206"/>
      <c r="L23" s="203"/>
      <c r="M23" s="205"/>
    </row>
    <row r="24" spans="1:16" s="193" customFormat="1" ht="15">
      <c r="A24" s="231" t="s">
        <v>1496</v>
      </c>
      <c r="B24" s="232" t="s">
        <v>1510</v>
      </c>
      <c r="C24" s="233" t="s">
        <v>1497</v>
      </c>
      <c r="D24" s="234"/>
      <c r="E24" s="234"/>
      <c r="F24" s="212"/>
      <c r="J24" s="209"/>
      <c r="L24" s="210"/>
      <c r="M24" s="211"/>
      <c r="N24" s="208"/>
      <c r="O24" s="212"/>
      <c r="P24" s="212"/>
    </row>
    <row r="25" spans="1:16" s="193" customFormat="1" ht="16.5" thickBot="1">
      <c r="A25" s="235" t="s">
        <v>1513</v>
      </c>
      <c r="B25" s="236">
        <f>B16</f>
        <v>406043234113.46997</v>
      </c>
      <c r="C25" s="237">
        <f>B25/B25</f>
        <v>1</v>
      </c>
      <c r="D25" s="237"/>
      <c r="E25" s="238"/>
      <c r="F25" s="212"/>
      <c r="L25" s="214"/>
      <c r="M25" s="215"/>
      <c r="N25" s="213"/>
      <c r="O25" s="212"/>
      <c r="P25" s="212"/>
    </row>
    <row r="26" spans="1:16" s="193" customFormat="1" ht="15.75">
      <c r="A26" s="235" t="s">
        <v>1498</v>
      </c>
      <c r="B26" s="236">
        <f>D16</f>
        <v>165279247807.48999</v>
      </c>
      <c r="C26" s="239">
        <f>B26/B25</f>
        <v>0.40704839761300449</v>
      </c>
      <c r="D26" s="518" t="s">
        <v>1508</v>
      </c>
      <c r="E26" s="519"/>
      <c r="F26" s="212"/>
      <c r="L26" s="214"/>
      <c r="M26" s="215"/>
      <c r="N26" s="216"/>
      <c r="O26" s="212"/>
      <c r="P26" s="212"/>
    </row>
    <row r="27" spans="1:16" s="193" customFormat="1" ht="15.75">
      <c r="A27" s="235" t="s">
        <v>1499</v>
      </c>
      <c r="B27" s="236">
        <f>F16</f>
        <v>116985631153.91</v>
      </c>
      <c r="C27" s="240">
        <f>B27/B25</f>
        <v>0.28811126827252592</v>
      </c>
      <c r="D27" s="520" t="s">
        <v>1500</v>
      </c>
      <c r="E27" s="521"/>
      <c r="F27" s="212"/>
      <c r="L27" s="214"/>
      <c r="M27" s="215"/>
      <c r="N27" s="217"/>
      <c r="O27" s="212"/>
      <c r="P27" s="212"/>
    </row>
    <row r="28" spans="1:16" s="193" customFormat="1" ht="15.75">
      <c r="A28" s="235" t="s">
        <v>1501</v>
      </c>
      <c r="B28" s="236">
        <f>H16</f>
        <v>53381739244.400002</v>
      </c>
      <c r="C28" s="240">
        <f>B28/B25</f>
        <v>0.13146811659342245</v>
      </c>
      <c r="D28" s="522" t="s">
        <v>1502</v>
      </c>
      <c r="E28" s="523"/>
      <c r="F28" s="212"/>
      <c r="L28" s="214"/>
      <c r="M28" s="215"/>
      <c r="N28" s="217"/>
      <c r="O28" s="212"/>
      <c r="P28" s="212"/>
    </row>
    <row r="29" spans="1:16" s="193" customFormat="1" ht="15.75">
      <c r="A29" s="235" t="s">
        <v>1503</v>
      </c>
      <c r="B29" s="236">
        <f>J16</f>
        <v>53381739244.400002</v>
      </c>
      <c r="C29" s="240">
        <f>B29/B25</f>
        <v>0.13146811659342245</v>
      </c>
      <c r="D29" s="503" t="s">
        <v>1504</v>
      </c>
      <c r="E29" s="504"/>
      <c r="F29" s="212"/>
      <c r="L29" s="214"/>
      <c r="M29" s="215"/>
      <c r="N29" s="217"/>
      <c r="O29" s="212"/>
      <c r="P29" s="212"/>
    </row>
    <row r="30" spans="1:16" ht="15.75">
      <c r="A30" s="241" t="s">
        <v>1505</v>
      </c>
      <c r="B30" s="236">
        <f>L16</f>
        <v>240763986305.97998</v>
      </c>
      <c r="C30" s="240">
        <f>B30/B25</f>
        <v>0.59295160238699551</v>
      </c>
      <c r="D30" s="505" t="s">
        <v>1506</v>
      </c>
      <c r="E30" s="506"/>
      <c r="F30" s="212"/>
      <c r="L30" s="218"/>
      <c r="M30" s="215"/>
      <c r="N30" s="217"/>
      <c r="O30" s="219"/>
      <c r="P30" s="219"/>
    </row>
    <row r="31" spans="1:16" ht="15">
      <c r="A31" s="242"/>
      <c r="B31" s="243"/>
      <c r="C31" s="243"/>
      <c r="D31" s="507" t="s">
        <v>1507</v>
      </c>
      <c r="E31" s="508"/>
      <c r="F31" s="212"/>
      <c r="L31" s="212"/>
      <c r="M31" s="219"/>
      <c r="N31" s="219"/>
      <c r="O31" s="219"/>
      <c r="P31" s="219"/>
    </row>
    <row r="32" spans="1:16">
      <c r="A32" s="244"/>
      <c r="B32" s="198"/>
      <c r="C32" s="220"/>
      <c r="D32" s="220"/>
      <c r="E32" s="220"/>
      <c r="F32" s="212"/>
      <c r="L32" s="212"/>
      <c r="M32" s="219"/>
      <c r="N32" s="219"/>
      <c r="O32" s="219"/>
      <c r="P32" s="219"/>
    </row>
    <row r="33" spans="1:16" ht="15">
      <c r="A33" s="231" t="s">
        <v>1496</v>
      </c>
      <c r="B33" s="232" t="s">
        <v>1510</v>
      </c>
      <c r="C33" s="233" t="s">
        <v>1497</v>
      </c>
      <c r="D33" s="220"/>
      <c r="E33" s="220"/>
      <c r="F33" s="212"/>
      <c r="L33" s="212"/>
      <c r="M33" s="219"/>
      <c r="N33" s="219"/>
      <c r="O33" s="219"/>
      <c r="P33" s="219"/>
    </row>
    <row r="34" spans="1:16" ht="15.75">
      <c r="A34" s="235" t="s">
        <v>1513</v>
      </c>
      <c r="B34" s="236">
        <f>B20</f>
        <v>13883917200.619999</v>
      </c>
      <c r="C34" s="237">
        <f>B34/B34</f>
        <v>1</v>
      </c>
      <c r="D34" s="220"/>
      <c r="E34" s="220"/>
      <c r="F34" s="212"/>
      <c r="L34" s="212"/>
      <c r="M34" s="219"/>
      <c r="N34" s="219"/>
      <c r="O34" s="219"/>
      <c r="P34" s="219"/>
    </row>
    <row r="35" spans="1:16" ht="15.75">
      <c r="A35" s="235" t="s">
        <v>1498</v>
      </c>
      <c r="B35" s="236">
        <f>D20</f>
        <v>4553333846.75</v>
      </c>
      <c r="C35" s="239">
        <f>B35/B34</f>
        <v>0.32795743311885112</v>
      </c>
      <c r="D35" s="220"/>
      <c r="E35" s="220"/>
      <c r="F35" s="212"/>
      <c r="L35" s="212"/>
      <c r="M35" s="219"/>
      <c r="N35" s="219"/>
      <c r="O35" s="219"/>
      <c r="P35" s="219"/>
    </row>
    <row r="36" spans="1:16" ht="15.75">
      <c r="A36" s="235" t="s">
        <v>1499</v>
      </c>
      <c r="B36" s="236">
        <f>F20</f>
        <v>3197807628</v>
      </c>
      <c r="C36" s="240">
        <f>B36/B34</f>
        <v>0.23032459656682475</v>
      </c>
      <c r="D36" s="220"/>
      <c r="E36" s="220"/>
      <c r="F36" s="212"/>
      <c r="L36" s="212"/>
      <c r="M36" s="219"/>
      <c r="N36" s="219"/>
      <c r="O36" s="219"/>
      <c r="P36" s="219"/>
    </row>
    <row r="37" spans="1:16" ht="15.75">
      <c r="A37" s="235" t="s">
        <v>1501</v>
      </c>
      <c r="B37" s="236">
        <f>H20</f>
        <v>660691718</v>
      </c>
      <c r="C37" s="240">
        <f>B37/B34</f>
        <v>4.7586837954528872E-2</v>
      </c>
      <c r="D37" s="220"/>
      <c r="E37" s="220"/>
      <c r="F37" s="212"/>
      <c r="L37" s="212"/>
      <c r="M37" s="219"/>
      <c r="N37" s="219"/>
      <c r="O37" s="219"/>
      <c r="P37" s="219"/>
    </row>
    <row r="38" spans="1:16" ht="15.75">
      <c r="A38" s="235" t="s">
        <v>1503</v>
      </c>
      <c r="B38" s="236">
        <f>J20</f>
        <v>660691718</v>
      </c>
      <c r="C38" s="240">
        <f>B38/B34</f>
        <v>4.7586837954528872E-2</v>
      </c>
      <c r="D38" s="220"/>
      <c r="E38" s="220"/>
      <c r="F38" s="212"/>
      <c r="L38" s="212"/>
      <c r="M38" s="219"/>
      <c r="N38" s="219"/>
      <c r="O38" s="219"/>
      <c r="P38" s="219"/>
    </row>
    <row r="39" spans="1:16" ht="15.75">
      <c r="A39" s="241" t="s">
        <v>1505</v>
      </c>
      <c r="B39" s="236">
        <f>L20</f>
        <v>9330583353.8699989</v>
      </c>
      <c r="C39" s="240">
        <f>B39/B34</f>
        <v>0.67204256688114883</v>
      </c>
      <c r="D39" s="220"/>
      <c r="E39" s="220"/>
      <c r="F39" s="212"/>
      <c r="L39" s="212"/>
      <c r="M39" s="219"/>
      <c r="N39" s="219"/>
      <c r="O39" s="219"/>
      <c r="P39" s="219"/>
    </row>
    <row r="40" spans="1:16">
      <c r="A40" s="244"/>
      <c r="B40" s="198"/>
      <c r="C40" s="198"/>
      <c r="D40" s="198"/>
      <c r="E40" s="198"/>
      <c r="F40" s="212"/>
      <c r="L40" s="212"/>
      <c r="M40" s="219"/>
      <c r="N40" s="219"/>
      <c r="O40" s="219"/>
      <c r="P40" s="219"/>
    </row>
    <row r="41" spans="1:16" s="193" customFormat="1">
      <c r="A41" s="244"/>
      <c r="B41" s="198"/>
      <c r="C41" s="198"/>
      <c r="D41" s="198"/>
      <c r="E41" s="198"/>
      <c r="F41" s="212"/>
      <c r="M41" s="168"/>
      <c r="N41" s="168"/>
      <c r="O41" s="168"/>
      <c r="P41" s="168"/>
    </row>
    <row r="42" spans="1:16" s="193" customFormat="1">
      <c r="A42" s="242"/>
      <c r="B42" s="243"/>
      <c r="C42" s="243"/>
      <c r="D42" s="212"/>
      <c r="E42" s="212"/>
      <c r="F42" s="212"/>
      <c r="M42" s="168"/>
      <c r="N42" s="168"/>
      <c r="O42" s="168"/>
      <c r="P42" s="168"/>
    </row>
    <row r="43" spans="1:16">
      <c r="A43" s="242"/>
      <c r="B43" s="243"/>
      <c r="C43" s="243"/>
      <c r="D43" s="212"/>
      <c r="E43" s="212"/>
      <c r="F43" s="212"/>
    </row>
    <row r="44" spans="1:16">
      <c r="A44" s="242"/>
      <c r="B44" s="243"/>
      <c r="C44" s="243"/>
      <c r="D44" s="212"/>
      <c r="E44" s="212"/>
      <c r="F44" s="212"/>
    </row>
    <row r="45" spans="1:16">
      <c r="A45" s="242"/>
      <c r="B45" s="243"/>
      <c r="C45" s="243"/>
      <c r="D45" s="212"/>
      <c r="E45" s="212"/>
      <c r="F45" s="212"/>
    </row>
    <row r="46" spans="1:16">
      <c r="A46" s="242"/>
      <c r="B46" s="243"/>
      <c r="C46" s="243"/>
      <c r="D46" s="212"/>
      <c r="E46" s="212"/>
      <c r="F46" s="212"/>
    </row>
    <row r="47" spans="1:16" ht="15">
      <c r="A47" s="231" t="s">
        <v>1496</v>
      </c>
      <c r="B47" s="232" t="s">
        <v>1510</v>
      </c>
      <c r="C47" s="233" t="s">
        <v>1497</v>
      </c>
      <c r="D47" s="212"/>
      <c r="E47" s="212"/>
      <c r="F47" s="212"/>
    </row>
    <row r="48" spans="1:16" ht="15.75">
      <c r="A48" s="235" t="s">
        <v>1513</v>
      </c>
      <c r="B48" s="236">
        <f>B22</f>
        <v>419927151314.08997</v>
      </c>
      <c r="C48" s="237">
        <f>B48/B48</f>
        <v>1</v>
      </c>
      <c r="D48" s="212"/>
      <c r="E48" s="212"/>
      <c r="F48" s="212"/>
    </row>
    <row r="49" spans="1:6" ht="15.75">
      <c r="A49" s="235" t="s">
        <v>1498</v>
      </c>
      <c r="B49" s="236">
        <f>D22</f>
        <v>169832581654.23999</v>
      </c>
      <c r="C49" s="239">
        <f>B49/B48</f>
        <v>0.40443343833038198</v>
      </c>
      <c r="D49" s="212"/>
      <c r="E49" s="212"/>
      <c r="F49" s="212"/>
    </row>
    <row r="50" spans="1:6" ht="15.75">
      <c r="A50" s="235" t="s">
        <v>1499</v>
      </c>
      <c r="B50" s="236">
        <f>F22</f>
        <v>120183438781.91</v>
      </c>
      <c r="C50" s="240">
        <f>B50/B48</f>
        <v>0.28620068601379206</v>
      </c>
      <c r="D50" s="212"/>
      <c r="E50" s="212"/>
      <c r="F50" s="212"/>
    </row>
    <row r="51" spans="1:6" ht="15.75">
      <c r="A51" s="235" t="s">
        <v>1501</v>
      </c>
      <c r="B51" s="236">
        <f>H22</f>
        <v>54042430962.400002</v>
      </c>
      <c r="C51" s="240">
        <f>B51/B48</f>
        <v>0.12869477668515475</v>
      </c>
      <c r="D51" s="212"/>
      <c r="E51" s="212"/>
      <c r="F51" s="212"/>
    </row>
    <row r="52" spans="1:6" ht="15.75">
      <c r="A52" s="235" t="s">
        <v>1503</v>
      </c>
      <c r="B52" s="236">
        <f>J22</f>
        <v>54042430962.400002</v>
      </c>
      <c r="C52" s="240">
        <f>B52/B48</f>
        <v>0.12869477668515475</v>
      </c>
      <c r="D52" s="212"/>
      <c r="E52" s="212"/>
      <c r="F52" s="212"/>
    </row>
    <row r="53" spans="1:6" ht="15.75">
      <c r="A53" s="241" t="s">
        <v>1505</v>
      </c>
      <c r="B53" s="236">
        <f>L22</f>
        <v>250094569659.84998</v>
      </c>
      <c r="C53" s="240">
        <f>B53/B48</f>
        <v>0.59556656166961797</v>
      </c>
      <c r="D53" s="212"/>
      <c r="E53" s="212"/>
      <c r="F53" s="212"/>
    </row>
    <row r="54" spans="1:6">
      <c r="A54" s="221"/>
      <c r="B54" s="212"/>
      <c r="C54" s="212"/>
      <c r="D54" s="212"/>
      <c r="E54" s="212"/>
      <c r="F54" s="212"/>
    </row>
    <row r="55" spans="1:6">
      <c r="A55" s="221"/>
      <c r="B55" s="212"/>
      <c r="C55" s="212"/>
      <c r="D55" s="212"/>
      <c r="E55" s="212"/>
      <c r="F55" s="212"/>
    </row>
    <row r="56" spans="1:6">
      <c r="A56" s="221"/>
      <c r="B56" s="212"/>
      <c r="C56" s="212"/>
      <c r="D56" s="212"/>
      <c r="E56" s="212"/>
      <c r="F56" s="212"/>
    </row>
    <row r="57" spans="1:6">
      <c r="A57" s="221"/>
      <c r="B57" s="212"/>
      <c r="C57" s="212"/>
      <c r="D57" s="212"/>
      <c r="E57" s="212"/>
      <c r="F57" s="212"/>
    </row>
    <row r="58" spans="1:6">
      <c r="A58" s="219"/>
      <c r="B58" s="212"/>
      <c r="C58" s="212"/>
      <c r="D58" s="212"/>
      <c r="E58" s="212"/>
      <c r="F58" s="212"/>
    </row>
    <row r="59" spans="1:6">
      <c r="A59" s="219"/>
      <c r="B59" s="212"/>
      <c r="C59" s="212"/>
      <c r="D59" s="212"/>
      <c r="E59" s="212"/>
      <c r="F59" s="212"/>
    </row>
    <row r="60" spans="1:6">
      <c r="A60" s="219"/>
      <c r="B60" s="212"/>
      <c r="C60" s="212"/>
      <c r="D60" s="212"/>
      <c r="E60" s="212"/>
      <c r="F60" s="212"/>
    </row>
    <row r="61" spans="1:6">
      <c r="A61" s="168"/>
      <c r="B61" s="212"/>
      <c r="C61" s="212"/>
      <c r="D61" s="212"/>
      <c r="E61" s="212"/>
      <c r="F61" s="212"/>
    </row>
    <row r="62" spans="1:6">
      <c r="A62" s="168"/>
      <c r="B62" s="212"/>
      <c r="C62" s="212"/>
      <c r="D62" s="212"/>
      <c r="E62" s="212"/>
      <c r="F62" s="212"/>
    </row>
    <row r="63" spans="1:6">
      <c r="A63" s="168"/>
      <c r="B63" s="212"/>
      <c r="C63" s="212"/>
      <c r="D63" s="212"/>
      <c r="E63" s="212"/>
      <c r="F63" s="212"/>
    </row>
    <row r="64" spans="1:6">
      <c r="B64" s="212"/>
      <c r="C64" s="212"/>
      <c r="D64" s="212"/>
      <c r="E64" s="212"/>
      <c r="F64" s="212"/>
    </row>
    <row r="65" spans="1:16">
      <c r="B65" s="212"/>
      <c r="C65" s="212"/>
      <c r="D65" s="212"/>
      <c r="E65" s="212"/>
      <c r="F65" s="212"/>
    </row>
    <row r="66" spans="1:16">
      <c r="B66" s="212"/>
      <c r="C66" s="212"/>
      <c r="D66" s="212"/>
      <c r="E66" s="212"/>
      <c r="F66" s="212"/>
    </row>
    <row r="67" spans="1:16">
      <c r="B67" s="212"/>
      <c r="C67" s="212"/>
      <c r="D67" s="212"/>
      <c r="E67" s="212"/>
      <c r="F67" s="212"/>
    </row>
    <row r="68" spans="1:16">
      <c r="B68" s="212"/>
      <c r="C68" s="212"/>
      <c r="D68" s="212"/>
      <c r="E68" s="212"/>
      <c r="F68" s="212"/>
    </row>
    <row r="69" spans="1:16">
      <c r="B69" s="212"/>
      <c r="C69" s="212"/>
      <c r="D69" s="212"/>
      <c r="E69" s="212"/>
      <c r="F69" s="212"/>
    </row>
    <row r="70" spans="1:16">
      <c r="B70" s="212"/>
      <c r="C70" s="212"/>
      <c r="D70" s="212"/>
      <c r="E70" s="212"/>
      <c r="F70" s="212"/>
    </row>
    <row r="72" spans="1:16" s="193" customFormat="1">
      <c r="A72" s="196"/>
      <c r="M72" s="168"/>
      <c r="N72" s="168"/>
      <c r="O72" s="168"/>
      <c r="P72" s="168"/>
    </row>
    <row r="73" spans="1:16" s="193" customFormat="1">
      <c r="M73" s="168"/>
      <c r="N73" s="168"/>
      <c r="O73" s="168"/>
      <c r="P73" s="168"/>
    </row>
    <row r="74" spans="1:16" s="193" customFormat="1">
      <c r="M74" s="168"/>
      <c r="N74" s="168"/>
      <c r="O74" s="168"/>
      <c r="P74" s="168"/>
    </row>
    <row r="75" spans="1:16" s="193" customFormat="1">
      <c r="M75" s="168"/>
      <c r="N75" s="168"/>
      <c r="O75" s="168"/>
      <c r="P75" s="168"/>
    </row>
    <row r="76" spans="1:16" s="193" customFormat="1">
      <c r="M76" s="168"/>
      <c r="N76" s="168"/>
      <c r="O76" s="168"/>
      <c r="P76" s="168"/>
    </row>
    <row r="77" spans="1:16" s="193" customFormat="1">
      <c r="M77" s="168"/>
      <c r="N77" s="168"/>
      <c r="O77" s="168"/>
      <c r="P77" s="168"/>
    </row>
    <row r="78" spans="1:16" s="193" customFormat="1">
      <c r="M78" s="168"/>
      <c r="N78" s="168"/>
      <c r="O78" s="168"/>
      <c r="P78" s="168"/>
    </row>
  </sheetData>
  <mergeCells count="7">
    <mergeCell ref="D31:E31"/>
    <mergeCell ref="A1:M1"/>
    <mergeCell ref="D26:E26"/>
    <mergeCell ref="D27:E27"/>
    <mergeCell ref="D28:E28"/>
    <mergeCell ref="D29:E29"/>
    <mergeCell ref="D30:E30"/>
  </mergeCells>
  <conditionalFormatting sqref="G3">
    <cfRule type="cellIs" dxfId="44" priority="41" operator="between">
      <formula>0</formula>
      <formula>0.3999</formula>
    </cfRule>
    <cfRule type="cellIs" dxfId="43" priority="42" operator="between">
      <formula>0.4</formula>
      <formula>0.59</formula>
    </cfRule>
    <cfRule type="cellIs" dxfId="42" priority="43" operator="between">
      <formula>0.6</formula>
      <formula>0.69</formula>
    </cfRule>
    <cfRule type="cellIs" dxfId="41" priority="44" operator="between">
      <formula>0.7</formula>
      <formula>0.79</formula>
    </cfRule>
    <cfRule type="cellIs" dxfId="40" priority="45" operator="between">
      <formula>0.8</formula>
      <formula>1</formula>
    </cfRule>
  </conditionalFormatting>
  <conditionalFormatting sqref="G4:G15">
    <cfRule type="cellIs" dxfId="39" priority="36" operator="between">
      <formula>0</formula>
      <formula>0.3999</formula>
    </cfRule>
    <cfRule type="cellIs" dxfId="38" priority="37" operator="between">
      <formula>0.395</formula>
      <formula>0.5949</formula>
    </cfRule>
    <cfRule type="cellIs" dxfId="37" priority="38" operator="between">
      <formula>0.6</formula>
      <formula>0.695</formula>
    </cfRule>
    <cfRule type="cellIs" dxfId="36" priority="39" operator="between">
      <formula>0.695</formula>
      <formula>0.7949</formula>
    </cfRule>
    <cfRule type="cellIs" dxfId="35" priority="40" operator="between">
      <formula>0.795</formula>
      <formula>1</formula>
    </cfRule>
  </conditionalFormatting>
  <conditionalFormatting sqref="G17:G19">
    <cfRule type="cellIs" dxfId="34" priority="31" operator="between">
      <formula>0</formula>
      <formula>0.3999</formula>
    </cfRule>
    <cfRule type="cellIs" dxfId="33" priority="32" operator="between">
      <formula>0.4</formula>
      <formula>0.59</formula>
    </cfRule>
    <cfRule type="cellIs" dxfId="32" priority="33" operator="between">
      <formula>0.6</formula>
      <formula>0.695</formula>
    </cfRule>
    <cfRule type="cellIs" dxfId="31" priority="34" operator="between">
      <formula>0.695</formula>
      <formula>0.7949</formula>
    </cfRule>
    <cfRule type="cellIs" dxfId="30" priority="35" operator="between">
      <formula>0.8</formula>
      <formula>1</formula>
    </cfRule>
  </conditionalFormatting>
  <conditionalFormatting sqref="G20">
    <cfRule type="cellIs" dxfId="29" priority="26" operator="between">
      <formula>0</formula>
      <formula>0.3999</formula>
    </cfRule>
    <cfRule type="cellIs" dxfId="28" priority="27" operator="between">
      <formula>0.4</formula>
      <formula>0.59</formula>
    </cfRule>
    <cfRule type="cellIs" dxfId="27" priority="28" operator="between">
      <formula>0.595</formula>
      <formula>0.6949</formula>
    </cfRule>
    <cfRule type="cellIs" dxfId="26" priority="29" operator="between">
      <formula>0.69</formula>
      <formula>0.79</formula>
    </cfRule>
    <cfRule type="cellIs" dxfId="25" priority="30" operator="between">
      <formula>0.8</formula>
      <formula>1</formula>
    </cfRule>
  </conditionalFormatting>
  <conditionalFormatting sqref="G22">
    <cfRule type="cellIs" dxfId="24" priority="21" operator="between">
      <formula>0</formula>
      <formula>0.3999</formula>
    </cfRule>
    <cfRule type="cellIs" dxfId="23" priority="22" operator="between">
      <formula>0.4</formula>
      <formula>0.59</formula>
    </cfRule>
    <cfRule type="cellIs" dxfId="22" priority="23" operator="between">
      <formula>0.595</formula>
      <formula>0.6949</formula>
    </cfRule>
    <cfRule type="cellIs" dxfId="21" priority="24" operator="between">
      <formula>0.7</formula>
      <formula>0.79</formula>
    </cfRule>
    <cfRule type="cellIs" dxfId="20" priority="25" operator="between">
      <formula>0.8</formula>
      <formula>1</formula>
    </cfRule>
  </conditionalFormatting>
  <conditionalFormatting sqref="G16">
    <cfRule type="cellIs" dxfId="19" priority="16" operator="between">
      <formula>0</formula>
      <formula>0.3999</formula>
    </cfRule>
    <cfRule type="cellIs" dxfId="18" priority="17" operator="between">
      <formula>0.4</formula>
      <formula>0.59</formula>
    </cfRule>
    <cfRule type="cellIs" dxfId="17" priority="18" operator="between">
      <formula>0.6</formula>
      <formula>0.695</formula>
    </cfRule>
    <cfRule type="cellIs" dxfId="16" priority="19" operator="between">
      <formula>0.695</formula>
      <formula>0.7949</formula>
    </cfRule>
    <cfRule type="cellIs" dxfId="15" priority="20" operator="greaterThan">
      <formula>0.795</formula>
    </cfRule>
  </conditionalFormatting>
  <conditionalFormatting sqref="I3">
    <cfRule type="cellIs" dxfId="14" priority="11" operator="between">
      <formula>0</formula>
      <formula>0.3999</formula>
    </cfRule>
    <cfRule type="cellIs" dxfId="13" priority="12" operator="between">
      <formula>0.4</formula>
      <formula>0.59</formula>
    </cfRule>
    <cfRule type="cellIs" dxfId="12" priority="13" operator="between">
      <formula>0.6</formula>
      <formula>0.69</formula>
    </cfRule>
    <cfRule type="cellIs" dxfId="11" priority="14" operator="between">
      <formula>0.7</formula>
      <formula>0.79</formula>
    </cfRule>
    <cfRule type="cellIs" dxfId="10" priority="15" operator="between">
      <formula>0.8</formula>
      <formula>1</formula>
    </cfRule>
  </conditionalFormatting>
  <conditionalFormatting sqref="I4:I20">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I22">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pageSetup orientation="portrait"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C19"/>
  <sheetViews>
    <sheetView showGridLines="0" workbookViewId="0">
      <selection activeCell="F12" sqref="F12"/>
    </sheetView>
  </sheetViews>
  <sheetFormatPr baseColWidth="10" defaultRowHeight="15"/>
  <cols>
    <col min="2" max="2" width="50.85546875" customWidth="1"/>
    <col min="3" max="3" width="16.140625" customWidth="1"/>
  </cols>
  <sheetData>
    <row r="1" spans="2:3" ht="51" customHeight="1">
      <c r="B1" s="566" t="s">
        <v>1516</v>
      </c>
      <c r="C1" s="567"/>
    </row>
    <row r="2" spans="2:3" ht="25.5">
      <c r="B2" s="222" t="s">
        <v>22</v>
      </c>
      <c r="C2" s="246" t="s">
        <v>1514</v>
      </c>
    </row>
    <row r="3" spans="2:3" ht="17.25" customHeight="1">
      <c r="B3" s="170" t="s">
        <v>1487</v>
      </c>
      <c r="C3" s="247">
        <f>'RELACIÓN PROYECTOS'!A8</f>
        <v>4</v>
      </c>
    </row>
    <row r="4" spans="2:3" ht="17.25" customHeight="1">
      <c r="B4" s="170" t="s">
        <v>1412</v>
      </c>
      <c r="C4" s="247">
        <f>'RELACIÓN PROYECTOS'!A17-'RELACIÓN PROYECTOS'!A8</f>
        <v>7</v>
      </c>
    </row>
    <row r="5" spans="2:3" ht="17.25" customHeight="1">
      <c r="B5" s="170" t="s">
        <v>1488</v>
      </c>
      <c r="C5" s="247">
        <f>'RELACIÓN PROYECTOS'!A21-'RELACIÓN PROYECTOS'!A17</f>
        <v>2</v>
      </c>
    </row>
    <row r="6" spans="2:3" ht="17.25" customHeight="1">
      <c r="B6" s="170" t="s">
        <v>1413</v>
      </c>
      <c r="C6" s="247">
        <f>'RELACIÓN PROYECTOS'!A46-'RELACIÓN PROYECTOS'!A21</f>
        <v>20</v>
      </c>
    </row>
    <row r="7" spans="2:3" ht="17.25" customHeight="1">
      <c r="B7" s="170" t="s">
        <v>1414</v>
      </c>
      <c r="C7" s="247">
        <f>'RELACIÓN PROYECTOS'!A62-'RELACIÓN PROYECTOS'!A46</f>
        <v>12</v>
      </c>
    </row>
    <row r="8" spans="2:3" ht="17.25" customHeight="1">
      <c r="B8" s="170" t="s">
        <v>170</v>
      </c>
      <c r="C8" s="247">
        <f>'RELACIÓN PROYECTOS'!A68-'RELACIÓN PROYECTOS'!A62</f>
        <v>4</v>
      </c>
    </row>
    <row r="9" spans="2:3" ht="17.25" customHeight="1">
      <c r="B9" s="183" t="s">
        <v>1415</v>
      </c>
      <c r="C9" s="247">
        <f>'RELACIÓN PROYECTOS'!A76-'RELACIÓN PROYECTOS'!A68</f>
        <v>6</v>
      </c>
    </row>
    <row r="10" spans="2:3" ht="17.25" customHeight="1">
      <c r="B10" s="183" t="s">
        <v>1489</v>
      </c>
      <c r="C10" s="248">
        <f>'RELACIÓN PROYECTOS'!A98-'RELACIÓN PROYECTOS'!A76</f>
        <v>19</v>
      </c>
    </row>
    <row r="11" spans="2:3" ht="17.25" customHeight="1">
      <c r="B11" s="170" t="s">
        <v>1422</v>
      </c>
      <c r="C11" s="247">
        <f>'RELACIÓN PROYECTOS'!A104-'RELACIÓN PROYECTOS'!A98</f>
        <v>4</v>
      </c>
    </row>
    <row r="12" spans="2:3" ht="17.25" customHeight="1">
      <c r="B12" s="170" t="s">
        <v>160</v>
      </c>
      <c r="C12" s="247">
        <f>'RELACIÓN PROYECTOS'!A116-'RELACIÓN PROYECTOS'!A104</f>
        <v>9</v>
      </c>
    </row>
    <row r="13" spans="2:3" ht="17.25" customHeight="1">
      <c r="B13" s="170" t="s">
        <v>1416</v>
      </c>
      <c r="C13" s="247">
        <f>'RELACIÓN PROYECTOS'!A145-'RELACIÓN PROYECTOS'!A116</f>
        <v>25</v>
      </c>
    </row>
    <row r="14" spans="2:3" ht="17.25" customHeight="1">
      <c r="B14" s="170" t="s">
        <v>1417</v>
      </c>
      <c r="C14" s="247">
        <f>'RELACIÓN PROYECTOS'!A170-'RELACIÓN PROYECTOS'!A145</f>
        <v>23</v>
      </c>
    </row>
    <row r="15" spans="2:3" ht="17.25" customHeight="1">
      <c r="B15" s="183" t="s">
        <v>1490</v>
      </c>
      <c r="C15" s="248">
        <f>'RELACIÓN PROYECTOS'!A180-'RELACIÓN PROYECTOS'!A170</f>
        <v>6</v>
      </c>
    </row>
    <row r="16" spans="2:3" ht="17.25" customHeight="1">
      <c r="B16" s="170" t="s">
        <v>1492</v>
      </c>
      <c r="C16" s="247">
        <f>'RELACIÓN PROYECTOS'!A185-'RELACIÓN PROYECTOS'!A180</f>
        <v>3</v>
      </c>
    </row>
    <row r="17" spans="2:3" ht="17.25" customHeight="1">
      <c r="B17" s="170" t="s">
        <v>1418</v>
      </c>
      <c r="C17" s="247">
        <f>'RELACIÓN PROYECTOS'!A198-'RELACIÓN PROYECTOS'!A188</f>
        <v>6</v>
      </c>
    </row>
    <row r="18" spans="2:3" ht="17.25" customHeight="1">
      <c r="B18" s="183" t="s">
        <v>1493</v>
      </c>
      <c r="C18" s="247">
        <f>'RELACIÓN PROYECTOS'!A198-'RELACIÓN PROYECTOS'!A195</f>
        <v>1</v>
      </c>
    </row>
    <row r="19" spans="2:3" ht="23.25" customHeight="1">
      <c r="B19" s="245" t="s">
        <v>1515</v>
      </c>
      <c r="C19" s="249">
        <f>SUM(C3:C18)</f>
        <v>151</v>
      </c>
    </row>
  </sheetData>
  <mergeCells count="1">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SGTO POAI 2023 MARZO</vt:lpstr>
      <vt:lpstr>RESUMEN PROGRAMAS</vt:lpstr>
      <vt:lpstr>FUENTES POR UNIDAD</vt:lpstr>
      <vt:lpstr>LÍNEA ESTRATEGICA</vt:lpstr>
      <vt:lpstr>RELACIÓN PROYECTOS</vt:lpstr>
      <vt:lpstr>CONSOLIDADO UNIDADES</vt:lpstr>
      <vt:lpstr>No. DE PROYECTOS</vt:lpstr>
      <vt:lpstr>'SGTO POAI 2023 MARZO'!Área_de_impresión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AUXPLANEACION19</cp:lastModifiedBy>
  <cp:revision/>
  <dcterms:created xsi:type="dcterms:W3CDTF">2020-08-12T15:20:51Z</dcterms:created>
  <dcterms:modified xsi:type="dcterms:W3CDTF">2023-07-27T07:55:17Z</dcterms:modified>
  <cp:category/>
  <cp:contentStatus/>
</cp:coreProperties>
</file>