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AUXPLANEACION19\Desktop\"/>
    </mc:Choice>
  </mc:AlternateContent>
  <bookViews>
    <workbookView xWindow="0" yWindow="0" windowWidth="24000" windowHeight="9735"/>
  </bookViews>
  <sheets>
    <sheet name="SGTO POAI 2023 MARZO" sheetId="14" r:id="rId1"/>
    <sheet name="RESUMEN PROGRAMAS" sheetId="15" r:id="rId2"/>
    <sheet name="FUENTES POR UNIDAD" sheetId="23" r:id="rId3"/>
    <sheet name="LÍNEA ESTRATEGICA" sheetId="18" r:id="rId4"/>
    <sheet name="RELACIÓN PROYECTOS" sheetId="20" r:id="rId5"/>
    <sheet name="CONSOLIDADO UNIDADES" sheetId="24" r:id="rId6"/>
    <sheet name="No. DE PROYECTOS" sheetId="25" r:id="rId7"/>
  </sheets>
  <externalReferences>
    <externalReference r:id="rId8"/>
  </externalReferences>
  <definedNames>
    <definedName name="_1._Apoyo_con_equipos_para_la_seguridad_vial_Licenciamiento_de_software_para_comunicaciones" localSheetId="5">#REF!</definedName>
    <definedName name="_1._Apoyo_con_equipos_para_la_seguridad_vial_Licenciamiento_de_software_para_comunicaciones" localSheetId="2">#REF!</definedName>
    <definedName name="_1._Apoyo_con_equipos_para_la_seguridad_vial_Licenciamiento_de_software_para_comunicaciones">#REF!</definedName>
    <definedName name="_xlnm._FilterDatabase" localSheetId="2" hidden="1">'FUENTES POR UNIDAD'!$C$1:$C$81</definedName>
    <definedName name="_xlnm._FilterDatabase" localSheetId="4" hidden="1">'RELACIÓN PROYECTOS'!$B$2:$D$198</definedName>
    <definedName name="_xlnm._FilterDatabase" localSheetId="1" hidden="1">'RESUMEN PROGRAMAS'!$E$1:$E$193</definedName>
    <definedName name="_xlnm._FilterDatabase" localSheetId="0" hidden="1">'SGTO POAI 2023 MARZO'!$A$6:$CI$306</definedName>
    <definedName name="aa" localSheetId="5">#REF!</definedName>
    <definedName name="aa" localSheetId="2">#REF!</definedName>
    <definedName name="aa">#REF!</definedName>
    <definedName name="_xlnm.Print_Area" localSheetId="0">'SGTO POAI 2023 MARZO'!$A$1:$BF$79</definedName>
    <definedName name="CODIGO_DIVIPOLA" localSheetId="5">#REF!</definedName>
    <definedName name="CODIGO_DIVIPOLA" localSheetId="2">#REF!</definedName>
    <definedName name="CODIGO_DIVIPOLA">#REF!</definedName>
    <definedName name="DboREGISTRO_LEY_617" localSheetId="5">#REF!</definedName>
    <definedName name="DboREGISTRO_LEY_617" localSheetId="2">#REF!</definedName>
    <definedName name="DboREGISTRO_LEY_617">#REF!</definedName>
    <definedName name="ññ" localSheetId="5">#REF!</definedName>
    <definedName name="ññ" localSheetId="2">#REF!</definedName>
    <definedName name="ññ">#REF!</definedName>
  </definedNames>
  <calcPr calcId="152511"/>
</workbook>
</file>

<file path=xl/calcChain.xml><?xml version="1.0" encoding="utf-8"?>
<calcChain xmlns="http://schemas.openxmlformats.org/spreadsheetml/2006/main">
  <c r="E9" i="18" l="1"/>
  <c r="E8" i="18"/>
  <c r="E7" i="18"/>
  <c r="E6" i="18"/>
  <c r="E5" i="18"/>
  <c r="C52" i="24"/>
  <c r="W30" i="14" l="1"/>
  <c r="W29" i="14" l="1"/>
  <c r="AB289" i="14" l="1"/>
  <c r="AW289" i="14"/>
  <c r="C17" i="25" l="1"/>
  <c r="C16" i="25"/>
  <c r="AW304" i="14" l="1"/>
  <c r="AW303" i="14"/>
  <c r="BH304" i="14"/>
  <c r="BG304" i="14"/>
  <c r="BH303" i="14"/>
  <c r="BG303" i="14"/>
  <c r="BF304" i="14" l="1"/>
  <c r="BF303" i="14"/>
  <c r="BG289" i="14"/>
  <c r="E185" i="20" s="1"/>
  <c r="BH289" i="14"/>
  <c r="A195" i="20" l="1"/>
  <c r="A193" i="20"/>
  <c r="D74" i="23"/>
  <c r="F74" i="23"/>
  <c r="F73" i="23"/>
  <c r="D73" i="23"/>
  <c r="D67" i="23"/>
  <c r="D68" i="23"/>
  <c r="D69" i="23"/>
  <c r="D70" i="23"/>
  <c r="BH300" i="14"/>
  <c r="G193" i="20" s="1"/>
  <c r="BG300" i="14"/>
  <c r="E193" i="20" s="1"/>
  <c r="BF300" i="14"/>
  <c r="E181" i="15" s="1"/>
  <c r="W300" i="14"/>
  <c r="F181" i="15" l="1"/>
  <c r="H181" i="15"/>
  <c r="D193" i="20"/>
  <c r="F70" i="23" l="1"/>
  <c r="F69" i="23"/>
  <c r="AW288" i="14"/>
  <c r="BC286" i="14"/>
  <c r="AW286" i="14"/>
  <c r="AE286" i="14"/>
  <c r="AW284" i="14"/>
  <c r="AE284" i="14"/>
  <c r="AB284" i="14"/>
  <c r="C69" i="23" l="1"/>
  <c r="AT276" i="14"/>
  <c r="AT275" i="14"/>
  <c r="AD306" i="14" l="1"/>
  <c r="AC306" i="14"/>
  <c r="AK246" i="14" l="1"/>
  <c r="BG161" i="14" l="1"/>
  <c r="BH161" i="14"/>
  <c r="BG261" i="14" l="1"/>
  <c r="D15" i="24" l="1"/>
  <c r="D14" i="24"/>
  <c r="D13" i="24"/>
  <c r="D12" i="24"/>
  <c r="AT178" i="14" l="1"/>
  <c r="AW299" i="14" l="1"/>
  <c r="AW292" i="14"/>
  <c r="C74" i="23" s="1"/>
  <c r="AW293" i="14"/>
  <c r="AB295" i="14"/>
  <c r="AB294" i="14"/>
  <c r="AB290" i="14"/>
  <c r="C73" i="23" s="1"/>
  <c r="AT66" i="14" l="1"/>
  <c r="AT65" i="14"/>
  <c r="AT48" i="14" l="1"/>
  <c r="AT201" i="14" l="1"/>
  <c r="AT141" i="14"/>
  <c r="AT119" i="14"/>
  <c r="AT118" i="14"/>
  <c r="AT87" i="14"/>
  <c r="AT88" i="14" l="1"/>
  <c r="AE288" i="14" l="1"/>
  <c r="AB288" i="14"/>
  <c r="AT192" i="14"/>
  <c r="AW82" i="14" l="1"/>
  <c r="AH247" i="14" l="1"/>
  <c r="AH239" i="14"/>
  <c r="AH237" i="14"/>
  <c r="AN149" i="14"/>
  <c r="AN138" i="14"/>
  <c r="AN135" i="14"/>
  <c r="AT132" i="14"/>
  <c r="AQ43" i="14" l="1"/>
  <c r="AW36" i="14"/>
  <c r="AW35" i="14"/>
  <c r="AW34" i="14" l="1"/>
  <c r="AB27" i="14" l="1"/>
  <c r="C3" i="25" l="1"/>
  <c r="D16" i="24" l="1"/>
  <c r="D20" i="24"/>
  <c r="B35" i="24" l="1"/>
  <c r="B26" i="24"/>
  <c r="D22" i="24"/>
  <c r="B49" i="24" l="1"/>
  <c r="D7" i="23" l="1"/>
  <c r="F7" i="23"/>
  <c r="D8" i="23"/>
  <c r="F8" i="23"/>
  <c r="D11" i="23"/>
  <c r="F11" i="23"/>
  <c r="F10" i="23" s="1"/>
  <c r="D14" i="23"/>
  <c r="F14" i="23"/>
  <c r="D15" i="23"/>
  <c r="F15" i="23"/>
  <c r="D18" i="23"/>
  <c r="F18" i="23"/>
  <c r="D19" i="23"/>
  <c r="F19" i="23"/>
  <c r="D20" i="23"/>
  <c r="F20" i="23"/>
  <c r="D21" i="23"/>
  <c r="F21" i="23"/>
  <c r="D22" i="23"/>
  <c r="F22" i="23"/>
  <c r="D23" i="23"/>
  <c r="F23" i="23"/>
  <c r="D26" i="23"/>
  <c r="F26" i="23"/>
  <c r="D27" i="23"/>
  <c r="F27" i="23"/>
  <c r="D30" i="23"/>
  <c r="F30" i="23"/>
  <c r="D31" i="23"/>
  <c r="F31" i="23"/>
  <c r="D32" i="23"/>
  <c r="F32" i="23"/>
  <c r="D35" i="23"/>
  <c r="F35" i="23"/>
  <c r="D36" i="23"/>
  <c r="F36" i="23"/>
  <c r="D39" i="23"/>
  <c r="D38" i="23" s="1"/>
  <c r="F39" i="23"/>
  <c r="F38" i="23" s="1"/>
  <c r="D42" i="23"/>
  <c r="F42" i="23"/>
  <c r="F41" i="23" s="1"/>
  <c r="D45" i="23"/>
  <c r="F45" i="23"/>
  <c r="D46" i="23"/>
  <c r="F46" i="23"/>
  <c r="D47" i="23"/>
  <c r="F47" i="23"/>
  <c r="D48" i="23"/>
  <c r="F48" i="23"/>
  <c r="D51" i="23"/>
  <c r="F51" i="23"/>
  <c r="D52" i="23"/>
  <c r="F52" i="23"/>
  <c r="D55" i="23"/>
  <c r="F55" i="23"/>
  <c r="D56" i="23"/>
  <c r="F56" i="23"/>
  <c r="D57" i="23"/>
  <c r="F57" i="23"/>
  <c r="D58" i="23"/>
  <c r="F58" i="23"/>
  <c r="D59" i="23"/>
  <c r="F59" i="23"/>
  <c r="F67" i="23"/>
  <c r="F68" i="23"/>
  <c r="F6" i="23" l="1"/>
  <c r="D29" i="23"/>
  <c r="D10" i="23"/>
  <c r="D50" i="23"/>
  <c r="D41" i="23"/>
  <c r="F72" i="23"/>
  <c r="F50" i="23"/>
  <c r="F29" i="23"/>
  <c r="D72" i="23"/>
  <c r="D54" i="23"/>
  <c r="D44" i="23"/>
  <c r="D34" i="23"/>
  <c r="D25" i="23"/>
  <c r="D13" i="23"/>
  <c r="D66" i="23"/>
  <c r="D17" i="23"/>
  <c r="F54" i="23"/>
  <c r="F17" i="23"/>
  <c r="F66" i="23"/>
  <c r="F44" i="23"/>
  <c r="F34" i="23"/>
  <c r="F25" i="23"/>
  <c r="F13" i="23"/>
  <c r="D6" i="23"/>
  <c r="F91" i="15" l="1"/>
  <c r="H91" i="15"/>
  <c r="F103" i="15"/>
  <c r="H103" i="15"/>
  <c r="F105" i="15"/>
  <c r="H105" i="15"/>
  <c r="F106" i="15"/>
  <c r="H106" i="15"/>
  <c r="F112" i="15"/>
  <c r="H112" i="15"/>
  <c r="BD306" i="14"/>
  <c r="BE306" i="14"/>
  <c r="BA306" i="14"/>
  <c r="BB306" i="14"/>
  <c r="AX306" i="14"/>
  <c r="AY306" i="14"/>
  <c r="AU306" i="14"/>
  <c r="AV306" i="14"/>
  <c r="AR306" i="14"/>
  <c r="AS306" i="14"/>
  <c r="AF306" i="14"/>
  <c r="AG306" i="14"/>
  <c r="AI306" i="14"/>
  <c r="AJ306" i="14"/>
  <c r="AL306" i="14"/>
  <c r="AM306" i="14"/>
  <c r="AO306" i="14"/>
  <c r="AP306" i="14"/>
  <c r="BG8" i="14"/>
  <c r="E5" i="20" s="1"/>
  <c r="BH8" i="14"/>
  <c r="G5" i="20" s="1"/>
  <c r="BG9" i="14"/>
  <c r="E6" i="20" s="1"/>
  <c r="BH9" i="14"/>
  <c r="G6" i="20" s="1"/>
  <c r="BG10" i="14"/>
  <c r="E7" i="20" s="1"/>
  <c r="BH10" i="14"/>
  <c r="G7" i="20" s="1"/>
  <c r="BG11" i="14"/>
  <c r="E8" i="20" s="1"/>
  <c r="BH11" i="14"/>
  <c r="G8" i="20" s="1"/>
  <c r="BG12" i="14"/>
  <c r="E11" i="20" s="1"/>
  <c r="BH12" i="14"/>
  <c r="G11" i="20" s="1"/>
  <c r="BG13" i="14"/>
  <c r="E12" i="20" s="1"/>
  <c r="BH13" i="14"/>
  <c r="G12" i="20" s="1"/>
  <c r="BG14" i="14"/>
  <c r="E13" i="20" s="1"/>
  <c r="BH14" i="14"/>
  <c r="G13" i="20" s="1"/>
  <c r="BG15" i="14"/>
  <c r="E14" i="20" s="1"/>
  <c r="BH15" i="14"/>
  <c r="G14" i="20" s="1"/>
  <c r="BG16" i="14"/>
  <c r="BH16" i="14"/>
  <c r="BG17" i="14"/>
  <c r="BH17" i="14"/>
  <c r="BG18" i="14"/>
  <c r="BH18" i="14"/>
  <c r="BG19" i="14"/>
  <c r="BH19" i="14"/>
  <c r="BG20" i="14"/>
  <c r="BH20" i="14"/>
  <c r="BG21" i="14"/>
  <c r="BH21" i="14"/>
  <c r="BG22" i="14"/>
  <c r="BH22" i="14"/>
  <c r="BG23" i="14"/>
  <c r="E17" i="20" s="1"/>
  <c r="BH23" i="14"/>
  <c r="G17" i="20" s="1"/>
  <c r="BG24" i="14"/>
  <c r="BH24" i="14"/>
  <c r="BG25" i="14"/>
  <c r="BH25" i="14"/>
  <c r="BG26" i="14"/>
  <c r="BH26" i="14"/>
  <c r="BG27" i="14"/>
  <c r="BH27" i="14"/>
  <c r="BG28" i="14"/>
  <c r="BH28" i="14"/>
  <c r="BG29" i="14"/>
  <c r="E27" i="20" s="1"/>
  <c r="BH29" i="14"/>
  <c r="G27" i="20" s="1"/>
  <c r="BG30" i="14"/>
  <c r="E28" i="20" s="1"/>
  <c r="BH30" i="14"/>
  <c r="G28" i="20" s="1"/>
  <c r="BG31" i="14"/>
  <c r="E29" i="20" s="1"/>
  <c r="BH31" i="14"/>
  <c r="G29" i="20" s="1"/>
  <c r="BG32" i="14"/>
  <c r="E32" i="20" s="1"/>
  <c r="BH32" i="14"/>
  <c r="G32" i="20" s="1"/>
  <c r="BG33" i="14"/>
  <c r="E33" i="20" s="1"/>
  <c r="BH33" i="14"/>
  <c r="G33" i="20" s="1"/>
  <c r="BG34" i="14"/>
  <c r="BH34" i="14"/>
  <c r="BG35" i="14"/>
  <c r="BH35" i="14"/>
  <c r="BG36" i="14"/>
  <c r="E38" i="20" s="1"/>
  <c r="BH36" i="14"/>
  <c r="G38" i="20" s="1"/>
  <c r="BG37" i="14"/>
  <c r="E36" i="20" s="1"/>
  <c r="BH37" i="14"/>
  <c r="G36" i="20" s="1"/>
  <c r="BG38" i="14"/>
  <c r="E37" i="20" s="1"/>
  <c r="BH38" i="14"/>
  <c r="G37" i="20" s="1"/>
  <c r="BG39" i="14"/>
  <c r="E39" i="20" s="1"/>
  <c r="BH39" i="14"/>
  <c r="G39" i="20" s="1"/>
  <c r="BG40" i="14"/>
  <c r="E40" i="20" s="1"/>
  <c r="BH40" i="14"/>
  <c r="G40" i="20" s="1"/>
  <c r="BG41" i="14"/>
  <c r="E41" i="20" s="1"/>
  <c r="BH41" i="14"/>
  <c r="G41" i="20" s="1"/>
  <c r="BG42" i="14"/>
  <c r="BH42" i="14"/>
  <c r="BG43" i="14"/>
  <c r="BH43" i="14"/>
  <c r="BG44" i="14"/>
  <c r="BH44" i="14"/>
  <c r="BG45" i="14"/>
  <c r="BH45" i="14"/>
  <c r="BG46" i="14"/>
  <c r="BH46" i="14"/>
  <c r="BG47" i="14"/>
  <c r="BH47" i="14"/>
  <c r="BG48" i="14"/>
  <c r="E44" i="20" s="1"/>
  <c r="BH48" i="14"/>
  <c r="G44" i="20" s="1"/>
  <c r="BG49" i="14"/>
  <c r="E45" i="20" s="1"/>
  <c r="BH49" i="14"/>
  <c r="G45" i="20" s="1"/>
  <c r="BG50" i="14"/>
  <c r="E46" i="20" s="1"/>
  <c r="BH50" i="14"/>
  <c r="G46" i="20" s="1"/>
  <c r="BG51" i="14"/>
  <c r="E30" i="20" s="1"/>
  <c r="BH51" i="14"/>
  <c r="G30" i="20" s="1"/>
  <c r="BG52" i="14"/>
  <c r="E49" i="20" s="1"/>
  <c r="BH52" i="14"/>
  <c r="G49" i="20" s="1"/>
  <c r="BG53" i="14"/>
  <c r="E50" i="20" s="1"/>
  <c r="BH53" i="14"/>
  <c r="G50" i="20" s="1"/>
  <c r="BG54" i="14"/>
  <c r="E51" i="20" s="1"/>
  <c r="BH54" i="14"/>
  <c r="G51" i="20" s="1"/>
  <c r="BG55" i="14"/>
  <c r="E52" i="20" s="1"/>
  <c r="BH55" i="14"/>
  <c r="G52" i="20" s="1"/>
  <c r="BG56" i="14"/>
  <c r="BH56" i="14"/>
  <c r="BG57" i="14"/>
  <c r="BH57" i="14"/>
  <c r="BG58" i="14"/>
  <c r="BH58" i="14"/>
  <c r="BG59" i="14"/>
  <c r="BH59" i="14"/>
  <c r="BG60" i="14"/>
  <c r="BH60" i="14"/>
  <c r="BG61" i="14"/>
  <c r="E54" i="20" s="1"/>
  <c r="BH61" i="14"/>
  <c r="G54" i="20" s="1"/>
  <c r="BG62" i="14"/>
  <c r="E55" i="20" s="1"/>
  <c r="BH62" i="14"/>
  <c r="G55" i="20" s="1"/>
  <c r="BG63" i="14"/>
  <c r="E56" i="20" s="1"/>
  <c r="BH63" i="14"/>
  <c r="G56" i="20" s="1"/>
  <c r="BG64" i="14"/>
  <c r="E58" i="20" s="1"/>
  <c r="BH64" i="14"/>
  <c r="G58" i="20" s="1"/>
  <c r="BG65" i="14"/>
  <c r="BH65" i="14"/>
  <c r="BG66" i="14"/>
  <c r="BH66" i="14"/>
  <c r="BG67" i="14"/>
  <c r="BH67" i="14"/>
  <c r="BG68" i="14"/>
  <c r="E61" i="20" s="1"/>
  <c r="BH68" i="14"/>
  <c r="G61" i="20" s="1"/>
  <c r="BG69" i="14"/>
  <c r="BH69" i="14"/>
  <c r="BG70" i="14"/>
  <c r="BH70" i="14"/>
  <c r="BG71" i="14"/>
  <c r="BH71" i="14"/>
  <c r="BG72" i="14"/>
  <c r="BH72" i="14"/>
  <c r="BG73" i="14"/>
  <c r="BH73" i="14"/>
  <c r="BG74" i="14"/>
  <c r="BH74" i="14"/>
  <c r="BG75" i="14"/>
  <c r="BH75" i="14"/>
  <c r="BG76" i="14"/>
  <c r="BH76" i="14"/>
  <c r="BG77" i="14"/>
  <c r="BH77" i="14"/>
  <c r="BG78" i="14"/>
  <c r="BH78" i="14"/>
  <c r="BG79" i="14"/>
  <c r="BH79" i="14"/>
  <c r="BG80" i="14"/>
  <c r="E67" i="20" s="1"/>
  <c r="BH80" i="14"/>
  <c r="G67" i="20" s="1"/>
  <c r="BG81" i="14"/>
  <c r="BH81" i="14"/>
  <c r="BG82" i="14"/>
  <c r="BH82" i="14"/>
  <c r="BG83" i="14"/>
  <c r="BH83" i="14"/>
  <c r="BG84" i="14"/>
  <c r="BH84" i="14"/>
  <c r="BG85" i="14"/>
  <c r="E72" i="20" s="1"/>
  <c r="BH85" i="14"/>
  <c r="G72" i="20" s="1"/>
  <c r="BG86" i="14"/>
  <c r="BH86" i="14"/>
  <c r="BG87" i="14"/>
  <c r="BH87" i="14"/>
  <c r="BG88" i="14"/>
  <c r="E74" i="20" s="1"/>
  <c r="BH88" i="14"/>
  <c r="G74" i="20" s="1"/>
  <c r="BG89" i="14"/>
  <c r="BH89" i="14"/>
  <c r="BG90" i="14"/>
  <c r="BH90" i="14"/>
  <c r="BG91" i="14"/>
  <c r="BH91" i="14"/>
  <c r="BG92" i="14"/>
  <c r="BH92" i="14"/>
  <c r="BG93" i="14"/>
  <c r="E76" i="20" s="1"/>
  <c r="BH93" i="14"/>
  <c r="G76" i="20" s="1"/>
  <c r="BG94" i="14"/>
  <c r="BH94" i="14"/>
  <c r="BG95" i="14"/>
  <c r="BH95" i="14"/>
  <c r="BG96" i="14"/>
  <c r="BH96" i="14"/>
  <c r="BG97" i="14"/>
  <c r="BH97" i="14"/>
  <c r="BG98" i="14"/>
  <c r="BH98" i="14"/>
  <c r="BG99" i="14"/>
  <c r="BH99" i="14"/>
  <c r="BG100" i="14"/>
  <c r="BH100" i="14"/>
  <c r="BG101" i="14"/>
  <c r="BH101" i="14"/>
  <c r="BG102" i="14"/>
  <c r="BH102" i="14"/>
  <c r="BG103" i="14"/>
  <c r="BH103" i="14"/>
  <c r="BG104" i="14"/>
  <c r="E83" i="20" s="1"/>
  <c r="BH104" i="14"/>
  <c r="G83" i="20" s="1"/>
  <c r="BG105" i="14"/>
  <c r="E84" i="20" s="1"/>
  <c r="BH105" i="14"/>
  <c r="G84" i="20" s="1"/>
  <c r="BG106" i="14"/>
  <c r="BH106" i="14"/>
  <c r="BG107" i="14"/>
  <c r="BH107" i="14"/>
  <c r="BG108" i="14"/>
  <c r="E86" i="20" s="1"/>
  <c r="BH108" i="14"/>
  <c r="G86" i="20" s="1"/>
  <c r="BG109" i="14"/>
  <c r="E87" i="20" s="1"/>
  <c r="BH109" i="14"/>
  <c r="G87" i="20" s="1"/>
  <c r="BG110" i="14"/>
  <c r="BH110" i="14"/>
  <c r="BG111" i="14"/>
  <c r="BH111" i="14"/>
  <c r="BG112" i="14"/>
  <c r="BH112" i="14"/>
  <c r="BG113" i="14"/>
  <c r="BH113" i="14"/>
  <c r="BG114" i="14"/>
  <c r="BH114" i="14"/>
  <c r="BG115" i="14"/>
  <c r="BH115" i="14"/>
  <c r="BG116" i="14"/>
  <c r="BH116" i="14"/>
  <c r="BG117" i="14"/>
  <c r="BH117" i="14"/>
  <c r="BG118" i="14"/>
  <c r="BH118" i="14"/>
  <c r="BG119" i="14"/>
  <c r="BH119" i="14"/>
  <c r="BG120" i="14"/>
  <c r="BH120" i="14"/>
  <c r="BG121" i="14"/>
  <c r="BH121" i="14"/>
  <c r="BG122" i="14"/>
  <c r="E94" i="20" s="1"/>
  <c r="BH122" i="14"/>
  <c r="G94" i="20" s="1"/>
  <c r="BG123" i="14"/>
  <c r="E95" i="20" s="1"/>
  <c r="BH123" i="14"/>
  <c r="G95" i="20" s="1"/>
  <c r="BG124" i="14"/>
  <c r="E96" i="20" s="1"/>
  <c r="BH124" i="14"/>
  <c r="G96" i="20" s="1"/>
  <c r="BG125" i="14"/>
  <c r="BH125" i="14"/>
  <c r="BG126" i="14"/>
  <c r="BH126" i="14"/>
  <c r="BG127" i="14"/>
  <c r="BH127" i="14"/>
  <c r="BG128" i="14"/>
  <c r="BH128" i="14"/>
  <c r="BG129" i="14"/>
  <c r="BH129" i="14"/>
  <c r="BG130" i="14"/>
  <c r="BH130" i="14"/>
  <c r="BG131" i="14"/>
  <c r="E101" i="20" s="1"/>
  <c r="BH131" i="14"/>
  <c r="G101" i="20" s="1"/>
  <c r="BG132" i="14"/>
  <c r="E102" i="20" s="1"/>
  <c r="BH132" i="14"/>
  <c r="G102" i="20" s="1"/>
  <c r="BG133" i="14"/>
  <c r="E103" i="20" s="1"/>
  <c r="BH133" i="14"/>
  <c r="G103" i="20" s="1"/>
  <c r="BG134" i="14"/>
  <c r="E104" i="20" s="1"/>
  <c r="BH134" i="14"/>
  <c r="G104" i="20" s="1"/>
  <c r="BG135" i="14"/>
  <c r="BH135" i="14"/>
  <c r="BG136" i="14"/>
  <c r="BH136" i="14"/>
  <c r="BG137" i="14"/>
  <c r="BH137" i="14"/>
  <c r="BG138" i="14"/>
  <c r="BH138" i="14"/>
  <c r="BG139" i="14"/>
  <c r="BH139" i="14"/>
  <c r="BG140" i="14"/>
  <c r="BH140" i="14"/>
  <c r="BG141" i="14"/>
  <c r="BH141" i="14"/>
  <c r="BG142" i="14"/>
  <c r="BH142" i="14"/>
  <c r="BG143" i="14"/>
  <c r="BH143" i="14"/>
  <c r="BG144" i="14"/>
  <c r="BH144" i="14"/>
  <c r="BG145" i="14"/>
  <c r="BH145" i="14"/>
  <c r="BG146" i="14"/>
  <c r="BH146" i="14"/>
  <c r="BG147" i="14"/>
  <c r="BH147" i="14"/>
  <c r="BG148" i="14"/>
  <c r="BH148" i="14"/>
  <c r="BG149" i="14"/>
  <c r="BH149" i="14"/>
  <c r="BG150" i="14"/>
  <c r="BH150" i="14"/>
  <c r="BG151" i="14"/>
  <c r="BH151" i="14"/>
  <c r="BG152" i="14"/>
  <c r="BH152" i="14"/>
  <c r="BG153" i="14"/>
  <c r="BH153" i="14"/>
  <c r="BG154" i="14"/>
  <c r="BH154" i="14"/>
  <c r="BG155" i="14"/>
  <c r="BH155" i="14"/>
  <c r="BG156" i="14"/>
  <c r="BH156" i="14"/>
  <c r="BG157" i="14"/>
  <c r="BH157" i="14"/>
  <c r="BG158" i="14"/>
  <c r="BH158" i="14"/>
  <c r="BG159" i="14"/>
  <c r="BH159" i="14"/>
  <c r="BG160" i="14"/>
  <c r="BH160" i="14"/>
  <c r="BG162" i="14"/>
  <c r="BH162" i="14"/>
  <c r="BG163" i="14"/>
  <c r="BH163" i="14"/>
  <c r="BG164" i="14"/>
  <c r="BH164" i="14"/>
  <c r="BG165" i="14"/>
  <c r="BH165" i="14"/>
  <c r="BG166" i="14"/>
  <c r="BH166" i="14"/>
  <c r="BG167" i="14"/>
  <c r="BH167" i="14"/>
  <c r="BG168" i="14"/>
  <c r="BH168" i="14"/>
  <c r="BG169" i="14"/>
  <c r="E114" i="20" s="1"/>
  <c r="BH169" i="14"/>
  <c r="G114" i="20" s="1"/>
  <c r="BG170" i="14"/>
  <c r="E116" i="20" s="1"/>
  <c r="BH170" i="14"/>
  <c r="G116" i="20" s="1"/>
  <c r="BG171" i="14"/>
  <c r="BH171" i="14"/>
  <c r="BG172" i="14"/>
  <c r="BH172" i="14"/>
  <c r="BG173" i="14"/>
  <c r="E120" i="20" s="1"/>
  <c r="BH173" i="14"/>
  <c r="G120" i="20" s="1"/>
  <c r="BG174" i="14"/>
  <c r="BH174" i="14"/>
  <c r="BG175" i="14"/>
  <c r="BH175" i="14"/>
  <c r="BG176" i="14"/>
  <c r="E122" i="20" s="1"/>
  <c r="BH176" i="14"/>
  <c r="G122" i="20" s="1"/>
  <c r="BG177" i="14"/>
  <c r="E123" i="20" s="1"/>
  <c r="BH177" i="14"/>
  <c r="G123" i="20" s="1"/>
  <c r="BG178" i="14"/>
  <c r="E124" i="20" s="1"/>
  <c r="BH178" i="14"/>
  <c r="G124" i="20" s="1"/>
  <c r="BG179" i="14"/>
  <c r="E125" i="20" s="1"/>
  <c r="BH179" i="14"/>
  <c r="G125" i="20" s="1"/>
  <c r="BG180" i="14"/>
  <c r="BH180" i="14"/>
  <c r="BG181" i="14"/>
  <c r="BH181" i="14"/>
  <c r="BG182" i="14"/>
  <c r="E127" i="20" s="1"/>
  <c r="BH182" i="14"/>
  <c r="G127" i="20" s="1"/>
  <c r="BG183" i="14"/>
  <c r="E128" i="20" s="1"/>
  <c r="BH183" i="14"/>
  <c r="G128" i="20" s="1"/>
  <c r="BG184" i="14"/>
  <c r="E129" i="20" s="1"/>
  <c r="BH184" i="14"/>
  <c r="G129" i="20" s="1"/>
  <c r="BG185" i="14"/>
  <c r="E130" i="20" s="1"/>
  <c r="BH185" i="14"/>
  <c r="G130" i="20" s="1"/>
  <c r="BG186" i="14"/>
  <c r="E131" i="20" s="1"/>
  <c r="BH186" i="14"/>
  <c r="G131" i="20" s="1"/>
  <c r="BG187" i="14"/>
  <c r="BH187" i="14"/>
  <c r="BG188" i="14"/>
  <c r="BH188" i="14"/>
  <c r="BG189" i="14"/>
  <c r="E133" i="20" s="1"/>
  <c r="BH189" i="14"/>
  <c r="G133" i="20" s="1"/>
  <c r="BG190" i="14"/>
  <c r="BH190" i="14"/>
  <c r="BG191" i="14"/>
  <c r="BH191" i="14"/>
  <c r="BG192" i="14"/>
  <c r="E135" i="20" s="1"/>
  <c r="BH192" i="14"/>
  <c r="G135" i="20" s="1"/>
  <c r="BG193" i="14"/>
  <c r="BH193" i="14"/>
  <c r="BG194" i="14"/>
  <c r="BH194" i="14"/>
  <c r="BG195" i="14"/>
  <c r="E138" i="20" s="1"/>
  <c r="BH195" i="14"/>
  <c r="G138" i="20" s="1"/>
  <c r="BG196" i="14"/>
  <c r="E139" i="20" s="1"/>
  <c r="BH196" i="14"/>
  <c r="G139" i="20" s="1"/>
  <c r="BG197" i="14"/>
  <c r="E141" i="20" s="1"/>
  <c r="BH197" i="14"/>
  <c r="G141" i="20" s="1"/>
  <c r="BG198" i="14"/>
  <c r="E142" i="20" s="1"/>
  <c r="BH198" i="14"/>
  <c r="G142" i="20" s="1"/>
  <c r="BG199" i="14"/>
  <c r="E143" i="20" s="1"/>
  <c r="BH199" i="14"/>
  <c r="G143" i="20" s="1"/>
  <c r="BG200" i="14"/>
  <c r="E144" i="20" s="1"/>
  <c r="BH200" i="14"/>
  <c r="G144" i="20" s="1"/>
  <c r="BG201" i="14"/>
  <c r="E145" i="20" s="1"/>
  <c r="BH201" i="14"/>
  <c r="G145" i="20" s="1"/>
  <c r="BG204" i="14"/>
  <c r="BH204" i="14"/>
  <c r="BG205" i="14"/>
  <c r="BH205" i="14"/>
  <c r="BG206" i="14"/>
  <c r="BH206" i="14"/>
  <c r="BG207" i="14"/>
  <c r="BH207" i="14"/>
  <c r="BG208" i="14"/>
  <c r="BH208" i="14"/>
  <c r="BG209" i="14"/>
  <c r="BH209" i="14"/>
  <c r="BG210" i="14"/>
  <c r="BH210" i="14"/>
  <c r="BG211" i="14"/>
  <c r="BH211" i="14"/>
  <c r="BG212" i="14"/>
  <c r="BH212" i="14"/>
  <c r="BG213" i="14"/>
  <c r="BH213" i="14"/>
  <c r="BG214" i="14"/>
  <c r="BH214" i="14"/>
  <c r="BG202" i="14"/>
  <c r="BH202" i="14"/>
  <c r="BG215" i="14"/>
  <c r="E151" i="20" s="1"/>
  <c r="BH215" i="14"/>
  <c r="G151" i="20" s="1"/>
  <c r="BG216" i="14"/>
  <c r="BH216" i="14"/>
  <c r="BG217" i="14"/>
  <c r="BH217" i="14"/>
  <c r="BG218" i="14"/>
  <c r="BH218" i="14"/>
  <c r="BG203" i="14"/>
  <c r="BH203" i="14"/>
  <c r="BG219" i="14"/>
  <c r="BH219" i="14"/>
  <c r="BG220" i="14"/>
  <c r="BH220" i="14"/>
  <c r="BG221" i="14"/>
  <c r="BH221" i="14"/>
  <c r="BG222" i="14"/>
  <c r="BH222" i="14"/>
  <c r="BG223" i="14"/>
  <c r="BH223" i="14"/>
  <c r="BG224" i="14"/>
  <c r="BH224" i="14"/>
  <c r="BG225" i="14"/>
  <c r="BH225" i="14"/>
  <c r="BG226" i="14"/>
  <c r="BH226" i="14"/>
  <c r="BG227" i="14"/>
  <c r="BH227" i="14"/>
  <c r="BG228" i="14"/>
  <c r="BH228" i="14"/>
  <c r="BG229" i="14"/>
  <c r="BH229" i="14"/>
  <c r="BG230" i="14"/>
  <c r="BH230" i="14"/>
  <c r="BG231" i="14"/>
  <c r="BH231" i="14"/>
  <c r="BG232" i="14"/>
  <c r="BH232" i="14"/>
  <c r="BG233" i="14"/>
  <c r="BH233" i="14"/>
  <c r="BG234" i="14"/>
  <c r="BH234" i="14"/>
  <c r="BG235" i="14"/>
  <c r="BH235" i="14"/>
  <c r="BG236" i="14"/>
  <c r="BH236" i="14"/>
  <c r="BG237" i="14"/>
  <c r="BH237" i="14"/>
  <c r="BG238" i="14"/>
  <c r="BH238" i="14"/>
  <c r="BG239" i="14"/>
  <c r="BH239" i="14"/>
  <c r="BG240" i="14"/>
  <c r="BH240" i="14"/>
  <c r="BG241" i="14"/>
  <c r="BH241" i="14"/>
  <c r="BG242" i="14"/>
  <c r="E165" i="20" s="1"/>
  <c r="BH242" i="14"/>
  <c r="G165" i="20" s="1"/>
  <c r="BG243" i="14"/>
  <c r="E166" i="20" s="1"/>
  <c r="BH243" i="14"/>
  <c r="G166" i="20" s="1"/>
  <c r="BG244" i="14"/>
  <c r="E167" i="20" s="1"/>
  <c r="BH244" i="14"/>
  <c r="G167" i="20" s="1"/>
  <c r="BG245" i="14"/>
  <c r="E168" i="20" s="1"/>
  <c r="BH245" i="14"/>
  <c r="G168" i="20" s="1"/>
  <c r="BG246" i="14"/>
  <c r="BH246" i="14"/>
  <c r="BG247" i="14"/>
  <c r="BH247" i="14"/>
  <c r="BG248" i="14"/>
  <c r="BH248" i="14"/>
  <c r="BG249" i="14"/>
  <c r="BH249" i="14"/>
  <c r="BG250" i="14"/>
  <c r="BH250" i="14"/>
  <c r="BG251" i="14"/>
  <c r="BH251" i="14"/>
  <c r="BG252" i="14"/>
  <c r="BH252" i="14"/>
  <c r="BG253" i="14"/>
  <c r="BH253" i="14"/>
  <c r="BG254" i="14"/>
  <c r="BH254" i="14"/>
  <c r="BG255" i="14"/>
  <c r="BH255" i="14"/>
  <c r="BG256" i="14"/>
  <c r="BH256" i="14"/>
  <c r="BG257" i="14"/>
  <c r="BH257" i="14"/>
  <c r="BG258" i="14"/>
  <c r="E162" i="20" s="1"/>
  <c r="BH258" i="14"/>
  <c r="G162" i="20" s="1"/>
  <c r="BG259" i="14"/>
  <c r="E163" i="20" s="1"/>
  <c r="BH259" i="14"/>
  <c r="G163" i="20" s="1"/>
  <c r="BG260" i="14"/>
  <c r="E164" i="20" s="1"/>
  <c r="BH260" i="14"/>
  <c r="G164" i="20" s="1"/>
  <c r="BH261" i="14"/>
  <c r="BG262" i="14"/>
  <c r="BH262" i="14"/>
  <c r="BG263" i="14"/>
  <c r="BH263" i="14"/>
  <c r="BG264" i="14"/>
  <c r="BH264" i="14"/>
  <c r="BG265" i="14"/>
  <c r="BH265" i="14"/>
  <c r="BG266" i="14"/>
  <c r="BH266" i="14"/>
  <c r="BG267" i="14"/>
  <c r="BH267" i="14"/>
  <c r="BG268" i="14"/>
  <c r="BH268" i="14"/>
  <c r="BG269" i="14"/>
  <c r="BH269" i="14"/>
  <c r="BG270" i="14"/>
  <c r="BH270" i="14"/>
  <c r="BG271" i="14"/>
  <c r="BH271" i="14"/>
  <c r="BG272" i="14"/>
  <c r="BH272" i="14"/>
  <c r="BG273" i="14"/>
  <c r="BH273" i="14"/>
  <c r="BG274" i="14"/>
  <c r="BH274" i="14"/>
  <c r="BG275" i="14"/>
  <c r="BH275" i="14"/>
  <c r="BG276" i="14"/>
  <c r="BH276" i="14"/>
  <c r="BG277" i="14"/>
  <c r="E178" i="20" s="1"/>
  <c r="BH277" i="14"/>
  <c r="G178" i="20" s="1"/>
  <c r="BG278" i="14"/>
  <c r="BH278" i="14"/>
  <c r="BG279" i="14"/>
  <c r="BH279" i="14"/>
  <c r="BG280" i="14"/>
  <c r="BH280" i="14"/>
  <c r="BG281" i="14"/>
  <c r="BH281" i="14"/>
  <c r="BG282" i="14"/>
  <c r="BH282" i="14"/>
  <c r="BG283" i="14"/>
  <c r="BH283" i="14"/>
  <c r="BG284" i="14"/>
  <c r="BH284" i="14"/>
  <c r="BG285" i="14"/>
  <c r="BH285" i="14"/>
  <c r="BG286" i="14"/>
  <c r="BH286" i="14"/>
  <c r="BG287" i="14"/>
  <c r="BH287" i="14"/>
  <c r="BG288" i="14"/>
  <c r="E184" i="20" s="1"/>
  <c r="BH288" i="14"/>
  <c r="G184" i="20" s="1"/>
  <c r="G185" i="20"/>
  <c r="BG290" i="14"/>
  <c r="E188" i="20" s="1"/>
  <c r="BH290" i="14"/>
  <c r="G188" i="20" s="1"/>
  <c r="BG291" i="14"/>
  <c r="E189" i="20" s="1"/>
  <c r="BH291" i="14"/>
  <c r="G189" i="20" s="1"/>
  <c r="BG292" i="14"/>
  <c r="E191" i="20" s="1"/>
  <c r="BH292" i="14"/>
  <c r="G191" i="20" s="1"/>
  <c r="BG293" i="14"/>
  <c r="BH293" i="14"/>
  <c r="BG294" i="14"/>
  <c r="BH294" i="14"/>
  <c r="BG295" i="14"/>
  <c r="BH295" i="14"/>
  <c r="BG296" i="14"/>
  <c r="BH296" i="14"/>
  <c r="BG297" i="14"/>
  <c r="BH297" i="14"/>
  <c r="BG298" i="14"/>
  <c r="BH298" i="14"/>
  <c r="BG299" i="14"/>
  <c r="BH299" i="14"/>
  <c r="BG301" i="14"/>
  <c r="E195" i="20" s="1"/>
  <c r="BH301" i="14"/>
  <c r="G195" i="20" s="1"/>
  <c r="BG302" i="14"/>
  <c r="BH302" i="14"/>
  <c r="BG305" i="14"/>
  <c r="BH305" i="14"/>
  <c r="G24" i="20" l="1"/>
  <c r="E24" i="20"/>
  <c r="G26" i="20"/>
  <c r="E26" i="20"/>
  <c r="E25" i="20"/>
  <c r="G25" i="20"/>
  <c r="E21" i="20"/>
  <c r="G21" i="20"/>
  <c r="G20" i="20"/>
  <c r="E20" i="20"/>
  <c r="G15" i="20"/>
  <c r="E15" i="20"/>
  <c r="G192" i="20"/>
  <c r="G190" i="20" s="1"/>
  <c r="E192" i="20"/>
  <c r="E190" i="20" s="1"/>
  <c r="F180" i="15"/>
  <c r="F179" i="15" s="1"/>
  <c r="H180" i="15"/>
  <c r="H179" i="15" s="1"/>
  <c r="G115" i="20"/>
  <c r="E115" i="20"/>
  <c r="G170" i="20"/>
  <c r="G154" i="20"/>
  <c r="G137" i="20"/>
  <c r="G136" i="20"/>
  <c r="G132" i="20"/>
  <c r="G119" i="20"/>
  <c r="G113" i="20"/>
  <c r="G108" i="20"/>
  <c r="G92" i="20"/>
  <c r="G90" i="20"/>
  <c r="G80" i="20"/>
  <c r="G75" i="20"/>
  <c r="G71" i="20"/>
  <c r="G68" i="20"/>
  <c r="G62" i="20"/>
  <c r="G60" i="20" s="1"/>
  <c r="G194" i="20"/>
  <c r="E194" i="20"/>
  <c r="E75" i="20"/>
  <c r="G150" i="20"/>
  <c r="F78" i="15"/>
  <c r="F167" i="15"/>
  <c r="F153" i="15"/>
  <c r="F132" i="15"/>
  <c r="F93" i="15"/>
  <c r="F62" i="15"/>
  <c r="F189" i="15"/>
  <c r="F188" i="15" s="1"/>
  <c r="F68" i="15"/>
  <c r="F67" i="15" s="1"/>
  <c r="G159" i="20"/>
  <c r="F173" i="15"/>
  <c r="F172" i="15" s="1"/>
  <c r="F56" i="15"/>
  <c r="F97" i="15"/>
  <c r="F9" i="15"/>
  <c r="E154" i="20"/>
  <c r="E137" i="20"/>
  <c r="E136" i="20"/>
  <c r="E132" i="20"/>
  <c r="F130" i="15"/>
  <c r="E119" i="20"/>
  <c r="E113" i="20"/>
  <c r="F102" i="15"/>
  <c r="F86" i="15"/>
  <c r="F85" i="15" s="1"/>
  <c r="F84" i="15"/>
  <c r="F83" i="15" s="1"/>
  <c r="F50" i="15"/>
  <c r="F145" i="15"/>
  <c r="G153" i="20"/>
  <c r="F32" i="15"/>
  <c r="F31" i="15" s="1"/>
  <c r="H152" i="15"/>
  <c r="G152" i="20"/>
  <c r="H86" i="15"/>
  <c r="H85" i="15" s="1"/>
  <c r="F147" i="15"/>
  <c r="F28" i="15"/>
  <c r="F27" i="15" s="1"/>
  <c r="G174" i="20"/>
  <c r="G93" i="20"/>
  <c r="H160" i="15"/>
  <c r="H159" i="15" s="1"/>
  <c r="H96" i="15"/>
  <c r="H47" i="15"/>
  <c r="H42" i="15"/>
  <c r="H41" i="15" s="1"/>
  <c r="F126" i="15"/>
  <c r="F125" i="15" s="1"/>
  <c r="F104" i="15"/>
  <c r="F46" i="15"/>
  <c r="F21" i="15"/>
  <c r="F20" i="15" s="1"/>
  <c r="G111" i="20"/>
  <c r="H117" i="15"/>
  <c r="G59" i="20"/>
  <c r="H156" i="15"/>
  <c r="E187" i="20"/>
  <c r="F160" i="15"/>
  <c r="F159" i="15" s="1"/>
  <c r="F156" i="15"/>
  <c r="E88" i="20"/>
  <c r="E82" i="20"/>
  <c r="E81" i="20"/>
  <c r="E66" i="20"/>
  <c r="F47" i="15"/>
  <c r="F42" i="15"/>
  <c r="F41" i="15" s="1"/>
  <c r="F157" i="15"/>
  <c r="F137" i="15"/>
  <c r="F136" i="15" s="1"/>
  <c r="F118" i="15"/>
  <c r="F95" i="15"/>
  <c r="F58" i="15"/>
  <c r="F36" i="15"/>
  <c r="F35" i="15" s="1"/>
  <c r="F15" i="15"/>
  <c r="G161" i="20"/>
  <c r="G155" i="20"/>
  <c r="G110" i="20"/>
  <c r="E174" i="20"/>
  <c r="E173" i="20"/>
  <c r="D62" i="23"/>
  <c r="E170" i="20"/>
  <c r="E161" i="20"/>
  <c r="E159" i="20"/>
  <c r="E155" i="20"/>
  <c r="E153" i="20"/>
  <c r="E152" i="20"/>
  <c r="E150" i="20"/>
  <c r="E111" i="20"/>
  <c r="E110" i="20"/>
  <c r="E109" i="20"/>
  <c r="E108" i="20"/>
  <c r="E107" i="20"/>
  <c r="E97" i="20"/>
  <c r="E93" i="20"/>
  <c r="E92" i="20"/>
  <c r="E90" i="20"/>
  <c r="E80" i="20"/>
  <c r="E71" i="20"/>
  <c r="E68" i="20"/>
  <c r="E65" i="20"/>
  <c r="E62" i="20"/>
  <c r="E59" i="20"/>
  <c r="E16" i="20"/>
  <c r="E4" i="20"/>
  <c r="H184" i="15"/>
  <c r="H178" i="15"/>
  <c r="H175" i="15"/>
  <c r="H168" i="15"/>
  <c r="H146" i="15"/>
  <c r="H140" i="15"/>
  <c r="H135" i="15"/>
  <c r="H131" i="15"/>
  <c r="H128" i="15"/>
  <c r="H121" i="15"/>
  <c r="H111" i="15"/>
  <c r="H110" i="15" s="1"/>
  <c r="H99" i="15"/>
  <c r="H94" i="15"/>
  <c r="H92" i="15"/>
  <c r="H79" i="15"/>
  <c r="H73" i="15"/>
  <c r="H70" i="15"/>
  <c r="H65" i="15"/>
  <c r="H63" i="15"/>
  <c r="H60" i="15"/>
  <c r="H57" i="15"/>
  <c r="H51" i="15"/>
  <c r="H44" i="15"/>
  <c r="H39" i="15"/>
  <c r="H34" i="15"/>
  <c r="H30" i="15"/>
  <c r="H26" i="15"/>
  <c r="H16" i="15"/>
  <c r="H10" i="15"/>
  <c r="G109" i="20"/>
  <c r="G107" i="20"/>
  <c r="G97" i="20"/>
  <c r="G198" i="20"/>
  <c r="F77" i="23"/>
  <c r="G187" i="20"/>
  <c r="G183" i="20"/>
  <c r="G180" i="20"/>
  <c r="G177" i="20"/>
  <c r="G175" i="20"/>
  <c r="G169" i="20"/>
  <c r="G160" i="20"/>
  <c r="G158" i="20"/>
  <c r="G157" i="20"/>
  <c r="G156" i="20"/>
  <c r="G149" i="20"/>
  <c r="G148" i="20"/>
  <c r="G134" i="20"/>
  <c r="G126" i="20"/>
  <c r="G121" i="20"/>
  <c r="G112" i="20"/>
  <c r="G100" i="20"/>
  <c r="G98" i="20"/>
  <c r="G89" i="20"/>
  <c r="G88" i="20"/>
  <c r="G85" i="20"/>
  <c r="G82" i="20"/>
  <c r="G81" i="20"/>
  <c r="G79" i="20"/>
  <c r="G73" i="20"/>
  <c r="G66" i="20"/>
  <c r="G53" i="20"/>
  <c r="G43" i="20"/>
  <c r="G42" i="20"/>
  <c r="G35" i="20"/>
  <c r="G31" i="20"/>
  <c r="BH306" i="14"/>
  <c r="F184" i="15"/>
  <c r="F178" i="15"/>
  <c r="F175" i="15"/>
  <c r="F168" i="15"/>
  <c r="F152" i="15"/>
  <c r="F146" i="15"/>
  <c r="F140" i="15"/>
  <c r="F135" i="15"/>
  <c r="F131" i="15"/>
  <c r="F128" i="15"/>
  <c r="F121" i="15"/>
  <c r="F117" i="15"/>
  <c r="F111" i="15"/>
  <c r="F110" i="15" s="1"/>
  <c r="F99" i="15"/>
  <c r="F96" i="15"/>
  <c r="F94" i="15"/>
  <c r="F92" i="15"/>
  <c r="F79" i="15"/>
  <c r="F73" i="15"/>
  <c r="F70" i="15"/>
  <c r="F65" i="15"/>
  <c r="F63" i="15"/>
  <c r="F60" i="15"/>
  <c r="F57" i="15"/>
  <c r="F51" i="15"/>
  <c r="F44" i="15"/>
  <c r="F39" i="15"/>
  <c r="F34" i="15"/>
  <c r="F30" i="15"/>
  <c r="F26" i="15"/>
  <c r="F16" i="15"/>
  <c r="F10" i="15"/>
  <c r="F62" i="23"/>
  <c r="G173" i="20"/>
  <c r="G140" i="20"/>
  <c r="G65" i="20"/>
  <c r="G16" i="20"/>
  <c r="G4" i="20"/>
  <c r="E198" i="20"/>
  <c r="D77" i="23"/>
  <c r="E183" i="20"/>
  <c r="E180" i="20"/>
  <c r="E177" i="20"/>
  <c r="E175" i="20"/>
  <c r="E169" i="20"/>
  <c r="E160" i="20"/>
  <c r="E158" i="20"/>
  <c r="E157" i="20"/>
  <c r="E156" i="20"/>
  <c r="E149" i="20"/>
  <c r="E148" i="20"/>
  <c r="E140" i="20"/>
  <c r="E134" i="20"/>
  <c r="E126" i="20"/>
  <c r="E121" i="20"/>
  <c r="E112" i="20"/>
  <c r="E100" i="20"/>
  <c r="E98" i="20"/>
  <c r="E89" i="20"/>
  <c r="E85" i="20"/>
  <c r="E79" i="20"/>
  <c r="E73" i="20"/>
  <c r="E53" i="20"/>
  <c r="E43" i="20"/>
  <c r="E42" i="20"/>
  <c r="E35" i="20"/>
  <c r="E31" i="20"/>
  <c r="BG306" i="14"/>
  <c r="H189" i="15"/>
  <c r="H173" i="15"/>
  <c r="H167" i="15"/>
  <c r="H157" i="15"/>
  <c r="H153" i="15"/>
  <c r="H147" i="15"/>
  <c r="H145" i="15"/>
  <c r="H137" i="15"/>
  <c r="H132" i="15"/>
  <c r="H130" i="15"/>
  <c r="H126" i="15"/>
  <c r="H118" i="15"/>
  <c r="H104" i="15"/>
  <c r="H102" i="15"/>
  <c r="H97" i="15"/>
  <c r="H95" i="15"/>
  <c r="H93" i="15"/>
  <c r="H84" i="15"/>
  <c r="H78" i="15"/>
  <c r="H68" i="15"/>
  <c r="H62" i="15"/>
  <c r="H58" i="15"/>
  <c r="H56" i="15"/>
  <c r="H50" i="15"/>
  <c r="H46" i="15"/>
  <c r="H36" i="15"/>
  <c r="H32" i="15"/>
  <c r="H28" i="15"/>
  <c r="H21" i="15"/>
  <c r="H15" i="15"/>
  <c r="H9" i="15"/>
  <c r="AW62" i="14"/>
  <c r="AT10" i="14"/>
  <c r="AT9" i="14"/>
  <c r="AT8" i="14"/>
  <c r="E19" i="20" l="1"/>
  <c r="E18" i="20" s="1"/>
  <c r="G23" i="20"/>
  <c r="G19" i="20"/>
  <c r="G18" i="20" s="1"/>
  <c r="E23" i="20"/>
  <c r="F116" i="15"/>
  <c r="F115" i="15" s="1"/>
  <c r="H155" i="15"/>
  <c r="H154" i="15" s="1"/>
  <c r="H77" i="15"/>
  <c r="H76" i="15" s="1"/>
  <c r="F77" i="15"/>
  <c r="F76" i="15" s="1"/>
  <c r="H151" i="15"/>
  <c r="H150" i="15" s="1"/>
  <c r="F151" i="15"/>
  <c r="F150" i="15" s="1"/>
  <c r="H49" i="15"/>
  <c r="H48" i="15" s="1"/>
  <c r="F129" i="15"/>
  <c r="F166" i="15"/>
  <c r="F165" i="15" s="1"/>
  <c r="E48" i="20"/>
  <c r="G179" i="20"/>
  <c r="E176" i="20"/>
  <c r="E60" i="20"/>
  <c r="E186" i="20"/>
  <c r="E99" i="20"/>
  <c r="E182" i="20"/>
  <c r="G70" i="20"/>
  <c r="G99" i="20"/>
  <c r="E10" i="20"/>
  <c r="G186" i="20"/>
  <c r="G10" i="20"/>
  <c r="G48" i="20"/>
  <c r="G176" i="20"/>
  <c r="E57" i="20"/>
  <c r="E179" i="20"/>
  <c r="F14" i="15"/>
  <c r="F13" i="15" s="1"/>
  <c r="G182" i="20"/>
  <c r="G57" i="20"/>
  <c r="G3" i="20"/>
  <c r="E3" i="20"/>
  <c r="F144" i="15"/>
  <c r="F143" i="15" s="1"/>
  <c r="F55" i="15"/>
  <c r="F101" i="15"/>
  <c r="F100" i="15" s="1"/>
  <c r="F82" i="15"/>
  <c r="F81" i="15" s="1"/>
  <c r="E118" i="20"/>
  <c r="G64" i="20"/>
  <c r="H116" i="15"/>
  <c r="H115" i="15" s="1"/>
  <c r="H101" i="15"/>
  <c r="H100" i="15" s="1"/>
  <c r="E34" i="20"/>
  <c r="G118" i="20"/>
  <c r="F155" i="15"/>
  <c r="F154" i="15" s="1"/>
  <c r="F45" i="15"/>
  <c r="E64" i="20"/>
  <c r="G172" i="20"/>
  <c r="G106" i="20"/>
  <c r="G34" i="20"/>
  <c r="G91" i="20"/>
  <c r="G78" i="20"/>
  <c r="F29" i="15"/>
  <c r="H35" i="15"/>
  <c r="H83" i="15"/>
  <c r="H129" i="15"/>
  <c r="H172" i="15"/>
  <c r="E147" i="20"/>
  <c r="E146" i="20"/>
  <c r="F25" i="15"/>
  <c r="F43" i="15"/>
  <c r="F98" i="15"/>
  <c r="F134" i="15"/>
  <c r="G147" i="20"/>
  <c r="G146" i="20"/>
  <c r="H8" i="15"/>
  <c r="H33" i="15"/>
  <c r="H69" i="15"/>
  <c r="H134" i="15"/>
  <c r="H174" i="15"/>
  <c r="E78" i="20"/>
  <c r="E172" i="20"/>
  <c r="F120" i="15"/>
  <c r="H59" i="15"/>
  <c r="H120" i="15"/>
  <c r="F109" i="15"/>
  <c r="H158" i="15"/>
  <c r="H61" i="15"/>
  <c r="H109" i="15"/>
  <c r="F61" i="23"/>
  <c r="F139" i="15"/>
  <c r="F174" i="15"/>
  <c r="F171" i="15" s="1"/>
  <c r="F76" i="23"/>
  <c r="H38" i="15"/>
  <c r="H72" i="15"/>
  <c r="H98" i="15"/>
  <c r="H139" i="15"/>
  <c r="F49" i="15"/>
  <c r="H14" i="15"/>
  <c r="H27" i="15"/>
  <c r="H67" i="15"/>
  <c r="H136" i="15"/>
  <c r="H188" i="15"/>
  <c r="E196" i="20"/>
  <c r="E197" i="20"/>
  <c r="F187" i="15"/>
  <c r="F8" i="15"/>
  <c r="F33" i="15"/>
  <c r="F69" i="15"/>
  <c r="F127" i="15"/>
  <c r="F177" i="15"/>
  <c r="G196" i="20"/>
  <c r="G197" i="20"/>
  <c r="H25" i="15"/>
  <c r="H43" i="15"/>
  <c r="H127" i="15"/>
  <c r="H183" i="15"/>
  <c r="E91" i="20"/>
  <c r="E106" i="20"/>
  <c r="D61" i="23"/>
  <c r="F19" i="15"/>
  <c r="F61" i="15"/>
  <c r="F158" i="15"/>
  <c r="H20" i="15"/>
  <c r="D76" i="23"/>
  <c r="F64" i="15"/>
  <c r="H177" i="15"/>
  <c r="H45" i="15"/>
  <c r="F90" i="15"/>
  <c r="H90" i="15"/>
  <c r="H31" i="15"/>
  <c r="H55" i="15"/>
  <c r="H125" i="15"/>
  <c r="H144" i="15"/>
  <c r="H166" i="15"/>
  <c r="F38" i="15"/>
  <c r="F59" i="15"/>
  <c r="F72" i="15"/>
  <c r="F183" i="15"/>
  <c r="H29" i="15"/>
  <c r="H64" i="15"/>
  <c r="E70" i="20"/>
  <c r="G47" i="20" l="1"/>
  <c r="H7" i="24" s="1"/>
  <c r="E69" i="20"/>
  <c r="F14" i="24"/>
  <c r="E63" i="20"/>
  <c r="G117" i="20"/>
  <c r="G63" i="20"/>
  <c r="F3" i="24"/>
  <c r="H5" i="24"/>
  <c r="F11" i="24"/>
  <c r="F5" i="24"/>
  <c r="G105" i="20"/>
  <c r="E117" i="20"/>
  <c r="H19" i="24"/>
  <c r="J19" i="24" s="1"/>
  <c r="F19" i="24"/>
  <c r="H14" i="24"/>
  <c r="H18" i="24"/>
  <c r="J18" i="24" s="1"/>
  <c r="F18" i="24"/>
  <c r="H3" i="24"/>
  <c r="G9" i="20"/>
  <c r="H11" i="24"/>
  <c r="G69" i="20"/>
  <c r="E105" i="20"/>
  <c r="E47" i="20"/>
  <c r="E171" i="20"/>
  <c r="G171" i="20"/>
  <c r="G181" i="20"/>
  <c r="E9" i="20"/>
  <c r="E181" i="20"/>
  <c r="G22" i="20"/>
  <c r="E22" i="20"/>
  <c r="G77" i="20"/>
  <c r="F37" i="15"/>
  <c r="F89" i="15"/>
  <c r="H176" i="15"/>
  <c r="F18" i="15"/>
  <c r="H71" i="15"/>
  <c r="F64" i="23"/>
  <c r="F119" i="15"/>
  <c r="F114" i="15" s="1"/>
  <c r="H7" i="15"/>
  <c r="H149" i="15"/>
  <c r="F149" i="15"/>
  <c r="H138" i="15"/>
  <c r="F79" i="23"/>
  <c r="F182" i="15"/>
  <c r="F54" i="15"/>
  <c r="H19" i="15"/>
  <c r="D64" i="23"/>
  <c r="H182" i="15"/>
  <c r="F66" i="15"/>
  <c r="H187" i="15"/>
  <c r="H66" i="15"/>
  <c r="F48" i="15"/>
  <c r="F24" i="15"/>
  <c r="H75" i="15"/>
  <c r="H143" i="15"/>
  <c r="D79" i="23"/>
  <c r="F186" i="15"/>
  <c r="F138" i="15"/>
  <c r="F108" i="15"/>
  <c r="F133" i="15"/>
  <c r="H82" i="15"/>
  <c r="F71" i="15"/>
  <c r="H165" i="15"/>
  <c r="H124" i="15"/>
  <c r="H54" i="15"/>
  <c r="H89" i="15"/>
  <c r="H40" i="15"/>
  <c r="F7" i="18" s="1"/>
  <c r="F75" i="15"/>
  <c r="H24" i="15"/>
  <c r="F5" i="18" s="1"/>
  <c r="F176" i="15"/>
  <c r="F7" i="15"/>
  <c r="H13" i="15"/>
  <c r="H37" i="15"/>
  <c r="F6" i="18" s="1"/>
  <c r="H108" i="15"/>
  <c r="F142" i="15"/>
  <c r="H119" i="15"/>
  <c r="E77" i="20"/>
  <c r="H133" i="15"/>
  <c r="F40" i="15"/>
  <c r="H171" i="15"/>
  <c r="F124" i="15"/>
  <c r="F164" i="15"/>
  <c r="F12" i="15"/>
  <c r="AT277" i="14"/>
  <c r="AT271" i="14"/>
  <c r="F8" i="18" l="1"/>
  <c r="E199" i="20"/>
  <c r="F10" i="24"/>
  <c r="F4" i="24"/>
  <c r="H17" i="24"/>
  <c r="J17" i="24" s="1"/>
  <c r="J20" i="24" s="1"/>
  <c r="B38" i="24" s="1"/>
  <c r="H15" i="24"/>
  <c r="F15" i="24"/>
  <c r="H4" i="24"/>
  <c r="J7" i="24"/>
  <c r="F13" i="24"/>
  <c r="H13" i="24"/>
  <c r="F7" i="24"/>
  <c r="F9" i="24"/>
  <c r="F6" i="24"/>
  <c r="H6" i="24"/>
  <c r="F17" i="24"/>
  <c r="F20" i="24" s="1"/>
  <c r="J11" i="24"/>
  <c r="J3" i="24"/>
  <c r="J14" i="24"/>
  <c r="H12" i="24"/>
  <c r="J5" i="24"/>
  <c r="H8" i="24"/>
  <c r="F8" i="24"/>
  <c r="H9" i="24"/>
  <c r="H10" i="24"/>
  <c r="F12" i="24"/>
  <c r="G199" i="20"/>
  <c r="H12" i="15"/>
  <c r="H164" i="15"/>
  <c r="F123" i="15"/>
  <c r="H53" i="15"/>
  <c r="H142" i="15"/>
  <c r="H18" i="15"/>
  <c r="F53" i="15"/>
  <c r="H170" i="15"/>
  <c r="D5" i="18"/>
  <c r="D6" i="18"/>
  <c r="H81" i="15"/>
  <c r="F23" i="15"/>
  <c r="D7" i="18"/>
  <c r="H123" i="15"/>
  <c r="H186" i="15"/>
  <c r="H114" i="15"/>
  <c r="F81" i="23"/>
  <c r="F88" i="15"/>
  <c r="H23" i="15"/>
  <c r="F170" i="15"/>
  <c r="F191" i="15" s="1"/>
  <c r="F6" i="15"/>
  <c r="D8" i="18"/>
  <c r="H88" i="15"/>
  <c r="D81" i="23"/>
  <c r="H6" i="15"/>
  <c r="BC208" i="14"/>
  <c r="BC140" i="14"/>
  <c r="AT157" i="14"/>
  <c r="AT158" i="14"/>
  <c r="AN162" i="14"/>
  <c r="AN160" i="14"/>
  <c r="AN144" i="14"/>
  <c r="AN306" i="14" s="1"/>
  <c r="C27" i="23"/>
  <c r="C7" i="23"/>
  <c r="E105" i="15"/>
  <c r="C46" i="23" l="1"/>
  <c r="E46" i="23" s="1"/>
  <c r="B36" i="24"/>
  <c r="J12" i="24"/>
  <c r="J9" i="24"/>
  <c r="H20" i="24"/>
  <c r="J8" i="24"/>
  <c r="J10" i="24"/>
  <c r="J6" i="24"/>
  <c r="J13" i="24"/>
  <c r="J4" i="24"/>
  <c r="J15" i="24"/>
  <c r="H16" i="24"/>
  <c r="F16" i="24"/>
  <c r="I105" i="15"/>
  <c r="G105" i="15"/>
  <c r="H162" i="15"/>
  <c r="H191" i="15"/>
  <c r="G27" i="23"/>
  <c r="E27" i="23"/>
  <c r="D9" i="18"/>
  <c r="E7" i="23"/>
  <c r="G7" i="23"/>
  <c r="F162" i="15"/>
  <c r="AT133" i="14"/>
  <c r="G46" i="23" l="1"/>
  <c r="B27" i="24"/>
  <c r="F22" i="24"/>
  <c r="B37" i="24"/>
  <c r="H22" i="24"/>
  <c r="B51" i="24" s="1"/>
  <c r="B28" i="24"/>
  <c r="J16" i="24"/>
  <c r="H193" i="15"/>
  <c r="F193" i="15"/>
  <c r="AT131" i="14"/>
  <c r="B29" i="24" l="1"/>
  <c r="J22" i="24"/>
  <c r="B50" i="24"/>
  <c r="AT71" i="14"/>
  <c r="AT70" i="14"/>
  <c r="AT69" i="14"/>
  <c r="AT68" i="14"/>
  <c r="AT64" i="14"/>
  <c r="AT63" i="14"/>
  <c r="AT61" i="14"/>
  <c r="AT60" i="14"/>
  <c r="AT58" i="14"/>
  <c r="AT56" i="14"/>
  <c r="AT55" i="14"/>
  <c r="AT54" i="14"/>
  <c r="AT53" i="14"/>
  <c r="AT52" i="14"/>
  <c r="C23" i="23"/>
  <c r="AZ306" i="14"/>
  <c r="B52" i="24" l="1"/>
  <c r="G23" i="23"/>
  <c r="E23" i="23"/>
  <c r="AT16" i="14"/>
  <c r="AT14" i="14"/>
  <c r="A11" i="20" l="1"/>
  <c r="A12" i="20" s="1"/>
  <c r="A13" i="20" s="1"/>
  <c r="A14" i="20" s="1"/>
  <c r="A15" i="20" s="1"/>
  <c r="A16" i="20" s="1"/>
  <c r="A17" i="20" s="1"/>
  <c r="C4" i="25" s="1"/>
  <c r="C8" i="23"/>
  <c r="E8" i="23" l="1"/>
  <c r="G8" i="23"/>
  <c r="BF305" i="14"/>
  <c r="BF302" i="14"/>
  <c r="BF301" i="14"/>
  <c r="D195" i="20" s="1"/>
  <c r="BF299" i="14"/>
  <c r="BF298" i="14"/>
  <c r="BF297" i="14"/>
  <c r="BF296" i="14"/>
  <c r="BF295" i="14"/>
  <c r="BF294" i="14"/>
  <c r="BF293" i="14"/>
  <c r="BF292" i="14"/>
  <c r="D191" i="20" s="1"/>
  <c r="BF291" i="14"/>
  <c r="BF290" i="14"/>
  <c r="BF283" i="14"/>
  <c r="BF282" i="14"/>
  <c r="BF281" i="14"/>
  <c r="BF274" i="14"/>
  <c r="BF267" i="14"/>
  <c r="BF262" i="14"/>
  <c r="BF259" i="14"/>
  <c r="BF258" i="14"/>
  <c r="BF257" i="14"/>
  <c r="BF256" i="14"/>
  <c r="BF255" i="14"/>
  <c r="BF254" i="14"/>
  <c r="BF253" i="14"/>
  <c r="BF252" i="14"/>
  <c r="BF251" i="14"/>
  <c r="BF250" i="14"/>
  <c r="BF249" i="14"/>
  <c r="BF248" i="14"/>
  <c r="BF243" i="14"/>
  <c r="BF242" i="14"/>
  <c r="BF240" i="14"/>
  <c r="BF239" i="14"/>
  <c r="BF238" i="14"/>
  <c r="BF236" i="14"/>
  <c r="BF235" i="14"/>
  <c r="BF234" i="14"/>
  <c r="BF233" i="14"/>
  <c r="BF232" i="14"/>
  <c r="BF231" i="14"/>
  <c r="BF230" i="14"/>
  <c r="BF229" i="14"/>
  <c r="BF228" i="14"/>
  <c r="BF227" i="14"/>
  <c r="BF226" i="14"/>
  <c r="BF225" i="14"/>
  <c r="BF224" i="14"/>
  <c r="BF223" i="14"/>
  <c r="BF222" i="14"/>
  <c r="BF221" i="14"/>
  <c r="BF220" i="14"/>
  <c r="BF219" i="14"/>
  <c r="BF203" i="14"/>
  <c r="BF218" i="14"/>
  <c r="BF217" i="14"/>
  <c r="BF216" i="14"/>
  <c r="BF215" i="14"/>
  <c r="BF202" i="14"/>
  <c r="BF214" i="14"/>
  <c r="BF213" i="14"/>
  <c r="BF212" i="14"/>
  <c r="BF211" i="14"/>
  <c r="BF210" i="14"/>
  <c r="BF208" i="14"/>
  <c r="BF207" i="14"/>
  <c r="BF206" i="14"/>
  <c r="BF205" i="14"/>
  <c r="BF204" i="14"/>
  <c r="BF197" i="14"/>
  <c r="BF196" i="14"/>
  <c r="BF190" i="14"/>
  <c r="BF189" i="14"/>
  <c r="BF188" i="14"/>
  <c r="BF187" i="14"/>
  <c r="BF181" i="14"/>
  <c r="BF180" i="14"/>
  <c r="BF174" i="14"/>
  <c r="BF171" i="14"/>
  <c r="BF170" i="14"/>
  <c r="BF168" i="14"/>
  <c r="BF167" i="14"/>
  <c r="BF166" i="14"/>
  <c r="BF165" i="14"/>
  <c r="BF164" i="14"/>
  <c r="BF163" i="14"/>
  <c r="BF162" i="14"/>
  <c r="BF161" i="14"/>
  <c r="BF159" i="14"/>
  <c r="BF158" i="14"/>
  <c r="BF156" i="14"/>
  <c r="BF155" i="14"/>
  <c r="BF154" i="14"/>
  <c r="BF153" i="14"/>
  <c r="BF152" i="14"/>
  <c r="BF151" i="14"/>
  <c r="BF150" i="14"/>
  <c r="BF148" i="14"/>
  <c r="BF147" i="14"/>
  <c r="BF146" i="14"/>
  <c r="BF145" i="14"/>
  <c r="BF143" i="14"/>
  <c r="BF139" i="14"/>
  <c r="BF138" i="14"/>
  <c r="BF137" i="14"/>
  <c r="BF134" i="14"/>
  <c r="D104" i="20" s="1"/>
  <c r="BF130" i="14"/>
  <c r="BF129" i="14"/>
  <c r="BF127" i="14"/>
  <c r="BF126" i="14"/>
  <c r="BF125" i="14"/>
  <c r="BF119" i="14"/>
  <c r="BF116" i="14"/>
  <c r="BF115" i="14"/>
  <c r="BF114" i="14"/>
  <c r="BF112" i="14"/>
  <c r="BF108" i="14"/>
  <c r="BF104" i="14"/>
  <c r="BF101" i="14"/>
  <c r="BF93" i="14"/>
  <c r="D76" i="20" s="1"/>
  <c r="BF91" i="14"/>
  <c r="BF89" i="14"/>
  <c r="BF85" i="14"/>
  <c r="BF84" i="14"/>
  <c r="BF81" i="14"/>
  <c r="BF77" i="14"/>
  <c r="BF76" i="14"/>
  <c r="BF75" i="14"/>
  <c r="BF73" i="14"/>
  <c r="BF65" i="14"/>
  <c r="BF64" i="14"/>
  <c r="BF61" i="14"/>
  <c r="BF59" i="14"/>
  <c r="BF58" i="14"/>
  <c r="BF57" i="14"/>
  <c r="BF54" i="14"/>
  <c r="BF51" i="14"/>
  <c r="BF50" i="14"/>
  <c r="BF49" i="14"/>
  <c r="D45" i="20" s="1"/>
  <c r="BF46" i="14"/>
  <c r="BF45" i="14"/>
  <c r="BF43" i="14"/>
  <c r="BF42" i="14"/>
  <c r="BF38" i="14"/>
  <c r="D37" i="20" s="1"/>
  <c r="BF37" i="14"/>
  <c r="D36" i="20" s="1"/>
  <c r="BF36" i="14"/>
  <c r="D38" i="20" s="1"/>
  <c r="BF33" i="14"/>
  <c r="BF32" i="14"/>
  <c r="D32" i="20" s="1"/>
  <c r="BF30" i="14"/>
  <c r="D28" i="20" s="1"/>
  <c r="BF22" i="14"/>
  <c r="BF21" i="14"/>
  <c r="BF20" i="14"/>
  <c r="BF19" i="14"/>
  <c r="BF18" i="14"/>
  <c r="BF17" i="14"/>
  <c r="BF16" i="14"/>
  <c r="BF15" i="14"/>
  <c r="BF12" i="14"/>
  <c r="BF11" i="14"/>
  <c r="D8" i="20" s="1"/>
  <c r="D192" i="20" l="1"/>
  <c r="D190" i="20" s="1"/>
  <c r="E180" i="15"/>
  <c r="E179" i="15" s="1"/>
  <c r="F32" i="20"/>
  <c r="H32" i="20"/>
  <c r="H37" i="20"/>
  <c r="F37" i="20"/>
  <c r="H76" i="20"/>
  <c r="F76" i="20"/>
  <c r="H8" i="20"/>
  <c r="F8" i="20"/>
  <c r="H45" i="20"/>
  <c r="F45" i="20"/>
  <c r="F38" i="20"/>
  <c r="H38" i="20"/>
  <c r="H104" i="20"/>
  <c r="F104" i="20"/>
  <c r="F191" i="20"/>
  <c r="H191" i="20"/>
  <c r="H28" i="20"/>
  <c r="F28" i="20"/>
  <c r="F36" i="20"/>
  <c r="H36" i="20"/>
  <c r="H195" i="20"/>
  <c r="F195" i="20"/>
  <c r="E28" i="15"/>
  <c r="D30" i="20"/>
  <c r="AT280" i="14"/>
  <c r="BF280" i="14" s="1"/>
  <c r="AT279" i="14"/>
  <c r="BF279" i="14" s="1"/>
  <c r="AT278" i="14"/>
  <c r="BF278" i="14" s="1"/>
  <c r="BF277" i="14"/>
  <c r="BF276" i="14"/>
  <c r="BF275" i="14"/>
  <c r="AT273" i="14"/>
  <c r="BF273" i="14" s="1"/>
  <c r="AT272" i="14"/>
  <c r="BF272" i="14" s="1"/>
  <c r="BF271" i="14"/>
  <c r="AT270" i="14"/>
  <c r="BF270" i="14" s="1"/>
  <c r="AT269" i="14"/>
  <c r="BF269" i="14" s="1"/>
  <c r="AT268" i="14"/>
  <c r="BF268" i="14" s="1"/>
  <c r="AT266" i="14"/>
  <c r="BF266" i="14" s="1"/>
  <c r="AT265" i="14"/>
  <c r="BF265" i="14" s="1"/>
  <c r="AT264" i="14"/>
  <c r="BF264" i="14" s="1"/>
  <c r="AT263" i="14"/>
  <c r="BF263" i="14" s="1"/>
  <c r="AT261" i="14"/>
  <c r="BF261" i="14" s="1"/>
  <c r="AK245" i="14"/>
  <c r="AH260" i="14"/>
  <c r="BF260" i="14" s="1"/>
  <c r="AH244" i="14"/>
  <c r="BF244" i="14" s="1"/>
  <c r="AH241" i="14"/>
  <c r="BF241" i="14" s="1"/>
  <c r="BF237" i="14"/>
  <c r="AH209" i="14"/>
  <c r="AE247" i="14"/>
  <c r="AE246" i="14"/>
  <c r="BF246" i="14" s="1"/>
  <c r="BF201" i="14"/>
  <c r="AT200" i="14"/>
  <c r="BF200" i="14" s="1"/>
  <c r="AT199" i="14"/>
  <c r="BF199" i="14" s="1"/>
  <c r="AT198" i="14"/>
  <c r="BF198" i="14" s="1"/>
  <c r="AT195" i="14"/>
  <c r="BF195" i="14" s="1"/>
  <c r="AT193" i="14"/>
  <c r="BF193" i="14" s="1"/>
  <c r="BF192" i="14"/>
  <c r="AT191" i="14"/>
  <c r="BF191" i="14" s="1"/>
  <c r="AT186" i="14"/>
  <c r="BF186" i="14" s="1"/>
  <c r="AT185" i="14"/>
  <c r="BF185" i="14" s="1"/>
  <c r="AT184" i="14"/>
  <c r="BF184" i="14" s="1"/>
  <c r="AT183" i="14"/>
  <c r="BF183" i="14" s="1"/>
  <c r="AT182" i="14"/>
  <c r="BF182" i="14" s="1"/>
  <c r="AT179" i="14"/>
  <c r="BF179" i="14" s="1"/>
  <c r="BF178" i="14"/>
  <c r="AT177" i="14"/>
  <c r="BF177" i="14" s="1"/>
  <c r="AT176" i="14"/>
  <c r="BF176" i="14" s="1"/>
  <c r="AT175" i="14"/>
  <c r="BF175" i="14" s="1"/>
  <c r="AT173" i="14"/>
  <c r="BF173" i="14" s="1"/>
  <c r="AT172" i="14"/>
  <c r="AB194" i="14"/>
  <c r="BF194" i="14" s="1"/>
  <c r="AE169" i="14"/>
  <c r="AE160" i="14"/>
  <c r="AE141" i="14"/>
  <c r="BF135" i="14"/>
  <c r="AT169" i="14"/>
  <c r="AT160" i="14"/>
  <c r="BF157" i="14"/>
  <c r="AT149" i="14"/>
  <c r="BF149" i="14" s="1"/>
  <c r="AT144" i="14"/>
  <c r="BF144" i="14" s="1"/>
  <c r="AT142" i="14"/>
  <c r="BF142" i="14" s="1"/>
  <c r="AT140" i="14"/>
  <c r="BF140" i="14" s="1"/>
  <c r="AT136" i="14"/>
  <c r="BF133" i="14"/>
  <c r="BF131" i="14"/>
  <c r="W134" i="14"/>
  <c r="W135" i="14"/>
  <c r="AT128" i="14"/>
  <c r="AT124" i="14"/>
  <c r="BF124" i="14" s="1"/>
  <c r="AT123" i="14"/>
  <c r="BF123" i="14" s="1"/>
  <c r="AT122" i="14"/>
  <c r="BF122" i="14" s="1"/>
  <c r="AT121" i="14"/>
  <c r="BF121" i="14" s="1"/>
  <c r="AT120" i="14"/>
  <c r="BF118" i="14"/>
  <c r="AT117" i="14"/>
  <c r="BF117" i="14" s="1"/>
  <c r="AT113" i="14"/>
  <c r="BF113" i="14" s="1"/>
  <c r="AT111" i="14"/>
  <c r="BF111" i="14" s="1"/>
  <c r="AT110" i="14"/>
  <c r="BF110" i="14" s="1"/>
  <c r="AT109" i="14"/>
  <c r="BF109" i="14" s="1"/>
  <c r="AT107" i="14"/>
  <c r="BF107" i="14" s="1"/>
  <c r="AT106" i="14"/>
  <c r="BF106" i="14" s="1"/>
  <c r="AT105" i="14"/>
  <c r="BF105" i="14" s="1"/>
  <c r="AT103" i="14"/>
  <c r="BF103" i="14" s="1"/>
  <c r="AT102" i="14"/>
  <c r="BF102" i="14" s="1"/>
  <c r="AT100" i="14"/>
  <c r="BF100" i="14" s="1"/>
  <c r="AT99" i="14"/>
  <c r="BF99" i="14" s="1"/>
  <c r="AT98" i="14"/>
  <c r="BF98" i="14" s="1"/>
  <c r="AT97" i="14"/>
  <c r="BF97" i="14" s="1"/>
  <c r="AT96" i="14"/>
  <c r="BF96" i="14" s="1"/>
  <c r="AT95" i="14"/>
  <c r="BF95" i="14" s="1"/>
  <c r="AT94" i="14"/>
  <c r="AT92" i="14"/>
  <c r="BF92" i="14" s="1"/>
  <c r="AT90" i="14"/>
  <c r="BF90" i="14" s="1"/>
  <c r="AW88" i="14"/>
  <c r="BF88" i="14" s="1"/>
  <c r="BF87" i="14"/>
  <c r="AT86" i="14"/>
  <c r="BF86" i="14" s="1"/>
  <c r="AT83" i="14"/>
  <c r="W93" i="14"/>
  <c r="BF82" i="14"/>
  <c r="AT79" i="14"/>
  <c r="BF79" i="14" s="1"/>
  <c r="AT74" i="14"/>
  <c r="AB80" i="14"/>
  <c r="BF80" i="14" s="1"/>
  <c r="AB78" i="14"/>
  <c r="BF78" i="14" s="1"/>
  <c r="AB74" i="14"/>
  <c r="AT72" i="14"/>
  <c r="BF72" i="14" s="1"/>
  <c r="BF71" i="14"/>
  <c r="BF70" i="14"/>
  <c r="BF69" i="14"/>
  <c r="BF68" i="14"/>
  <c r="AT67" i="14"/>
  <c r="BF66" i="14"/>
  <c r="BF63" i="14"/>
  <c r="D56" i="20" s="1"/>
  <c r="BF62" i="14"/>
  <c r="BF60" i="14"/>
  <c r="BF56" i="14"/>
  <c r="BF55" i="14"/>
  <c r="BF53" i="14"/>
  <c r="BF52" i="14"/>
  <c r="BF245" i="14" l="1"/>
  <c r="AK306" i="14"/>
  <c r="BF209" i="14"/>
  <c r="AH306" i="14"/>
  <c r="BF160" i="14"/>
  <c r="D75" i="20"/>
  <c r="F75" i="20" s="1"/>
  <c r="F56" i="20"/>
  <c r="H56" i="20"/>
  <c r="F192" i="20"/>
  <c r="H192" i="20"/>
  <c r="F30" i="20"/>
  <c r="H30" i="20"/>
  <c r="E27" i="15"/>
  <c r="G28" i="15"/>
  <c r="I28" i="15"/>
  <c r="BF67" i="14"/>
  <c r="C26" i="23"/>
  <c r="BF136" i="14"/>
  <c r="C47" i="23"/>
  <c r="C31" i="23"/>
  <c r="BF83" i="14"/>
  <c r="D71" i="20" s="1"/>
  <c r="C35" i="23"/>
  <c r="BF120" i="14"/>
  <c r="E103" i="15"/>
  <c r="BF94" i="14"/>
  <c r="C39" i="23"/>
  <c r="E91" i="15"/>
  <c r="C30" i="23"/>
  <c r="BF128" i="14"/>
  <c r="E106" i="15"/>
  <c r="BF132" i="14"/>
  <c r="C42" i="23"/>
  <c r="E112" i="15"/>
  <c r="C45" i="23"/>
  <c r="BF172" i="14"/>
  <c r="C52" i="23"/>
  <c r="E132" i="15"/>
  <c r="E131" i="15"/>
  <c r="E130" i="15"/>
  <c r="E86" i="15"/>
  <c r="BF169" i="14"/>
  <c r="BF74" i="14"/>
  <c r="BF141" i="14"/>
  <c r="BF247" i="14"/>
  <c r="BF14" i="14"/>
  <c r="AT13" i="14"/>
  <c r="AT23" i="14"/>
  <c r="BF23" i="14" s="1"/>
  <c r="H75" i="20" l="1"/>
  <c r="F71" i="20"/>
  <c r="H71" i="20"/>
  <c r="F190" i="20"/>
  <c r="H190" i="20"/>
  <c r="G86" i="15"/>
  <c r="I86" i="15"/>
  <c r="G52" i="23"/>
  <c r="E52" i="23"/>
  <c r="G42" i="23"/>
  <c r="E42" i="23"/>
  <c r="G30" i="23"/>
  <c r="E30" i="23"/>
  <c r="G103" i="15"/>
  <c r="I103" i="15"/>
  <c r="G31" i="23"/>
  <c r="E31" i="23"/>
  <c r="G130" i="15"/>
  <c r="I130" i="15"/>
  <c r="G91" i="15"/>
  <c r="I91" i="15"/>
  <c r="G47" i="23"/>
  <c r="E47" i="23"/>
  <c r="I131" i="15"/>
  <c r="G131" i="15"/>
  <c r="G45" i="23"/>
  <c r="E45" i="23"/>
  <c r="G106" i="15"/>
  <c r="I106" i="15"/>
  <c r="G39" i="23"/>
  <c r="E39" i="23"/>
  <c r="E35" i="23"/>
  <c r="G35" i="23"/>
  <c r="G132" i="15"/>
  <c r="I132" i="15"/>
  <c r="G112" i="15"/>
  <c r="I112" i="15"/>
  <c r="G26" i="23"/>
  <c r="E26" i="23"/>
  <c r="G27" i="15"/>
  <c r="I27" i="15"/>
  <c r="BF13" i="14"/>
  <c r="C11" i="23"/>
  <c r="E117" i="15"/>
  <c r="W51" i="14"/>
  <c r="I117" i="15" l="1"/>
  <c r="G117" i="15"/>
  <c r="G11" i="23"/>
  <c r="E11" i="23"/>
  <c r="BF48" i="14"/>
  <c r="E51" i="15" s="1"/>
  <c r="AQ47" i="14"/>
  <c r="BF47" i="14" s="1"/>
  <c r="AB44" i="14"/>
  <c r="AB41" i="14"/>
  <c r="BF41" i="14" s="1"/>
  <c r="AW40" i="14"/>
  <c r="BF40" i="14" s="1"/>
  <c r="AW39" i="14"/>
  <c r="BF39" i="14" s="1"/>
  <c r="W36" i="14"/>
  <c r="W11" i="14"/>
  <c r="BC35" i="14"/>
  <c r="C22" i="23" s="1"/>
  <c r="AB31" i="14"/>
  <c r="BF31" i="14" s="1"/>
  <c r="G22" i="23" l="1"/>
  <c r="E22" i="23"/>
  <c r="G51" i="15"/>
  <c r="I51" i="15"/>
  <c r="BF34" i="14"/>
  <c r="C21" i="23"/>
  <c r="BF27" i="14"/>
  <c r="C18" i="23"/>
  <c r="BF35" i="14"/>
  <c r="BC24" i="14"/>
  <c r="AT25" i="14"/>
  <c r="BF25" i="14" s="1"/>
  <c r="AT24" i="14"/>
  <c r="C14" i="23" s="1"/>
  <c r="E42" i="15" l="1"/>
  <c r="G42" i="15" s="1"/>
  <c r="E18" i="23"/>
  <c r="G18" i="23"/>
  <c r="G14" i="23"/>
  <c r="E14" i="23"/>
  <c r="G21" i="23"/>
  <c r="E21" i="23"/>
  <c r="BF24" i="14"/>
  <c r="BF10" i="14"/>
  <c r="BF9" i="14"/>
  <c r="BF8" i="14"/>
  <c r="I42" i="15" l="1"/>
  <c r="E10" i="15"/>
  <c r="C6" i="23"/>
  <c r="G6" i="23" s="1"/>
  <c r="E6" i="23" l="1"/>
  <c r="I10" i="15"/>
  <c r="G10" i="15"/>
  <c r="A20" i="20"/>
  <c r="A21" i="20" s="1"/>
  <c r="A24" i="20" l="1"/>
  <c r="A25" i="20" s="1"/>
  <c r="A26" i="20" s="1"/>
  <c r="A27" i="20" s="1"/>
  <c r="A28" i="20" s="1"/>
  <c r="A29" i="20" s="1"/>
  <c r="A30" i="20" s="1"/>
  <c r="A32" i="20" s="1"/>
  <c r="A33" i="20" s="1"/>
  <c r="A35" i="20" s="1"/>
  <c r="C5" i="25"/>
  <c r="C70" i="23"/>
  <c r="E69" i="23" l="1"/>
  <c r="G69" i="23"/>
  <c r="G70" i="23"/>
  <c r="E70" i="23"/>
  <c r="A36" i="20"/>
  <c r="A37" i="20" s="1"/>
  <c r="A38" i="20" s="1"/>
  <c r="BF289" i="14"/>
  <c r="A39" i="20" l="1"/>
  <c r="A40" i="20" s="1"/>
  <c r="A41" i="20" s="1"/>
  <c r="A42" i="20" s="1"/>
  <c r="A44" i="20" s="1"/>
  <c r="BF288" i="14"/>
  <c r="AE287" i="14"/>
  <c r="BF287" i="14" s="1"/>
  <c r="AB286" i="14"/>
  <c r="BF286" i="14" s="1"/>
  <c r="AB285" i="14"/>
  <c r="BF285" i="14" s="1"/>
  <c r="BF284" i="14"/>
  <c r="A45" i="20" l="1"/>
  <c r="A46" i="20" s="1"/>
  <c r="C68" i="23"/>
  <c r="C67" i="23"/>
  <c r="AT29" i="14"/>
  <c r="BF29" i="14" s="1"/>
  <c r="E34" i="15" s="1"/>
  <c r="A49" i="20" l="1"/>
  <c r="A50" i="20" s="1"/>
  <c r="A51" i="20" s="1"/>
  <c r="A52" i="20" s="1"/>
  <c r="A53" i="20" s="1"/>
  <c r="A54" i="20" s="1"/>
  <c r="C6" i="25"/>
  <c r="I34" i="15"/>
  <c r="G34" i="15"/>
  <c r="G67" i="23"/>
  <c r="E67" i="23"/>
  <c r="G68" i="23"/>
  <c r="E68" i="23"/>
  <c r="A55" i="20"/>
  <c r="A56" i="20" s="1"/>
  <c r="A58" i="20"/>
  <c r="D6" i="20"/>
  <c r="D7" i="20"/>
  <c r="D11" i="20"/>
  <c r="D12" i="20"/>
  <c r="D13" i="20"/>
  <c r="D14" i="20"/>
  <c r="D15" i="20"/>
  <c r="D17" i="20"/>
  <c r="D20" i="20"/>
  <c r="D21" i="20"/>
  <c r="D25" i="20"/>
  <c r="D33" i="20"/>
  <c r="D39" i="20"/>
  <c r="D40" i="20"/>
  <c r="D41" i="20"/>
  <c r="D44" i="20"/>
  <c r="D46" i="20"/>
  <c r="D49" i="20"/>
  <c r="D50" i="20"/>
  <c r="D51" i="20"/>
  <c r="D54" i="20"/>
  <c r="D58" i="20"/>
  <c r="D61" i="20"/>
  <c r="D67" i="20"/>
  <c r="D72" i="20"/>
  <c r="D74" i="20"/>
  <c r="D83" i="20"/>
  <c r="D84" i="20"/>
  <c r="D86" i="20"/>
  <c r="D87" i="20"/>
  <c r="D94" i="20"/>
  <c r="D95" i="20"/>
  <c r="D96" i="20"/>
  <c r="D101" i="20"/>
  <c r="D102" i="20"/>
  <c r="D103" i="20"/>
  <c r="D114" i="20"/>
  <c r="D116" i="20"/>
  <c r="D120" i="20"/>
  <c r="D122" i="20"/>
  <c r="D123" i="20"/>
  <c r="D124" i="20"/>
  <c r="D125" i="20"/>
  <c r="D127" i="20"/>
  <c r="D128" i="20"/>
  <c r="D129" i="20"/>
  <c r="D130" i="20"/>
  <c r="D131" i="20"/>
  <c r="D133" i="20"/>
  <c r="D135" i="20"/>
  <c r="D138" i="20"/>
  <c r="D139" i="20"/>
  <c r="D141" i="20"/>
  <c r="D142" i="20"/>
  <c r="D143" i="20"/>
  <c r="D144" i="20"/>
  <c r="D145" i="20"/>
  <c r="D151" i="20"/>
  <c r="D165" i="20"/>
  <c r="D166" i="20"/>
  <c r="D167" i="20"/>
  <c r="D162" i="20"/>
  <c r="D163" i="20"/>
  <c r="D178" i="20"/>
  <c r="D185" i="20"/>
  <c r="D188" i="20"/>
  <c r="D189" i="20"/>
  <c r="D194" i="20"/>
  <c r="W260" i="14"/>
  <c r="H178" i="20" l="1"/>
  <c r="F178" i="20"/>
  <c r="F166" i="20"/>
  <c r="H166" i="20"/>
  <c r="H144" i="20"/>
  <c r="F144" i="20"/>
  <c r="H139" i="20"/>
  <c r="F139" i="20"/>
  <c r="F131" i="20"/>
  <c r="H131" i="20"/>
  <c r="H127" i="20"/>
  <c r="F127" i="20"/>
  <c r="F122" i="20"/>
  <c r="H122" i="20"/>
  <c r="H103" i="20"/>
  <c r="F103" i="20"/>
  <c r="H95" i="20"/>
  <c r="F95" i="20"/>
  <c r="F84" i="20"/>
  <c r="H84" i="20"/>
  <c r="H67" i="20"/>
  <c r="F67" i="20"/>
  <c r="H51" i="20"/>
  <c r="F51" i="20"/>
  <c r="F44" i="20"/>
  <c r="H44" i="20"/>
  <c r="D31" i="20"/>
  <c r="H33" i="20"/>
  <c r="F33" i="20"/>
  <c r="H17" i="20"/>
  <c r="F17" i="20"/>
  <c r="F12" i="20"/>
  <c r="H12" i="20"/>
  <c r="H163" i="20"/>
  <c r="F163" i="20"/>
  <c r="H143" i="20"/>
  <c r="F143" i="20"/>
  <c r="H138" i="20"/>
  <c r="F138" i="20"/>
  <c r="H130" i="20"/>
  <c r="F130" i="20"/>
  <c r="F125" i="20"/>
  <c r="H125" i="20"/>
  <c r="H120" i="20"/>
  <c r="F120" i="20"/>
  <c r="F102" i="20"/>
  <c r="H102" i="20"/>
  <c r="H94" i="20"/>
  <c r="F94" i="20"/>
  <c r="F83" i="20"/>
  <c r="H83" i="20"/>
  <c r="H61" i="20"/>
  <c r="F61" i="20"/>
  <c r="F50" i="20"/>
  <c r="H50" i="20"/>
  <c r="H41" i="20"/>
  <c r="F41" i="20"/>
  <c r="F25" i="20"/>
  <c r="H25" i="20"/>
  <c r="H15" i="20"/>
  <c r="F15" i="20"/>
  <c r="F11" i="20"/>
  <c r="H11" i="20"/>
  <c r="F194" i="20"/>
  <c r="H194" i="20"/>
  <c r="H165" i="20"/>
  <c r="F165" i="20"/>
  <c r="F162" i="20"/>
  <c r="H162" i="20"/>
  <c r="F142" i="20"/>
  <c r="H142" i="20"/>
  <c r="F129" i="20"/>
  <c r="H129" i="20"/>
  <c r="H124" i="20"/>
  <c r="F124" i="20"/>
  <c r="D115" i="20"/>
  <c r="H116" i="20"/>
  <c r="F116" i="20"/>
  <c r="H101" i="20"/>
  <c r="F101" i="20"/>
  <c r="F87" i="20"/>
  <c r="H87" i="20"/>
  <c r="F74" i="20"/>
  <c r="H74" i="20"/>
  <c r="F58" i="20"/>
  <c r="H58" i="20"/>
  <c r="H49" i="20"/>
  <c r="F49" i="20"/>
  <c r="H40" i="20"/>
  <c r="F40" i="20"/>
  <c r="H21" i="20"/>
  <c r="F21" i="20"/>
  <c r="F14" i="20"/>
  <c r="H14" i="20"/>
  <c r="F7" i="20"/>
  <c r="H7" i="20"/>
  <c r="H189" i="20"/>
  <c r="F189" i="20"/>
  <c r="F188" i="20"/>
  <c r="H188" i="20"/>
  <c r="H151" i="20"/>
  <c r="F151" i="20"/>
  <c r="H135" i="20"/>
  <c r="F135" i="20"/>
  <c r="H185" i="20"/>
  <c r="F185" i="20"/>
  <c r="H167" i="20"/>
  <c r="F167" i="20"/>
  <c r="H145" i="20"/>
  <c r="F145" i="20"/>
  <c r="F141" i="20"/>
  <c r="H141" i="20"/>
  <c r="H133" i="20"/>
  <c r="F133" i="20"/>
  <c r="F128" i="20"/>
  <c r="H128" i="20"/>
  <c r="F123" i="20"/>
  <c r="H123" i="20"/>
  <c r="F114" i="20"/>
  <c r="H114" i="20"/>
  <c r="F96" i="20"/>
  <c r="H96" i="20"/>
  <c r="H86" i="20"/>
  <c r="F86" i="20"/>
  <c r="F72" i="20"/>
  <c r="H72" i="20"/>
  <c r="H54" i="20"/>
  <c r="F54" i="20"/>
  <c r="F46" i="20"/>
  <c r="H46" i="20"/>
  <c r="F39" i="20"/>
  <c r="H39" i="20"/>
  <c r="F20" i="20"/>
  <c r="H20" i="20"/>
  <c r="H13" i="20"/>
  <c r="F13" i="20"/>
  <c r="H6" i="20"/>
  <c r="F6" i="20"/>
  <c r="D100" i="20"/>
  <c r="D187" i="20"/>
  <c r="D140" i="20"/>
  <c r="D137" i="20"/>
  <c r="A59" i="20"/>
  <c r="A61" i="20" s="1"/>
  <c r="A62" i="20" s="1"/>
  <c r="D43" i="20"/>
  <c r="D19" i="20"/>
  <c r="D164" i="20"/>
  <c r="D168" i="20"/>
  <c r="E147" i="15"/>
  <c r="E145" i="15"/>
  <c r="E39" i="15"/>
  <c r="E167" i="15"/>
  <c r="D184" i="20"/>
  <c r="E168" i="15"/>
  <c r="D198" i="20"/>
  <c r="D183" i="20"/>
  <c r="D126" i="20"/>
  <c r="D92" i="20"/>
  <c r="D180" i="20"/>
  <c r="D177" i="20"/>
  <c r="D174" i="20"/>
  <c r="D175" i="20"/>
  <c r="D170" i="20"/>
  <c r="D159" i="20"/>
  <c r="D112" i="20"/>
  <c r="D169" i="20"/>
  <c r="D155" i="20"/>
  <c r="D161" i="20"/>
  <c r="D160" i="20"/>
  <c r="D158" i="20"/>
  <c r="D154" i="20"/>
  <c r="D157" i="20"/>
  <c r="D156" i="20"/>
  <c r="D153" i="20"/>
  <c r="D152" i="20"/>
  <c r="D150" i="20"/>
  <c r="D134" i="20"/>
  <c r="D121" i="20"/>
  <c r="D149" i="20"/>
  <c r="D148" i="20"/>
  <c r="D132" i="20"/>
  <c r="D119" i="20"/>
  <c r="D113" i="20"/>
  <c r="D111" i="20"/>
  <c r="D109" i="20"/>
  <c r="D90" i="20"/>
  <c r="D73" i="20"/>
  <c r="D66" i="20"/>
  <c r="D108" i="20"/>
  <c r="D97" i="20"/>
  <c r="D80" i="20"/>
  <c r="D88" i="20"/>
  <c r="D85" i="20"/>
  <c r="D82" i="20"/>
  <c r="D98" i="20"/>
  <c r="D89" i="20"/>
  <c r="D81" i="20"/>
  <c r="D93" i="20"/>
  <c r="D79" i="20"/>
  <c r="D68" i="20"/>
  <c r="D16" i="20"/>
  <c r="D65" i="20"/>
  <c r="D53" i="20"/>
  <c r="E60" i="15"/>
  <c r="D52" i="20"/>
  <c r="D62" i="20"/>
  <c r="C59" i="23"/>
  <c r="C57" i="23"/>
  <c r="C56" i="23"/>
  <c r="C58" i="23"/>
  <c r="C55" i="23"/>
  <c r="C15" i="23"/>
  <c r="C36" i="23"/>
  <c r="C32" i="23"/>
  <c r="A65" i="20" l="1"/>
  <c r="A66" i="20" s="1"/>
  <c r="A67" i="20" s="1"/>
  <c r="A68" i="20" s="1"/>
  <c r="C8" i="25" s="1"/>
  <c r="C7" i="25"/>
  <c r="H52" i="20"/>
  <c r="F52" i="20"/>
  <c r="D10" i="20"/>
  <c r="F16" i="20"/>
  <c r="H16" i="20"/>
  <c r="H81" i="20"/>
  <c r="F81" i="20"/>
  <c r="F85" i="20"/>
  <c r="H85" i="20"/>
  <c r="F108" i="20"/>
  <c r="H108" i="20"/>
  <c r="H109" i="20"/>
  <c r="F109" i="20"/>
  <c r="H132" i="20"/>
  <c r="F132" i="20"/>
  <c r="F134" i="20"/>
  <c r="H134" i="20"/>
  <c r="F156" i="20"/>
  <c r="H156" i="20"/>
  <c r="H160" i="20"/>
  <c r="F160" i="20"/>
  <c r="H112" i="20"/>
  <c r="F112" i="20"/>
  <c r="H174" i="20"/>
  <c r="F174" i="20"/>
  <c r="F126" i="20"/>
  <c r="H126" i="20"/>
  <c r="H184" i="20"/>
  <c r="F184" i="20"/>
  <c r="H43" i="20"/>
  <c r="F43" i="20"/>
  <c r="D186" i="20"/>
  <c r="H187" i="20"/>
  <c r="F187" i="20"/>
  <c r="H115" i="20"/>
  <c r="F115" i="20"/>
  <c r="H68" i="20"/>
  <c r="F68" i="20"/>
  <c r="F89" i="20"/>
  <c r="H89" i="20"/>
  <c r="F88" i="20"/>
  <c r="H88" i="20"/>
  <c r="H66" i="20"/>
  <c r="F66" i="20"/>
  <c r="H111" i="20"/>
  <c r="F111" i="20"/>
  <c r="H148" i="20"/>
  <c r="F148" i="20"/>
  <c r="F150" i="20"/>
  <c r="H150" i="20"/>
  <c r="H157" i="20"/>
  <c r="F157" i="20"/>
  <c r="F161" i="20"/>
  <c r="H161" i="20"/>
  <c r="F159" i="20"/>
  <c r="H159" i="20"/>
  <c r="D176" i="20"/>
  <c r="H177" i="20"/>
  <c r="F177" i="20"/>
  <c r="F183" i="20"/>
  <c r="H183" i="20"/>
  <c r="F168" i="20"/>
  <c r="H168" i="20"/>
  <c r="D99" i="20"/>
  <c r="F100" i="20"/>
  <c r="H100" i="20"/>
  <c r="F31" i="20"/>
  <c r="H31" i="20"/>
  <c r="H53" i="20"/>
  <c r="F53" i="20"/>
  <c r="F79" i="20"/>
  <c r="H79" i="20"/>
  <c r="H98" i="20"/>
  <c r="F98" i="20"/>
  <c r="F80" i="20"/>
  <c r="H80" i="20"/>
  <c r="D70" i="20"/>
  <c r="D69" i="20" s="1"/>
  <c r="F73" i="20"/>
  <c r="H73" i="20"/>
  <c r="H113" i="20"/>
  <c r="F113" i="20"/>
  <c r="H149" i="20"/>
  <c r="F149" i="20"/>
  <c r="H152" i="20"/>
  <c r="F152" i="20"/>
  <c r="F154" i="20"/>
  <c r="H154" i="20"/>
  <c r="F155" i="20"/>
  <c r="H155" i="20"/>
  <c r="F170" i="20"/>
  <c r="H170" i="20"/>
  <c r="D179" i="20"/>
  <c r="H180" i="20"/>
  <c r="F180" i="20"/>
  <c r="D197" i="20"/>
  <c r="F198" i="20"/>
  <c r="H198" i="20"/>
  <c r="H164" i="20"/>
  <c r="F164" i="20"/>
  <c r="F137" i="20"/>
  <c r="H137" i="20"/>
  <c r="D60" i="20"/>
  <c r="F62" i="20"/>
  <c r="H62" i="20"/>
  <c r="F65" i="20"/>
  <c r="H65" i="20"/>
  <c r="F93" i="20"/>
  <c r="H93" i="20"/>
  <c r="H82" i="20"/>
  <c r="F82" i="20"/>
  <c r="H97" i="20"/>
  <c r="F97" i="20"/>
  <c r="H90" i="20"/>
  <c r="F90" i="20"/>
  <c r="H119" i="20"/>
  <c r="F119" i="20"/>
  <c r="F121" i="20"/>
  <c r="H121" i="20"/>
  <c r="H153" i="20"/>
  <c r="F153" i="20"/>
  <c r="H158" i="20"/>
  <c r="F158" i="20"/>
  <c r="F169" i="20"/>
  <c r="H169" i="20"/>
  <c r="F175" i="20"/>
  <c r="H175" i="20"/>
  <c r="H92" i="20"/>
  <c r="F92" i="20"/>
  <c r="D18" i="20"/>
  <c r="F19" i="20"/>
  <c r="H19" i="20"/>
  <c r="F140" i="20"/>
  <c r="H140" i="20"/>
  <c r="E74" i="23"/>
  <c r="G74" i="23"/>
  <c r="G36" i="23"/>
  <c r="E36" i="23"/>
  <c r="G55" i="23"/>
  <c r="E55" i="23"/>
  <c r="G59" i="23"/>
  <c r="E59" i="23"/>
  <c r="G39" i="15"/>
  <c r="I39" i="15"/>
  <c r="G58" i="23"/>
  <c r="E58" i="23"/>
  <c r="G168" i="15"/>
  <c r="I168" i="15"/>
  <c r="G145" i="15"/>
  <c r="I145" i="15"/>
  <c r="E56" i="23"/>
  <c r="G56" i="23"/>
  <c r="G147" i="15"/>
  <c r="I147" i="15"/>
  <c r="G73" i="23"/>
  <c r="E73" i="23"/>
  <c r="G32" i="23"/>
  <c r="E32" i="23"/>
  <c r="E15" i="23"/>
  <c r="G15" i="23"/>
  <c r="G57" i="23"/>
  <c r="E57" i="23"/>
  <c r="G60" i="15"/>
  <c r="I60" i="15"/>
  <c r="G167" i="15"/>
  <c r="I167" i="15"/>
  <c r="D182" i="20"/>
  <c r="D147" i="20"/>
  <c r="D91" i="20"/>
  <c r="D78" i="20"/>
  <c r="A71" i="20"/>
  <c r="A72" i="20" s="1"/>
  <c r="A73" i="20" s="1"/>
  <c r="A74" i="20" s="1"/>
  <c r="D64" i="20"/>
  <c r="E146" i="15"/>
  <c r="D196" i="20"/>
  <c r="C72" i="23"/>
  <c r="C66" i="23"/>
  <c r="C34" i="23"/>
  <c r="C29" i="23"/>
  <c r="C34" i="15"/>
  <c r="AE306" i="14"/>
  <c r="W305" i="14"/>
  <c r="W304" i="14"/>
  <c r="W303" i="14"/>
  <c r="W302" i="14"/>
  <c r="E184" i="15"/>
  <c r="W301" i="14"/>
  <c r="W299" i="14"/>
  <c r="W298" i="14"/>
  <c r="W297" i="14"/>
  <c r="W296" i="14"/>
  <c r="W295" i="14"/>
  <c r="W294" i="14"/>
  <c r="W293" i="14"/>
  <c r="E178" i="15"/>
  <c r="W292" i="14"/>
  <c r="E175" i="15"/>
  <c r="W291" i="14"/>
  <c r="E173" i="15"/>
  <c r="W290" i="14"/>
  <c r="W289" i="14"/>
  <c r="W288" i="14"/>
  <c r="W287" i="14"/>
  <c r="W286" i="14"/>
  <c r="W285" i="14"/>
  <c r="W284" i="14"/>
  <c r="W283" i="14"/>
  <c r="W282" i="14"/>
  <c r="W281" i="14"/>
  <c r="W280" i="14"/>
  <c r="W279" i="14"/>
  <c r="W278" i="14"/>
  <c r="E157" i="15"/>
  <c r="W277" i="14"/>
  <c r="W276" i="14"/>
  <c r="W275" i="14"/>
  <c r="W274" i="14"/>
  <c r="W273" i="14"/>
  <c r="W272" i="14"/>
  <c r="W271" i="14"/>
  <c r="W270" i="14"/>
  <c r="W269" i="14"/>
  <c r="W268" i="14"/>
  <c r="W267" i="14"/>
  <c r="W266" i="14"/>
  <c r="W265" i="14"/>
  <c r="W264" i="14"/>
  <c r="W263" i="14"/>
  <c r="W262" i="14"/>
  <c r="W261" i="14"/>
  <c r="W201" i="14"/>
  <c r="W200" i="14"/>
  <c r="W199" i="14"/>
  <c r="W198" i="14"/>
  <c r="W197" i="14"/>
  <c r="E137" i="15"/>
  <c r="W196" i="14"/>
  <c r="E135" i="15"/>
  <c r="W195" i="14"/>
  <c r="W194" i="14"/>
  <c r="W193" i="14"/>
  <c r="W192" i="14"/>
  <c r="W191" i="14"/>
  <c r="W190" i="14"/>
  <c r="W189" i="14"/>
  <c r="W188" i="14"/>
  <c r="W187" i="14"/>
  <c r="W186" i="14"/>
  <c r="W185" i="14"/>
  <c r="W184" i="14"/>
  <c r="W183" i="14"/>
  <c r="W182" i="14"/>
  <c r="W181" i="14"/>
  <c r="W180" i="14"/>
  <c r="W179" i="14"/>
  <c r="W178" i="14"/>
  <c r="W177" i="14"/>
  <c r="W176" i="14"/>
  <c r="W175" i="14"/>
  <c r="W174" i="14"/>
  <c r="E128" i="15"/>
  <c r="W173" i="14"/>
  <c r="W172" i="14"/>
  <c r="W171" i="14"/>
  <c r="E121" i="15"/>
  <c r="W170" i="14"/>
  <c r="E118" i="15"/>
  <c r="W169" i="14"/>
  <c r="W168" i="14"/>
  <c r="W167" i="14"/>
  <c r="W166" i="14"/>
  <c r="W165" i="14"/>
  <c r="W164" i="14"/>
  <c r="W163" i="14"/>
  <c r="W162" i="14"/>
  <c r="W161" i="14"/>
  <c r="W160" i="14"/>
  <c r="W159" i="14"/>
  <c r="W158" i="14"/>
  <c r="W157" i="14"/>
  <c r="W156" i="14"/>
  <c r="W155" i="14"/>
  <c r="W154" i="14"/>
  <c r="W153" i="14"/>
  <c r="W152" i="14"/>
  <c r="W151" i="14"/>
  <c r="W150" i="14"/>
  <c r="W149" i="14"/>
  <c r="W148" i="14"/>
  <c r="W147" i="14"/>
  <c r="W146" i="14"/>
  <c r="W145" i="14"/>
  <c r="W144" i="14"/>
  <c r="W143" i="14"/>
  <c r="W142" i="14"/>
  <c r="W141" i="14"/>
  <c r="W140" i="14"/>
  <c r="W139" i="14"/>
  <c r="W138" i="14"/>
  <c r="W137" i="14"/>
  <c r="W136" i="14"/>
  <c r="E111" i="15"/>
  <c r="W133" i="14"/>
  <c r="W132" i="14"/>
  <c r="W131" i="14"/>
  <c r="W130" i="14"/>
  <c r="W129" i="14"/>
  <c r="W128" i="14"/>
  <c r="W127" i="14"/>
  <c r="W126" i="14"/>
  <c r="W125" i="14"/>
  <c r="E104" i="15"/>
  <c r="W124" i="14"/>
  <c r="W123" i="14"/>
  <c r="W122" i="14"/>
  <c r="W121" i="14"/>
  <c r="W120" i="14"/>
  <c r="W119" i="14"/>
  <c r="W118" i="14"/>
  <c r="W117" i="14"/>
  <c r="W116" i="14"/>
  <c r="W115" i="14"/>
  <c r="W114" i="14"/>
  <c r="W113" i="14"/>
  <c r="W112" i="14"/>
  <c r="W111" i="14"/>
  <c r="W110" i="14"/>
  <c r="E95" i="15"/>
  <c r="W109" i="14"/>
  <c r="E94" i="15"/>
  <c r="W108" i="14"/>
  <c r="W107" i="14"/>
  <c r="W106" i="14"/>
  <c r="E92" i="15"/>
  <c r="W105" i="14"/>
  <c r="W104" i="14"/>
  <c r="W103" i="14"/>
  <c r="W102" i="14"/>
  <c r="W101" i="14"/>
  <c r="W100" i="14"/>
  <c r="W99" i="14"/>
  <c r="W98" i="14"/>
  <c r="W97" i="14"/>
  <c r="W96" i="14"/>
  <c r="W95" i="14"/>
  <c r="W94" i="14"/>
  <c r="W92" i="14"/>
  <c r="W91" i="14"/>
  <c r="W90" i="14"/>
  <c r="W89" i="14"/>
  <c r="W88" i="14"/>
  <c r="W87" i="14"/>
  <c r="W86" i="14"/>
  <c r="W85" i="14"/>
  <c r="W84" i="14"/>
  <c r="W83" i="14"/>
  <c r="W82" i="14"/>
  <c r="W81" i="14"/>
  <c r="W80" i="14"/>
  <c r="W79" i="14"/>
  <c r="W78" i="14"/>
  <c r="W77" i="14"/>
  <c r="W76" i="14"/>
  <c r="W75" i="14"/>
  <c r="W74" i="14"/>
  <c r="W73" i="14"/>
  <c r="W72" i="14"/>
  <c r="W71" i="14"/>
  <c r="W70" i="14"/>
  <c r="W69" i="14"/>
  <c r="W68" i="14"/>
  <c r="W67" i="14"/>
  <c r="W66" i="14"/>
  <c r="W65" i="14"/>
  <c r="E68" i="15"/>
  <c r="W64" i="14"/>
  <c r="W63" i="14"/>
  <c r="D55" i="20"/>
  <c r="W62" i="14"/>
  <c r="E63" i="15"/>
  <c r="W61" i="14"/>
  <c r="W60" i="14"/>
  <c r="W59" i="14"/>
  <c r="W58" i="14"/>
  <c r="W57" i="14"/>
  <c r="W56" i="14"/>
  <c r="E59" i="15"/>
  <c r="W55" i="14"/>
  <c r="E58" i="15"/>
  <c r="W54" i="14"/>
  <c r="E57" i="15"/>
  <c r="W53" i="14"/>
  <c r="E56" i="15"/>
  <c r="W52" i="14"/>
  <c r="E50" i="15"/>
  <c r="W50" i="14"/>
  <c r="W48" i="14"/>
  <c r="W47" i="14"/>
  <c r="W46" i="14"/>
  <c r="W45" i="14"/>
  <c r="AQ44" i="14"/>
  <c r="W44" i="14"/>
  <c r="W43" i="14"/>
  <c r="W42" i="14"/>
  <c r="E46" i="15"/>
  <c r="W41" i="14"/>
  <c r="W40" i="14"/>
  <c r="W39" i="14"/>
  <c r="D35" i="20"/>
  <c r="W35" i="14"/>
  <c r="W34" i="14"/>
  <c r="W33" i="14"/>
  <c r="W32" i="14"/>
  <c r="D29" i="20"/>
  <c r="W31" i="14"/>
  <c r="AT28" i="14"/>
  <c r="BF28" i="14" s="1"/>
  <c r="W28" i="14"/>
  <c r="E30" i="15"/>
  <c r="W27" i="14"/>
  <c r="AT26" i="14"/>
  <c r="W26" i="14"/>
  <c r="W25" i="14"/>
  <c r="W24" i="14"/>
  <c r="W23" i="14"/>
  <c r="W22" i="14"/>
  <c r="W21" i="14"/>
  <c r="W20" i="14"/>
  <c r="W19" i="14"/>
  <c r="W18" i="14"/>
  <c r="W17" i="14"/>
  <c r="W16" i="14"/>
  <c r="W15" i="14"/>
  <c r="W14" i="14"/>
  <c r="W13" i="14"/>
  <c r="W12" i="14"/>
  <c r="E9" i="15"/>
  <c r="W10" i="14"/>
  <c r="W9" i="14"/>
  <c r="D5" i="20"/>
  <c r="W8" i="14"/>
  <c r="H29" i="20" l="1"/>
  <c r="F29" i="20"/>
  <c r="D4" i="20"/>
  <c r="D3" i="20" s="1"/>
  <c r="H5" i="20"/>
  <c r="F5" i="20"/>
  <c r="D63" i="20"/>
  <c r="F64" i="20"/>
  <c r="H64" i="20"/>
  <c r="F91" i="20"/>
  <c r="H91" i="20"/>
  <c r="H179" i="20"/>
  <c r="F179" i="20"/>
  <c r="B11" i="24"/>
  <c r="F99" i="20"/>
  <c r="H99" i="20"/>
  <c r="B18" i="24"/>
  <c r="F186" i="20"/>
  <c r="H186" i="20"/>
  <c r="F147" i="20"/>
  <c r="H147" i="20"/>
  <c r="F197" i="20"/>
  <c r="H197" i="20"/>
  <c r="D9" i="20"/>
  <c r="H10" i="20"/>
  <c r="F10" i="20"/>
  <c r="B19" i="24"/>
  <c r="F196" i="20"/>
  <c r="H196" i="20"/>
  <c r="B9" i="24"/>
  <c r="H69" i="20"/>
  <c r="F69" i="20"/>
  <c r="D181" i="20"/>
  <c r="H182" i="20"/>
  <c r="F182" i="20"/>
  <c r="H60" i="20"/>
  <c r="F60" i="20"/>
  <c r="D48" i="20"/>
  <c r="F55" i="20"/>
  <c r="H55" i="20"/>
  <c r="F35" i="20"/>
  <c r="H35" i="20"/>
  <c r="H78" i="20"/>
  <c r="F78" i="20"/>
  <c r="B5" i="24"/>
  <c r="F18" i="20"/>
  <c r="H18" i="20"/>
  <c r="F70" i="20"/>
  <c r="H70" i="20"/>
  <c r="H176" i="20"/>
  <c r="F176" i="20"/>
  <c r="G9" i="15"/>
  <c r="I9" i="15"/>
  <c r="G46" i="15"/>
  <c r="I46" i="15"/>
  <c r="G56" i="15"/>
  <c r="I56" i="15"/>
  <c r="G58" i="15"/>
  <c r="I58" i="15"/>
  <c r="E120" i="15"/>
  <c r="G121" i="15"/>
  <c r="I121" i="15"/>
  <c r="E127" i="15"/>
  <c r="G128" i="15"/>
  <c r="I128" i="15"/>
  <c r="G157" i="15"/>
  <c r="I157" i="15"/>
  <c r="E174" i="15"/>
  <c r="G175" i="15"/>
  <c r="I175" i="15"/>
  <c r="E183" i="15"/>
  <c r="I184" i="15"/>
  <c r="G184" i="15"/>
  <c r="G34" i="23"/>
  <c r="E34" i="23"/>
  <c r="I146" i="15"/>
  <c r="G146" i="15"/>
  <c r="I63" i="15"/>
  <c r="G63" i="15"/>
  <c r="G95" i="15"/>
  <c r="I95" i="15"/>
  <c r="G104" i="15"/>
  <c r="I104" i="15"/>
  <c r="E136" i="15"/>
  <c r="G137" i="15"/>
  <c r="I137" i="15"/>
  <c r="G66" i="23"/>
  <c r="E66" i="23"/>
  <c r="E29" i="15"/>
  <c r="I30" i="15"/>
  <c r="G30" i="15"/>
  <c r="G50" i="15"/>
  <c r="I50" i="15"/>
  <c r="G57" i="15"/>
  <c r="I57" i="15"/>
  <c r="G59" i="15"/>
  <c r="I59" i="15"/>
  <c r="E67" i="15"/>
  <c r="G68" i="15"/>
  <c r="I68" i="15"/>
  <c r="G118" i="15"/>
  <c r="I118" i="15"/>
  <c r="E172" i="15"/>
  <c r="G173" i="15"/>
  <c r="I173" i="15"/>
  <c r="E177" i="15"/>
  <c r="G178" i="15"/>
  <c r="I178" i="15"/>
  <c r="G72" i="23"/>
  <c r="E72" i="23"/>
  <c r="I92" i="15"/>
  <c r="G92" i="15"/>
  <c r="I94" i="15"/>
  <c r="G94" i="15"/>
  <c r="I111" i="15"/>
  <c r="G111" i="15"/>
  <c r="E134" i="15"/>
  <c r="I135" i="15"/>
  <c r="G135" i="15"/>
  <c r="E29" i="23"/>
  <c r="G29" i="23"/>
  <c r="BF26" i="14"/>
  <c r="C20" i="23"/>
  <c r="BF44" i="14"/>
  <c r="C19" i="23"/>
  <c r="D77" i="20"/>
  <c r="A75" i="20"/>
  <c r="A76" i="20" s="1"/>
  <c r="D136" i="20"/>
  <c r="D107" i="20"/>
  <c r="D173" i="20"/>
  <c r="D59" i="20"/>
  <c r="D110" i="20"/>
  <c r="D26" i="20"/>
  <c r="D146" i="20"/>
  <c r="E21" i="15"/>
  <c r="E153" i="15"/>
  <c r="C62" i="23"/>
  <c r="E38" i="15"/>
  <c r="AT306" i="14"/>
  <c r="AB306" i="14"/>
  <c r="E36" i="15"/>
  <c r="AW306" i="14"/>
  <c r="E41" i="15"/>
  <c r="AQ306" i="14"/>
  <c r="E65" i="15"/>
  <c r="E70" i="15"/>
  <c r="C48" i="23"/>
  <c r="BC306" i="14"/>
  <c r="C51" i="23"/>
  <c r="E189" i="15"/>
  <c r="C77" i="23"/>
  <c r="E156" i="15"/>
  <c r="E85" i="15"/>
  <c r="E160" i="15"/>
  <c r="E152" i="15"/>
  <c r="E140" i="15"/>
  <c r="E126" i="15"/>
  <c r="C41" i="23"/>
  <c r="E110" i="15"/>
  <c r="E102" i="15"/>
  <c r="E96" i="15"/>
  <c r="E99" i="15"/>
  <c r="E97" i="15"/>
  <c r="E93" i="15"/>
  <c r="E44" i="15"/>
  <c r="C38" i="23"/>
  <c r="E79" i="15"/>
  <c r="E84" i="15"/>
  <c r="C10" i="23"/>
  <c r="E16" i="15"/>
  <c r="E78" i="15"/>
  <c r="E73" i="15"/>
  <c r="E55" i="15"/>
  <c r="E62" i="15"/>
  <c r="C13" i="23"/>
  <c r="E49" i="15"/>
  <c r="E8" i="15"/>
  <c r="E15" i="15"/>
  <c r="A79" i="20" l="1"/>
  <c r="A80" i="20" s="1"/>
  <c r="A81" i="20" s="1"/>
  <c r="A82" i="20" s="1"/>
  <c r="A83" i="20" s="1"/>
  <c r="A84" i="20" s="1"/>
  <c r="A85" i="20" s="1"/>
  <c r="A86" i="20" s="1"/>
  <c r="A87" i="20" s="1"/>
  <c r="A88" i="20" s="1"/>
  <c r="A89" i="20" s="1"/>
  <c r="A90" i="20" s="1"/>
  <c r="A92" i="20" s="1"/>
  <c r="A93" i="20" s="1"/>
  <c r="A94" i="20" s="1"/>
  <c r="A95" i="20" s="1"/>
  <c r="A96" i="20" s="1"/>
  <c r="A97" i="20" s="1"/>
  <c r="A98" i="20" s="1"/>
  <c r="C9" i="25"/>
  <c r="D24" i="20"/>
  <c r="F24" i="20" s="1"/>
  <c r="BF306" i="14"/>
  <c r="E133" i="15"/>
  <c r="G133" i="15" s="1"/>
  <c r="B17" i="24"/>
  <c r="H181" i="20"/>
  <c r="F181" i="20"/>
  <c r="K18" i="24"/>
  <c r="L18" i="24"/>
  <c r="M18" i="24" s="1"/>
  <c r="C18" i="24"/>
  <c r="E18" i="24"/>
  <c r="I18" i="24"/>
  <c r="G18" i="24"/>
  <c r="H26" i="20"/>
  <c r="F26" i="20"/>
  <c r="B10" i="24"/>
  <c r="F77" i="20"/>
  <c r="H77" i="20"/>
  <c r="E171" i="15"/>
  <c r="G171" i="15" s="1"/>
  <c r="B4" i="24"/>
  <c r="F9" i="20"/>
  <c r="H9" i="20"/>
  <c r="F4" i="20"/>
  <c r="H4" i="20"/>
  <c r="H110" i="20"/>
  <c r="F110" i="20"/>
  <c r="F107" i="20"/>
  <c r="H107" i="20"/>
  <c r="B3" i="24"/>
  <c r="F3" i="20"/>
  <c r="H3" i="20"/>
  <c r="L19" i="24"/>
  <c r="M19" i="24" s="1"/>
  <c r="E19" i="24"/>
  <c r="C19" i="24"/>
  <c r="K19" i="24"/>
  <c r="I19" i="24"/>
  <c r="G19" i="24"/>
  <c r="B8" i="24"/>
  <c r="H63" i="20"/>
  <c r="F63" i="20"/>
  <c r="B14" i="24"/>
  <c r="H146" i="20"/>
  <c r="F146" i="20"/>
  <c r="H173" i="20"/>
  <c r="F173" i="20"/>
  <c r="H59" i="20"/>
  <c r="F59" i="20"/>
  <c r="F136" i="20"/>
  <c r="H136" i="20"/>
  <c r="L5" i="24"/>
  <c r="M5" i="24" s="1"/>
  <c r="C5" i="24"/>
  <c r="E5" i="24"/>
  <c r="G5" i="24"/>
  <c r="I5" i="24"/>
  <c r="K5" i="24"/>
  <c r="H48" i="20"/>
  <c r="F48" i="20"/>
  <c r="L9" i="24"/>
  <c r="M9" i="24" s="1"/>
  <c r="C9" i="24"/>
  <c r="E9" i="24"/>
  <c r="I9" i="24"/>
  <c r="G9" i="24"/>
  <c r="K9" i="24"/>
  <c r="E11" i="24"/>
  <c r="L11" i="24"/>
  <c r="M11" i="24" s="1"/>
  <c r="C11" i="24"/>
  <c r="G11" i="24"/>
  <c r="I11" i="24"/>
  <c r="K11" i="24"/>
  <c r="E61" i="15"/>
  <c r="G62" i="15"/>
  <c r="I62" i="15"/>
  <c r="E38" i="23"/>
  <c r="G38" i="23"/>
  <c r="I152" i="15"/>
  <c r="G152" i="15"/>
  <c r="C76" i="23"/>
  <c r="G77" i="23"/>
  <c r="E77" i="23"/>
  <c r="G48" i="23"/>
  <c r="E48" i="23"/>
  <c r="G41" i="15"/>
  <c r="I41" i="15"/>
  <c r="E20" i="15"/>
  <c r="G21" i="15"/>
  <c r="I21" i="15"/>
  <c r="G20" i="23"/>
  <c r="E20" i="23"/>
  <c r="G172" i="15"/>
  <c r="I172" i="15"/>
  <c r="E182" i="15"/>
  <c r="G183" i="15"/>
  <c r="I183" i="15"/>
  <c r="I127" i="15"/>
  <c r="G127" i="15"/>
  <c r="G15" i="15"/>
  <c r="I15" i="15"/>
  <c r="E98" i="15"/>
  <c r="G99" i="15"/>
  <c r="I99" i="15"/>
  <c r="G55" i="15"/>
  <c r="I55" i="15"/>
  <c r="E37" i="15"/>
  <c r="I38" i="15"/>
  <c r="G38" i="15"/>
  <c r="G177" i="15"/>
  <c r="I177" i="15"/>
  <c r="G67" i="15"/>
  <c r="I67" i="15"/>
  <c r="E13" i="23"/>
  <c r="G13" i="23"/>
  <c r="G78" i="15"/>
  <c r="I78" i="15"/>
  <c r="G79" i="15"/>
  <c r="I79" i="15"/>
  <c r="G97" i="15"/>
  <c r="I97" i="15"/>
  <c r="E109" i="15"/>
  <c r="I110" i="15"/>
  <c r="G110" i="15"/>
  <c r="E139" i="15"/>
  <c r="G140" i="15"/>
  <c r="I140" i="15"/>
  <c r="E155" i="15"/>
  <c r="I156" i="15"/>
  <c r="G156" i="15"/>
  <c r="G180" i="15"/>
  <c r="I180" i="15"/>
  <c r="I16" i="15"/>
  <c r="G16" i="15"/>
  <c r="G41" i="23"/>
  <c r="E41" i="23"/>
  <c r="E7" i="15"/>
  <c r="E6" i="15" s="1"/>
  <c r="I8" i="15"/>
  <c r="G8" i="15"/>
  <c r="G10" i="23"/>
  <c r="E10" i="23"/>
  <c r="E43" i="15"/>
  <c r="G44" i="15"/>
  <c r="I44" i="15"/>
  <c r="I96" i="15"/>
  <c r="G96" i="15"/>
  <c r="E125" i="15"/>
  <c r="G126" i="15"/>
  <c r="I126" i="15"/>
  <c r="E159" i="15"/>
  <c r="G160" i="15"/>
  <c r="I160" i="15"/>
  <c r="E188" i="15"/>
  <c r="G189" i="15"/>
  <c r="I189" i="15"/>
  <c r="C50" i="23"/>
  <c r="G51" i="23"/>
  <c r="E51" i="23"/>
  <c r="E69" i="15"/>
  <c r="G70" i="15"/>
  <c r="I70" i="15"/>
  <c r="E48" i="15"/>
  <c r="I49" i="15"/>
  <c r="G49" i="15"/>
  <c r="E72" i="15"/>
  <c r="I73" i="15"/>
  <c r="G73" i="15"/>
  <c r="E83" i="15"/>
  <c r="E82" i="15" s="1"/>
  <c r="G84" i="15"/>
  <c r="I84" i="15"/>
  <c r="G93" i="15"/>
  <c r="I93" i="15"/>
  <c r="G102" i="15"/>
  <c r="I102" i="15"/>
  <c r="G85" i="15"/>
  <c r="I85" i="15"/>
  <c r="E64" i="15"/>
  <c r="G65" i="15"/>
  <c r="I65" i="15"/>
  <c r="E35" i="15"/>
  <c r="G36" i="15"/>
  <c r="I36" i="15"/>
  <c r="C61" i="23"/>
  <c r="G62" i="23"/>
  <c r="E62" i="23"/>
  <c r="E19" i="23"/>
  <c r="G19" i="23"/>
  <c r="G134" i="15"/>
  <c r="I134" i="15"/>
  <c r="I29" i="15"/>
  <c r="G29" i="15"/>
  <c r="G153" i="15"/>
  <c r="I153" i="15"/>
  <c r="G136" i="15"/>
  <c r="I136" i="15"/>
  <c r="I174" i="15"/>
  <c r="G174" i="15"/>
  <c r="E119" i="15"/>
  <c r="G120" i="15"/>
  <c r="I120" i="15"/>
  <c r="C17" i="23"/>
  <c r="D42" i="20"/>
  <c r="D172" i="20"/>
  <c r="D106" i="20"/>
  <c r="D118" i="20"/>
  <c r="D57" i="20"/>
  <c r="E33" i="15"/>
  <c r="D27" i="20"/>
  <c r="E32" i="15"/>
  <c r="E77" i="15"/>
  <c r="E26" i="15"/>
  <c r="E47" i="15"/>
  <c r="C44" i="23"/>
  <c r="E116" i="15"/>
  <c r="C25" i="23"/>
  <c r="C54" i="23"/>
  <c r="E166" i="15"/>
  <c r="E151" i="15"/>
  <c r="E144" i="15"/>
  <c r="E129" i="15"/>
  <c r="E101" i="15"/>
  <c r="E90" i="15"/>
  <c r="E14" i="15"/>
  <c r="A101" i="20" l="1"/>
  <c r="A102" i="20" s="1"/>
  <c r="A103" i="20" s="1"/>
  <c r="C10" i="25"/>
  <c r="H24" i="20"/>
  <c r="I133" i="15"/>
  <c r="E54" i="15"/>
  <c r="I54" i="15" s="1"/>
  <c r="I171" i="15"/>
  <c r="D117" i="20"/>
  <c r="H118" i="20"/>
  <c r="F118" i="20"/>
  <c r="D34" i="20"/>
  <c r="F42" i="20"/>
  <c r="H42" i="20"/>
  <c r="E14" i="24"/>
  <c r="L14" i="24"/>
  <c r="M14" i="24" s="1"/>
  <c r="C14" i="24"/>
  <c r="G14" i="24"/>
  <c r="I14" i="24"/>
  <c r="K14" i="24"/>
  <c r="C4" i="24"/>
  <c r="L4" i="24"/>
  <c r="M4" i="24" s="1"/>
  <c r="E4" i="24"/>
  <c r="G4" i="24"/>
  <c r="I4" i="24"/>
  <c r="K4" i="24"/>
  <c r="E10" i="24"/>
  <c r="C10" i="24"/>
  <c r="L10" i="24"/>
  <c r="M10" i="24" s="1"/>
  <c r="I10" i="24"/>
  <c r="G10" i="24"/>
  <c r="K10" i="24"/>
  <c r="D47" i="20"/>
  <c r="H57" i="20"/>
  <c r="F57" i="20"/>
  <c r="L3" i="24"/>
  <c r="E3" i="24"/>
  <c r="C3" i="24"/>
  <c r="I3" i="24"/>
  <c r="G3" i="24"/>
  <c r="K3" i="24"/>
  <c r="D23" i="20"/>
  <c r="F27" i="20"/>
  <c r="H27" i="20"/>
  <c r="D105" i="20"/>
  <c r="H106" i="20"/>
  <c r="F106" i="20"/>
  <c r="D171" i="20"/>
  <c r="F172" i="20"/>
  <c r="H172" i="20"/>
  <c r="E8" i="24"/>
  <c r="C8" i="24"/>
  <c r="L8" i="24"/>
  <c r="M8" i="24" s="1"/>
  <c r="I8" i="24"/>
  <c r="G8" i="24"/>
  <c r="K8" i="24"/>
  <c r="E17" i="24"/>
  <c r="L17" i="24"/>
  <c r="B20" i="24"/>
  <c r="C17" i="24"/>
  <c r="K17" i="24"/>
  <c r="G17" i="24"/>
  <c r="I17" i="24"/>
  <c r="G82" i="15"/>
  <c r="I82" i="15"/>
  <c r="E54" i="23"/>
  <c r="G54" i="23"/>
  <c r="E165" i="15"/>
  <c r="G166" i="15"/>
  <c r="I166" i="15"/>
  <c r="E25" i="15"/>
  <c r="G26" i="15"/>
  <c r="I26" i="15"/>
  <c r="E13" i="15"/>
  <c r="G14" i="15"/>
  <c r="I14" i="15"/>
  <c r="E143" i="15"/>
  <c r="G144" i="15"/>
  <c r="I144" i="15"/>
  <c r="E115" i="15"/>
  <c r="G116" i="15"/>
  <c r="I116" i="15"/>
  <c r="E76" i="15"/>
  <c r="I77" i="15"/>
  <c r="G77" i="15"/>
  <c r="G35" i="15"/>
  <c r="I35" i="15"/>
  <c r="G83" i="15"/>
  <c r="I83" i="15"/>
  <c r="G50" i="23"/>
  <c r="E50" i="23"/>
  <c r="E138" i="15"/>
  <c r="G139" i="15"/>
  <c r="I139" i="15"/>
  <c r="C79" i="23"/>
  <c r="G76" i="23"/>
  <c r="E76" i="23"/>
  <c r="E89" i="15"/>
  <c r="G90" i="15"/>
  <c r="I90" i="15"/>
  <c r="E150" i="15"/>
  <c r="I151" i="15"/>
  <c r="G151" i="15"/>
  <c r="I6" i="15"/>
  <c r="G6" i="15"/>
  <c r="G44" i="23"/>
  <c r="E44" i="23"/>
  <c r="E31" i="15"/>
  <c r="G32" i="15"/>
  <c r="I32" i="15"/>
  <c r="G61" i="23"/>
  <c r="E61" i="23"/>
  <c r="E66" i="15"/>
  <c r="G69" i="15"/>
  <c r="I69" i="15"/>
  <c r="G125" i="15"/>
  <c r="I125" i="15"/>
  <c r="E154" i="15"/>
  <c r="I155" i="15"/>
  <c r="G155" i="15"/>
  <c r="E19" i="15"/>
  <c r="G20" i="15"/>
  <c r="I20" i="15"/>
  <c r="G119" i="15"/>
  <c r="I119" i="15"/>
  <c r="I48" i="15"/>
  <c r="G48" i="15"/>
  <c r="E158" i="15"/>
  <c r="G159" i="15"/>
  <c r="I159" i="15"/>
  <c r="I43" i="15"/>
  <c r="G43" i="15"/>
  <c r="E176" i="15"/>
  <c r="G179" i="15"/>
  <c r="I179" i="15"/>
  <c r="G37" i="15"/>
  <c r="I37" i="15"/>
  <c r="I182" i="15"/>
  <c r="G182" i="15"/>
  <c r="E100" i="15"/>
  <c r="I101" i="15"/>
  <c r="G101" i="15"/>
  <c r="E45" i="15"/>
  <c r="G47" i="15"/>
  <c r="I47" i="15"/>
  <c r="E124" i="15"/>
  <c r="G129" i="15"/>
  <c r="I129" i="15"/>
  <c r="G25" i="23"/>
  <c r="E25" i="23"/>
  <c r="G33" i="15"/>
  <c r="I33" i="15"/>
  <c r="E17" i="23"/>
  <c r="G17" i="23"/>
  <c r="I64" i="15"/>
  <c r="G64" i="15"/>
  <c r="E71" i="15"/>
  <c r="G72" i="15"/>
  <c r="I72" i="15"/>
  <c r="E187" i="15"/>
  <c r="G188" i="15"/>
  <c r="I188" i="15"/>
  <c r="I7" i="15"/>
  <c r="G7" i="15"/>
  <c r="E108" i="15"/>
  <c r="G109" i="15"/>
  <c r="I109" i="15"/>
  <c r="I98" i="15"/>
  <c r="G98" i="15"/>
  <c r="G61" i="15"/>
  <c r="I61" i="15"/>
  <c r="C64" i="23"/>
  <c r="E81" i="15"/>
  <c r="A104" i="20" l="1"/>
  <c r="G54" i="15"/>
  <c r="E88" i="15"/>
  <c r="I88" i="15" s="1"/>
  <c r="E24" i="15"/>
  <c r="C5" i="18" s="1"/>
  <c r="C6" i="18"/>
  <c r="C8" i="18"/>
  <c r="D22" i="20"/>
  <c r="B6" i="24" s="1"/>
  <c r="M3" i="24"/>
  <c r="L20" i="24"/>
  <c r="M17" i="24"/>
  <c r="H23" i="20"/>
  <c r="F23" i="20"/>
  <c r="B12" i="24"/>
  <c r="F105" i="20"/>
  <c r="H105" i="20"/>
  <c r="K20" i="24"/>
  <c r="B34" i="24"/>
  <c r="E20" i="24"/>
  <c r="C20" i="24"/>
  <c r="G20" i="24"/>
  <c r="I20" i="24"/>
  <c r="H34" i="20"/>
  <c r="F34" i="20"/>
  <c r="B15" i="24"/>
  <c r="F171" i="20"/>
  <c r="H171" i="20"/>
  <c r="B7" i="24"/>
  <c r="H47" i="20"/>
  <c r="F47" i="20"/>
  <c r="B13" i="24"/>
  <c r="F117" i="20"/>
  <c r="H117" i="20"/>
  <c r="G81" i="15"/>
  <c r="I81" i="15"/>
  <c r="C81" i="23"/>
  <c r="G64" i="23"/>
  <c r="E64" i="23"/>
  <c r="E186" i="15"/>
  <c r="G187" i="15"/>
  <c r="I187" i="15"/>
  <c r="G100" i="15"/>
  <c r="I100" i="15"/>
  <c r="G158" i="15"/>
  <c r="I158" i="15"/>
  <c r="G31" i="15"/>
  <c r="I31" i="15"/>
  <c r="G138" i="15"/>
  <c r="I138" i="15"/>
  <c r="E114" i="15"/>
  <c r="I115" i="15"/>
  <c r="G115" i="15"/>
  <c r="E164" i="15"/>
  <c r="G165" i="15"/>
  <c r="I165" i="15"/>
  <c r="E40" i="15"/>
  <c r="G45" i="15"/>
  <c r="I45" i="15"/>
  <c r="G79" i="23"/>
  <c r="E79" i="23"/>
  <c r="E75" i="15"/>
  <c r="I76" i="15"/>
  <c r="G76" i="15"/>
  <c r="G25" i="15"/>
  <c r="I25" i="15"/>
  <c r="E123" i="15"/>
  <c r="G124" i="15"/>
  <c r="I124" i="15"/>
  <c r="I154" i="15"/>
  <c r="G154" i="15"/>
  <c r="I89" i="15"/>
  <c r="G89" i="15"/>
  <c r="E12" i="15"/>
  <c r="G13" i="15"/>
  <c r="I13" i="15"/>
  <c r="I108" i="15"/>
  <c r="G108" i="15"/>
  <c r="G71" i="15"/>
  <c r="I71" i="15"/>
  <c r="I176" i="15"/>
  <c r="G176" i="15"/>
  <c r="E170" i="15"/>
  <c r="E18" i="15"/>
  <c r="G19" i="15"/>
  <c r="I19" i="15"/>
  <c r="I66" i="15"/>
  <c r="G66" i="15"/>
  <c r="E149" i="15"/>
  <c r="I150" i="15"/>
  <c r="G150" i="15"/>
  <c r="E142" i="15"/>
  <c r="G143" i="15"/>
  <c r="I143" i="15"/>
  <c r="E53" i="15"/>
  <c r="C11" i="25" l="1"/>
  <c r="A107" i="20"/>
  <c r="A108" i="20" s="1"/>
  <c r="A109" i="20" s="1"/>
  <c r="A110" i="20" s="1"/>
  <c r="A111" i="20" s="1"/>
  <c r="A112" i="20" s="1"/>
  <c r="A113" i="20" s="1"/>
  <c r="A114" i="20" s="1"/>
  <c r="A116" i="20" s="1"/>
  <c r="G88" i="15"/>
  <c r="G24" i="15"/>
  <c r="E23" i="15"/>
  <c r="G23" i="15" s="1"/>
  <c r="I24" i="15"/>
  <c r="H22" i="20"/>
  <c r="F22" i="20"/>
  <c r="E13" i="24"/>
  <c r="C13" i="24"/>
  <c r="L13" i="24"/>
  <c r="M13" i="24" s="1"/>
  <c r="I13" i="24"/>
  <c r="G13" i="24"/>
  <c r="K13" i="24"/>
  <c r="E6" i="24"/>
  <c r="C6" i="24"/>
  <c r="L6" i="24"/>
  <c r="G6" i="24"/>
  <c r="I6" i="24"/>
  <c r="K6" i="24"/>
  <c r="B16" i="24"/>
  <c r="C34" i="24"/>
  <c r="C35" i="24"/>
  <c r="C38" i="24"/>
  <c r="C36" i="24"/>
  <c r="C37" i="24"/>
  <c r="L12" i="24"/>
  <c r="M12" i="24" s="1"/>
  <c r="E12" i="24"/>
  <c r="C12" i="24"/>
  <c r="I12" i="24"/>
  <c r="G12" i="24"/>
  <c r="K12" i="24"/>
  <c r="B39" i="24"/>
  <c r="C39" i="24" s="1"/>
  <c r="M20" i="24"/>
  <c r="G6" i="18"/>
  <c r="C15" i="24"/>
  <c r="E15" i="24"/>
  <c r="L15" i="24"/>
  <c r="M15" i="24" s="1"/>
  <c r="G15" i="24"/>
  <c r="I15" i="24"/>
  <c r="K15" i="24"/>
  <c r="E7" i="24"/>
  <c r="L7" i="24"/>
  <c r="M7" i="24" s="1"/>
  <c r="C7" i="24"/>
  <c r="I7" i="24"/>
  <c r="G7" i="24"/>
  <c r="K7" i="24"/>
  <c r="G8" i="18"/>
  <c r="G53" i="15"/>
  <c r="I53" i="15"/>
  <c r="G170" i="15"/>
  <c r="I170" i="15"/>
  <c r="G123" i="15"/>
  <c r="I123" i="15"/>
  <c r="G40" i="15"/>
  <c r="I40" i="15"/>
  <c r="C7" i="18"/>
  <c r="G12" i="15"/>
  <c r="I12" i="15"/>
  <c r="G114" i="15"/>
  <c r="I114" i="15"/>
  <c r="G186" i="15"/>
  <c r="I186" i="15"/>
  <c r="E191" i="15"/>
  <c r="E81" i="23"/>
  <c r="G81" i="23"/>
  <c r="G149" i="15"/>
  <c r="I149" i="15"/>
  <c r="G164" i="15"/>
  <c r="I164" i="15"/>
  <c r="G142" i="15"/>
  <c r="I142" i="15"/>
  <c r="G18" i="15"/>
  <c r="I18" i="15"/>
  <c r="I75" i="15"/>
  <c r="G75" i="15"/>
  <c r="A119" i="20" l="1"/>
  <c r="A120" i="20" s="1"/>
  <c r="A121" i="20" s="1"/>
  <c r="A122" i="20" s="1"/>
  <c r="A123" i="20" s="1"/>
  <c r="A124" i="20" s="1"/>
  <c r="A125" i="20" s="1"/>
  <c r="A126" i="20" s="1"/>
  <c r="A127" i="20" s="1"/>
  <c r="A128" i="20" s="1"/>
  <c r="A129" i="20" s="1"/>
  <c r="A130" i="20" s="1"/>
  <c r="A131" i="20" s="1"/>
  <c r="A132" i="20" s="1"/>
  <c r="A133" i="20" s="1"/>
  <c r="A134" i="20" s="1"/>
  <c r="A135" i="20" s="1"/>
  <c r="A136" i="20" s="1"/>
  <c r="A138" i="20" s="1"/>
  <c r="A139" i="20" s="1"/>
  <c r="A141" i="20" s="1"/>
  <c r="A142" i="20" s="1"/>
  <c r="A143" i="20" s="1"/>
  <c r="A144" i="20" s="1"/>
  <c r="A145" i="20" s="1"/>
  <c r="C12" i="25"/>
  <c r="E162" i="15"/>
  <c r="G162" i="15" s="1"/>
  <c r="I23" i="15"/>
  <c r="C16" i="24"/>
  <c r="E16" i="24"/>
  <c r="B25" i="24"/>
  <c r="B22" i="24"/>
  <c r="G16" i="24"/>
  <c r="I16" i="24"/>
  <c r="K16" i="24"/>
  <c r="M6" i="24"/>
  <c r="L16" i="24"/>
  <c r="G7" i="18"/>
  <c r="G191" i="15"/>
  <c r="I191" i="15"/>
  <c r="F9" i="18"/>
  <c r="G5" i="18"/>
  <c r="C9" i="18"/>
  <c r="A148" i="20" l="1"/>
  <c r="A149" i="20" s="1"/>
  <c r="A150" i="20" s="1"/>
  <c r="A151" i="20" s="1"/>
  <c r="A152" i="20" s="1"/>
  <c r="A153" i="20" s="1"/>
  <c r="A154" i="20" s="1"/>
  <c r="A155" i="20" s="1"/>
  <c r="A156" i="20" s="1"/>
  <c r="A157" i="20" s="1"/>
  <c r="A158" i="20" s="1"/>
  <c r="A159" i="20" s="1"/>
  <c r="A160" i="20" s="1"/>
  <c r="A161" i="20" s="1"/>
  <c r="A162" i="20" s="1"/>
  <c r="A163" i="20" s="1"/>
  <c r="A164" i="20" s="1"/>
  <c r="A165" i="20" s="1"/>
  <c r="A166" i="20" s="1"/>
  <c r="A167" i="20" s="1"/>
  <c r="A168" i="20" s="1"/>
  <c r="A169" i="20" s="1"/>
  <c r="A170" i="20" s="1"/>
  <c r="C13" i="25"/>
  <c r="E193" i="15"/>
  <c r="G193" i="15" s="1"/>
  <c r="I162" i="15"/>
  <c r="I22" i="24"/>
  <c r="C22" i="24"/>
  <c r="B48" i="24"/>
  <c r="E22" i="24"/>
  <c r="G22" i="24"/>
  <c r="K22" i="24"/>
  <c r="C25" i="24"/>
  <c r="C26" i="24"/>
  <c r="C27" i="24"/>
  <c r="C28" i="24"/>
  <c r="C29" i="24"/>
  <c r="L22" i="24"/>
  <c r="M16" i="24"/>
  <c r="B30" i="24"/>
  <c r="C30" i="24" s="1"/>
  <c r="G9" i="18"/>
  <c r="D199" i="20"/>
  <c r="A173" i="20" l="1"/>
  <c r="A174" i="20" s="1"/>
  <c r="A175" i="20" s="1"/>
  <c r="A177" i="20" s="1"/>
  <c r="A178" i="20" s="1"/>
  <c r="A180" i="20" s="1"/>
  <c r="C14" i="25"/>
  <c r="I193" i="15"/>
  <c r="B53" i="24"/>
  <c r="C53" i="24" s="1"/>
  <c r="M22" i="24"/>
  <c r="C48" i="24"/>
  <c r="C49" i="24"/>
  <c r="C51" i="24"/>
  <c r="C50" i="24"/>
  <c r="F199" i="20"/>
  <c r="H199" i="20"/>
  <c r="A183" i="20" l="1"/>
  <c r="A184" i="20" s="1"/>
  <c r="A185" i="20" s="1"/>
  <c r="C15" i="25"/>
  <c r="A188" i="20" l="1"/>
  <c r="A189" i="20" s="1"/>
  <c r="A191" i="20" s="1"/>
  <c r="A192" i="20" s="1"/>
  <c r="A198" i="20" l="1"/>
  <c r="C18" i="25" s="1"/>
  <c r="C19" i="25" s="1"/>
</calcChain>
</file>

<file path=xl/comments1.xml><?xml version="1.0" encoding="utf-8"?>
<comments xmlns="http://schemas.openxmlformats.org/spreadsheetml/2006/main">
  <authors>
    <author>USERPC</author>
  </authors>
  <commentList>
    <comment ref="N226" authorId="0" shapeId="0">
      <text>
        <r>
          <rPr>
            <b/>
            <sz val="9"/>
            <color indexed="81"/>
            <rFont val="Tahoma"/>
            <family val="2"/>
          </rPr>
          <t>USERPC:</t>
        </r>
        <r>
          <rPr>
            <sz val="9"/>
            <color indexed="81"/>
            <rFont val="Tahoma"/>
            <family val="2"/>
          </rPr>
          <t xml:space="preserve">
en el plan indicativo corresponde  a la 1905021 Y 1905031</t>
        </r>
      </text>
    </comment>
  </commentList>
</comments>
</file>

<file path=xl/sharedStrings.xml><?xml version="1.0" encoding="utf-8"?>
<sst xmlns="http://schemas.openxmlformats.org/spreadsheetml/2006/main" count="5212" uniqueCount="1526">
  <si>
    <t xml:space="preserve">  Secretario Administrativo</t>
  </si>
  <si>
    <t>Director IDTQ</t>
  </si>
  <si>
    <t>Director Oficina Privada</t>
  </si>
  <si>
    <t>Gerente General Proyecta para el Desarrollo Territorial</t>
  </si>
  <si>
    <t>Gerente INDEPORTES QUINDÍO</t>
  </si>
  <si>
    <t>Secretaria de Educación</t>
  </si>
  <si>
    <t>Secretaria de Familia</t>
  </si>
  <si>
    <t>Secretaria de Hacienda</t>
  </si>
  <si>
    <t>Secretaria del Interior</t>
  </si>
  <si>
    <t>Secretario de Agricultura, Desarrollo Rural y Medio Ambiente</t>
  </si>
  <si>
    <t>Secretario de Aguas e Infraestructura</t>
  </si>
  <si>
    <t>Secretario de Cultura</t>
  </si>
  <si>
    <t>Secretario de Turismo, Industria y Comercio</t>
  </si>
  <si>
    <t>Secretario Tecnologías de la Información y las Comunicaciones</t>
  </si>
  <si>
    <t xml:space="preserve"> Secretario de Salud</t>
  </si>
  <si>
    <t xml:space="preserve"> Secretario de Planeación </t>
  </si>
  <si>
    <t>FORMATO</t>
  </si>
  <si>
    <t xml:space="preserve">CODIGO:  </t>
  </si>
  <si>
    <t xml:space="preserve">VERSIÓN: </t>
  </si>
  <si>
    <t xml:space="preserve">FECHA: </t>
  </si>
  <si>
    <t>PÁGINA:</t>
  </si>
  <si>
    <t xml:space="preserve"> 1 de 1</t>
  </si>
  <si>
    <t>UNIDAD EJECUTORA</t>
  </si>
  <si>
    <t>LÍNEA ESTRATÉGICA</t>
  </si>
  <si>
    <t>SECTOR</t>
  </si>
  <si>
    <t>PROGRAMA</t>
  </si>
  <si>
    <t>PRODUCTO</t>
  </si>
  <si>
    <t>INDICADOR PRODUCTO</t>
  </si>
  <si>
    <t>META PRODUCTO</t>
  </si>
  <si>
    <t>PROYECTO</t>
  </si>
  <si>
    <t>CÓDIGO</t>
  </si>
  <si>
    <t>NOMBRE</t>
  </si>
  <si>
    <t>CÓDIGO
PDD</t>
  </si>
  <si>
    <t>NOMBRE PDD</t>
  </si>
  <si>
    <t>CÓDIGO CATÁLOGO MGA</t>
  </si>
  <si>
    <t xml:space="preserve">PROGRAMA CATÁLOGO MGA </t>
  </si>
  <si>
    <t>INDICADOR DE RESULTADO Y/O BIENESTAR</t>
  </si>
  <si>
    <t>CÓDIGO PDD</t>
  </si>
  <si>
    <t>PRODUCTO PDD</t>
  </si>
  <si>
    <t>CÓDIGO CATÁLOGO DE PRODUCTOS MGA</t>
  </si>
  <si>
    <t xml:space="preserve">PRODUCTO CATÁLOGO MGA </t>
  </si>
  <si>
    <t>INDICADOR PDD</t>
  </si>
  <si>
    <t>CÓDIGO CATALOGO DE INDICADORES MGA</t>
  </si>
  <si>
    <t xml:space="preserve">INDICADOR CATÁLOGO MGA </t>
  </si>
  <si>
    <t>A=ACUMULADA
NA=NO ACUMULADA</t>
  </si>
  <si>
    <t>PROGRAMADA VIGENCIA 2023</t>
  </si>
  <si>
    <t>REPROGRAMACIÓN DE METAS 2023</t>
  </si>
  <si>
    <t>TOTAL PROGRAMACIÓN METAS 2023</t>
  </si>
  <si>
    <t>CÓDIGO BPIN</t>
  </si>
  <si>
    <t>NOMBRE DEL PROYECTO</t>
  </si>
  <si>
    <t>OBJETIVO DEL PROYECTO</t>
  </si>
  <si>
    <t xml:space="preserve">SGP SALÚD PUBLICA - PRESTACIÓN DE SERVICIOS
 </t>
  </si>
  <si>
    <t xml:space="preserve"> RENTAS CEDIDAS - SALUD - DEPORTE -</t>
  </si>
  <si>
    <t xml:space="preserve"> SGP AGUA POTABLE Y SANEAMIENTO BÁSICO
</t>
  </si>
  <si>
    <t xml:space="preserve"> RECURSO ORDINARIO
</t>
  </si>
  <si>
    <t>OTROS (FDO. SEGURIDAD - ACPM- IVA TELEFONIA MÓVIL  - IMP. REGISTRO- R.O. IDTQ)</t>
  </si>
  <si>
    <t>NACIÓN- PAE - ANTICONTRABANDO -ESTUPEFACIENTES</t>
  </si>
  <si>
    <t xml:space="preserve"> TOTAL PRESUPUESTO</t>
  </si>
  <si>
    <t>Secretaría Administrativa</t>
  </si>
  <si>
    <t>Liderazgo, Gobernabilidad y Transparecia</t>
  </si>
  <si>
    <t>Gobierno territorial</t>
  </si>
  <si>
    <t>ND</t>
  </si>
  <si>
    <t>Fortalecimiento de la gestión y desempeño institucional. “Quindío con una administración al servicio de la ciudadanía"</t>
  </si>
  <si>
    <t xml:space="preserve">Fortalecimiento a la gestión y dirección de la administración pública territorial </t>
  </si>
  <si>
    <t>Índice de Gestión del Modelo Integrado de Planeación y de Gestión MIPG  de la Administración Departamental</t>
  </si>
  <si>
    <t>Implementación de  las Dimensiones y Políticas  del Modelo Integrado de Planeación y de Gestión MIPG</t>
  </si>
  <si>
    <t xml:space="preserve">Servicio de Implementación Sistemas de Gestión </t>
  </si>
  <si>
    <t>Número de Dimensiones y Políticas   de MIPG implementadas.</t>
  </si>
  <si>
    <t>Sistema de Gestión implementado</t>
  </si>
  <si>
    <t>A</t>
  </si>
  <si>
    <t>Implementación del Modelo Integrado de Planeación y de Gestión MIPG  de la Administración Departamental del Quindío (Dimensiones  de Talento humano,  Información y Comunicación y Gestión del Conocimiento).</t>
  </si>
  <si>
    <t xml:space="preserve">Incrementar en Índice de Gestión y Desempeño  de la Administración Departamental ,  a Implementar los procesos y procedimientos de depuración de los expedientes administrativos pensionales, que permitan la determinación de cuotas partes pensionales, bonos pensionales y otros, con el fin de contar con información depurada y real. </t>
  </si>
  <si>
    <t>Estrategias  de actualización, depuración, seguimiento y evaluación de las bases de datos  del Pasivo Pensional  de la Administración Departamental.</t>
  </si>
  <si>
    <t xml:space="preserve">Servicio de saneamiento fiscal y financiero </t>
  </si>
  <si>
    <t>Estrategias  de actualización, depuración, seguimiento y evaluación de las bases de datos  del Pasivo Pensional  de la Administración Departamental</t>
  </si>
  <si>
    <t xml:space="preserve">Programa de saneamiento fiscal y financiero ejecutado </t>
  </si>
  <si>
    <t xml:space="preserve">Actualización, depuración, seguimiento y evaluación del Pasivo Pensional de la Administración Departamental del Quindío </t>
  </si>
  <si>
    <t>Incrementar  Índice de Gestión y Desempeño de la Administración Departamental a través del proceso de modernización administrativa, contemplando una estructura orgánica qué corresponda a las competencias del territorio, la habilitación de la oficina para los alcaldes en la gobernación y la Casa Delegada en la ciudad de Bogotá, la  creación de la oficina de la Felicidad; con el propósito de mejorar la gestión de la administración departamental .</t>
  </si>
  <si>
    <t>Participación ciudadana y política y respeto por los derechos humanos y diversidad de creencias. "Quindío integrado y participativo"</t>
  </si>
  <si>
    <t>Fortalecimiento del buen gobierno para el respeto y garantía de los derechos humanos</t>
  </si>
  <si>
    <t>Porcentaje promedio  de participación de ciudadanos en los eventos de elección popular.</t>
  </si>
  <si>
    <t>Implementación del Plan de Acción del Sistema Departamental de Servicio a la Ciudadanía SDSC</t>
  </si>
  <si>
    <t>Servicio de integración de la oferta pública</t>
  </si>
  <si>
    <t>Plan de Acción del Sistema Departamental de Servicio a la Ciudadanía SDSC implementado</t>
  </si>
  <si>
    <t xml:space="preserve">Espacios de integración de oferta pública generados </t>
  </si>
  <si>
    <t xml:space="preserve">Implementación del Sistema Departamental de Servicio a la Ciudadanía SDSC   en la Administración Departamental. </t>
  </si>
  <si>
    <t>Aumentar en porcentaje promedio  de participación de ciudadanos en los eventos de elección popular través del desarrollo de  actividades qué permitan la interacción de la Comunidad y Estado, facilitando el acceso de los servicios qué oferta la Administración Departamental.</t>
  </si>
  <si>
    <t>Secretaría de Planeación</t>
  </si>
  <si>
    <t>Porcentaje promedio  de participación de ciudadanos en los eventos de elección popular</t>
  </si>
  <si>
    <t>Fortalecimiento técnico y logístico del  Consejo Territorial de Planeación Departamental, como representantes de la sociedad civil en la planeación  del desarrollo integral  de la entidad territorial</t>
  </si>
  <si>
    <t>Servicio de promoción a la participación ciudadana</t>
  </si>
  <si>
    <t>Consejo Territorial de Planeación Departamental fortalecido</t>
  </si>
  <si>
    <t>Espacios de participación promovidos</t>
  </si>
  <si>
    <t xml:space="preserve">Fortalecimiento  del Consejo Territorial de Planeación del Departamento del Quindío. "TÚ y YO SOMOS QUINDIO" </t>
  </si>
  <si>
    <t>Incrementar la  participación de ciudadanos en los eventos de elección popular,  a través de los procesos de apoyo técnico y logístico al Consejo Territorial de Planeación Departamental, de conformidad con lo preceptuado en la Ley 152 de 1994.</t>
  </si>
  <si>
    <t>Eventos de Rendición Pública de Cuentas que divulgan la gestión administrativa.</t>
  </si>
  <si>
    <t>Eventos de Rendición Públicas de Cuentas realizados</t>
  </si>
  <si>
    <t>Rendición de cuentas realizadas</t>
  </si>
  <si>
    <t xml:space="preserve">Implementación  de eventos de Rendición Pública de Cuentas  de divulgación de gestión  de la Administración Departamental  "TU Y YO SOMOS QUINDIO" </t>
  </si>
  <si>
    <t>Incrementar la  participación de ciudadanos en los eventos de elección popular, a través  de la realización de la  Rendición Pública de Cuentas, con el propósito de generar un espacio de interlocución entre la sociedad civil y/o organizada.</t>
  </si>
  <si>
    <t>Instrumentos de planificación para el ordenamiento y la gestión territorial departamental (Plan de Desarrollo Departamental PDD, Ordenamiento Territorial, Sistema de Información Geográfica, Mecanismos de Integración, Catastro multipropósito etc.).</t>
  </si>
  <si>
    <t>Documentos de lineamientos técnicos</t>
  </si>
  <si>
    <t>Instrumentos de planificación de ordenamiento y gestión territorial departamental implementados</t>
  </si>
  <si>
    <t>Documentos de lineamientos técnicos realizados</t>
  </si>
  <si>
    <t xml:space="preserve"> A </t>
  </si>
  <si>
    <t xml:space="preserve">Implementación   de instrumentos de planificación para  en  Ordenamiento y la Gestión Territorial Departamental del Quindío  "TU Y YO SOMOS QUINDIO" </t>
  </si>
  <si>
    <t>Incrementar el  Índice de Gestión y Desempeño de la  Administración Departamental a través de la Implementación de los  instrumentos de planificación para el ordenamiento y la gestión territorial departamental (Plan de Desarrollo Departamental PDD, Ordenamiento Territorial, Sistema de Información Geográfica, mecanismos de integración, catastro multipropósito etc.) para orientar  los gastos de inversión  de acuerdo al Ordenamiento  Territorial.</t>
  </si>
  <si>
    <t>Observatorio económico del departamento, con procesos de fortalecimiento</t>
  </si>
  <si>
    <t>Servicios de información implementados</t>
  </si>
  <si>
    <t>Observatorio económico del Departamento del Quindío actualizado y dotado</t>
  </si>
  <si>
    <t>Sistemas de información implementados</t>
  </si>
  <si>
    <t>Implementación del Observatorio Económico  de la Administración Departamental del Quindío "TU Y YO SOMOS QUINDIO"</t>
  </si>
  <si>
    <t>Incrementar el  Índice de Gestión y Desempeño de la  Administración Departamental,  a través  de la implementación del  Observatorio Económico, con el objeto de proveer información  para la toma decisiones, facilitar en   seguimiento y monitoreo de dinámicas económicas y sociales del departamento.</t>
  </si>
  <si>
    <t xml:space="preserve">Banco de Programas y Proyectos del Departamento  con Procesos de fortalecimiento. </t>
  </si>
  <si>
    <t>Banco de Programas y Proyectos del Departamento fortalecido</t>
  </si>
  <si>
    <t>Fortalecimiento del Banco de Programas y Proyectos de la administración departamental  "TÚ Y YO SOMOS QUINDIO"</t>
  </si>
  <si>
    <t>Incrementar el  Índice de Gestión y Desempeño de la  Administración Departamental, a través de  procesos de fortalecimiento del Banco de Programas y Proyectos, con el propósito de generar una mayor inversión social, qué impacte de manera positiva en las problemáticas socioeconómicas de la comunidad quindiana.</t>
  </si>
  <si>
    <t>Índice de Gestión del Modelo Integrado de Planeación y de Gestión MIPG   Departamental (Entes Territoriales Municipales)</t>
  </si>
  <si>
    <t xml:space="preserve">Entes territoriales  con servicio de asistencia técnica de los Instrumentos de Planificación para  el Ordenamiento y la Gestión Territorial departamental. </t>
  </si>
  <si>
    <t>Servicio de asistencia técnica</t>
  </si>
  <si>
    <t>Entes territoriales con procesos de asistencia técnica realizadas.</t>
  </si>
  <si>
    <t>Entidades territoriales asistidas técnicamente</t>
  </si>
  <si>
    <t>Asistencia Técnica  en  Instrumentos de Planificación y gestión  territorial en los  municipios del Departamento del  Quindío.</t>
  </si>
  <si>
    <t>Incrementar en  Índice de Gestión y Desempeño de la  Administración Departamental,  a través de procesos de  asistencia técnica a los entes territoriales Municipales  en Instrumentos de Planificación  y  Gestión Territorial.</t>
  </si>
  <si>
    <t>Entes territoriales con servicio de asistencia  técnica del Modelo Integrado de Planeación y de Gestión MIPG</t>
  </si>
  <si>
    <t>Entes Territoriales con procesos de asistencia técnica realizadas</t>
  </si>
  <si>
    <t>Entes territoriales  con servicio de asistencia técnica en la Medición del Desempeño Municipal</t>
  </si>
  <si>
    <t>Entes Territoriales con procesos de asistencia técnica realizadas.</t>
  </si>
  <si>
    <t xml:space="preserve">Entes territoriales  con servicio de asistencia técnica en el Sistema de Identificación de Potenciales Beneficiarios de Programas Sociales (SISBEN). </t>
  </si>
  <si>
    <t>Entes territoriales con servicio de asistencia técnica en la formulación, preparación, seguimiento y evaluación de las políticas públicas</t>
  </si>
  <si>
    <t xml:space="preserve">Entes territoriales  con servicio de asistencia técnica en Banco de Programas y Proyectos de Inversión Nacional (BPIN).  </t>
  </si>
  <si>
    <t>Servicio de Implementación Sistemas de Gestión</t>
  </si>
  <si>
    <t>Implementación  del Modelo Integrado de Planeación y de Gestión MIPG en la Administración Departamental del   Quindío</t>
  </si>
  <si>
    <t xml:space="preserve"> Aumentar en Índice de Gestión y Desempeño de la Administración Departamental considerando las dimensiones y políticas qué conforman en Modelo Integrado de Gestión y Desempeño </t>
  </si>
  <si>
    <t>Secretaría de Hacienda y Finanzas Públicas</t>
  </si>
  <si>
    <t>Índice de Desempeño Fiscal Administración Departamental</t>
  </si>
  <si>
    <t>Estrategia para el mejoramiento del Índice de Desempeño Fiscal en la Administración Departamental.</t>
  </si>
  <si>
    <t>Estrategia  de fortalecimiento  del Índice de Desempeño  Fiscal implementadas.</t>
  </si>
  <si>
    <t xml:space="preserve">Estrategia para el mejoramiento del Índice de Desempeño Fiscal ejecutada </t>
  </si>
  <si>
    <t>Implementación de estrategias de fortalecimiento del desempeño fiscal de la Administración departamental del Quindío</t>
  </si>
  <si>
    <t>Incrementar en Índice de Desempeño Fiscal de la Administración Departamental, a través de estrategias de autofinanciación de los gastos de funcionamiento, respaldo del servicio y mejoramiento de la deuda,  transferencias de la nación , generación de recursos propios, magnitud de la inversión y capacidad de ahorro, con el propósito de generar una mayor inversión social.</t>
  </si>
  <si>
    <t xml:space="preserve">Programa para el cumplimiento de las políticas y prácticas contables para la administración departamental         </t>
  </si>
  <si>
    <t>Servicio de saneamiento fiscal y financiero</t>
  </si>
  <si>
    <t>Programa para el cumplimiento de las políticas y prácticas contables implementado</t>
  </si>
  <si>
    <t>Programa de saneamiento fiscal y financiero ejecutado</t>
  </si>
  <si>
    <t xml:space="preserve">Implementación  de  un programa para el cumplimiento de las políticas y prácticas contables de la administración departamental del Quindío.    </t>
  </si>
  <si>
    <t>Incrementar el Índice de Desempeño Fiscal de la Administración Departamental,   a través de la implementación del programa para el cumplimiento de las políticas y prácticas contables para la administración departamental,  encaminado a la  generación de información  veraz, confiable y razonable.</t>
  </si>
  <si>
    <t>Secretaría de Aguas e Infraestructura</t>
  </si>
  <si>
    <t>Inclusión Social y Equidad</t>
  </si>
  <si>
    <t>Justicia y del derecho</t>
  </si>
  <si>
    <t>Promoción al acceso a la justicia. "Tú y yo con justicia"</t>
  </si>
  <si>
    <t>Promoción al acceso a la justicia</t>
  </si>
  <si>
    <t>Tasa de homicidio por cada 100.000 habitantes
Tasa de hurto a personas  por cada 100.000 habitantes
Tasa de hurto a residencias por cada 100.000 habitantes
Tasa de hurto a comercio por cada 100.000 habitantes
Tasa de violencia intrafamiliar x cada 100.000 habitantes
Tasa  de delitos sexuales x 100.000 habitantes</t>
  </si>
  <si>
    <t>Infraestructura de las Instituciones de Seguridad del Estado con procesos constructivos, mejorados, ampliados, mantenidos, y/o reforzados</t>
  </si>
  <si>
    <t>Servicio de promoción del acceso a la justicia</t>
  </si>
  <si>
    <t>Infraestructura de las Instituciones de Seguridad del Estado construida, mejorada, ampliada, mantenida, y/o reforzada</t>
  </si>
  <si>
    <t xml:space="preserve">Estrategias de acceso a la justicia desarrolladas </t>
  </si>
  <si>
    <t>N.A.</t>
  </si>
  <si>
    <t>Mantenimiento de las instituciones públicas y/o de seguridad y  justicia  del Estado en el Departamento Quindío</t>
  </si>
  <si>
    <t>Mantener y/o reforzar  las Instituciones de seguridad del departamento del Quindío, con el propósito de  brindar a la  comunidad mejores condiciones de equidad y justicia.</t>
  </si>
  <si>
    <t>Educación</t>
  </si>
  <si>
    <t>Calidad, cobertura y fortalecimiento de la educación inicial, prescolar, básica y media." Tú y yo con educación y  calidad"</t>
  </si>
  <si>
    <t>Calidad, cobertura y fortalecimiento de la educación inicial, prescolar, básica y media</t>
  </si>
  <si>
    <t>Tasa de cobertura bruta en transición
Tasa de cobertura bruta en educación básica
Tasa de cobertura en educación media
Tasa de deserción escolar intra-anual</t>
  </si>
  <si>
    <t>Infraestructura de Instituciones Educativas con procesos constructivos, mejorados, ampliados, mantenidos y/o reforzados.</t>
  </si>
  <si>
    <t>Infraestructura educativa mantenida</t>
  </si>
  <si>
    <t>Infraestructura de Instituciones Educativas construida, mejorada, ampliada, mantenida, y/o reforzada.</t>
  </si>
  <si>
    <t>Sedes mantenidas</t>
  </si>
  <si>
    <t xml:space="preserve">Mantenimiento de  la infraestructura  Educativa en el Departamento del Quindío. </t>
  </si>
  <si>
    <t xml:space="preserve"> Mantener de la infraestructura educativa, con el propósito de garantizar  la permanencia y calidad  de la prestación  del servicio educativo en Departamento del Quindío.  </t>
  </si>
  <si>
    <t>Cultura</t>
  </si>
  <si>
    <t>Promoción y acceso efectivo a procesos culturales y artísticos. "Tú y yo somos cultura Quindiana"</t>
  </si>
  <si>
    <t>Promoción y acceso efectivo a procesos culturales y artísticos</t>
  </si>
  <si>
    <t>Tasa de participación en procesos y actividades artísticas y culturales.
Tasa de consumo de sustancias sicoactivas por 100.000 habitantes en el departamento del Quindío.</t>
  </si>
  <si>
    <t>3301068</t>
  </si>
  <si>
    <t>Servicio de mantenimiento de infraestructura cultural</t>
  </si>
  <si>
    <t>330106800</t>
  </si>
  <si>
    <t>Infraestructura cultural intervenida</t>
  </si>
  <si>
    <t xml:space="preserve">Mantenimiento de la infraestructura cultural en el departamento del Quindío  </t>
  </si>
  <si>
    <t xml:space="preserve"> Realizar mantenimiento de la  infraestructura cultural, para fortalecer los espacios de los artistas y gestores culturales dedicados a la creación, promoción y divulgación de actividades en el Departamento del Quindío.</t>
  </si>
  <si>
    <t>Inclusión social y reconciliación</t>
  </si>
  <si>
    <t>Atención integral de población en situación permanente de desprotección social y/o familiar. "Tú y yo con atención integral"</t>
  </si>
  <si>
    <t>Atención integral de población en situación permanente de desprotección social y/o familiar</t>
  </si>
  <si>
    <t>Cobertura de municipios del departamento con procesos de implementación de proyectos productivos para las personas con discapacidad.</t>
  </si>
  <si>
    <t>Centros de atención integral para personas con discapacidad construidos y dotados</t>
  </si>
  <si>
    <t>Centros de atención integral para personas con discapacidad construidos y dotados.</t>
  </si>
  <si>
    <t>Centros de atención integral para personas con Discapacidad construidos y dotados</t>
  </si>
  <si>
    <t xml:space="preserve">Centros de atención integral para personas con discapacidad construidos y dotados </t>
  </si>
  <si>
    <t>Construcción y dotación centro de atención integral para personas con discapacidad en el Departamento del Quindío+</t>
  </si>
  <si>
    <t>Deporte y recreación</t>
  </si>
  <si>
    <t>Fomento a la recreación, la actividad física y el deporte  "Tú y yo en la recreación y el deporte"</t>
  </si>
  <si>
    <t>Fomento a la recreación, la actividad física y el deporte para desarrollar entornos de convivencia y paz</t>
  </si>
  <si>
    <t>Cobertura de municipios qué participan en programas de recreación, actividad física y deporte social y comunitario en el Departamento del Quindío.
Cobertura de ligas apoyadas en el departamento del Quindío.
Porcentaje de medallería del departamento del Quindío en los Juegos Nacionales.</t>
  </si>
  <si>
    <t xml:space="preserve">Infraestructura  deportiva y/o recreativa con procesos   constructivos,  mejorados,  ampliados,  mantenidos y/o  reforzados </t>
  </si>
  <si>
    <t>Servicio de mantenimiento a la infraestructura deportiva</t>
  </si>
  <si>
    <t xml:space="preserve">Infraestructura  deportiva y/o recreativa con procesos   constructivos,  mejorados,  ampliados,  mantenidos y/o   reforzados </t>
  </si>
  <si>
    <t>Intervenciones realizadas a infraestructura deportiva</t>
  </si>
  <si>
    <t xml:space="preserve">Mantenimiento, mejoramiento y/o rehabilitación de  obras físicas de infraestructura deportiva y recreativa en el Departamento del Quindío  </t>
  </si>
  <si>
    <t>Mantener, mejorar y/o rehabilitar obras físicas de infraestructura deportiva y recreativa en el Departamento del Quindío con el propósito de generar espacios para la utilización del tiempo libre.</t>
  </si>
  <si>
    <t>Productividad y Competitividad</t>
  </si>
  <si>
    <t>Agricultura y desarrollo rural</t>
  </si>
  <si>
    <t>Infraestructura productiva y comercialización. "Tú y yo con agro competitivo"</t>
  </si>
  <si>
    <t>Infraestructura productiva y comercialización</t>
  </si>
  <si>
    <t>Crecimiento económico del sector agropecuario (PIB)</t>
  </si>
  <si>
    <t>Plantas de beneficio animal adecuadas</t>
  </si>
  <si>
    <t xml:space="preserve">Plantas de beneficio animal adecuadas </t>
  </si>
  <si>
    <t>Adecuación planta de beneficio animal en el Departamento del Quindío</t>
  </si>
  <si>
    <t>Adecuar una planta de beneficio animal con el propósito de fortalecer la productividad y competitividad pecuaria sostenible, para el mejoramiento de la calidad, inocuidad y sanidad de los productos, para su mercadeo y comercialización, en el Departamento del Quindío</t>
  </si>
  <si>
    <t>Plazas de mercado adecuadas</t>
  </si>
  <si>
    <t>Adecuación plaza de mercado en el Departamento del Quindío</t>
  </si>
  <si>
    <t>Adecuar una plaza de mercado, con el propósito de brindar un espacio en optimas condiciones que permita la comercilaizacion de productos agropecuarios permitiendo la generacion de ingresos   sostenible a los pequeños productores del   Departaemnto del Quindio.</t>
  </si>
  <si>
    <t>Territorio, Ambiente y Desarrollo Sostenible</t>
  </si>
  <si>
    <t>Transporte</t>
  </si>
  <si>
    <t>Infraestructura red vial regional. "Tú y yo con movilidad vial"</t>
  </si>
  <si>
    <t xml:space="preserve">Infraestructura red vial regional </t>
  </si>
  <si>
    <t xml:space="preserve">Índice de competitividad  en el sector de infraestructura vial </t>
  </si>
  <si>
    <t>Infraestructura  en  puentes  con procesos  de construcción, mejoramiento, ampliación, mantenimiento y/o reforzamiento</t>
  </si>
  <si>
    <t>Puente de la red vial secundaria con mantenimiento</t>
  </si>
  <si>
    <t>Infraestructura en puentes construida, mejorada, ampliada, mantenida y/o reforzada</t>
  </si>
  <si>
    <t>Puente de la red secundaria con mantenimiento</t>
  </si>
  <si>
    <t>Mantenimiento, mejoramiento, rehabilitación y/o atención las vías  para  garantizar  la movilidad y competitividad en el departamento del Quindío.</t>
  </si>
  <si>
    <t>Mejorar y mantener la comunicación vehicular entre los municipios del departamento y en sector rural mediante la disposición de una infraestructura vial adecuada, mediante programas de mantenimiento y/o mejoramiento de las vías construidas y sus obras complementarias, garantizando condiciones de eficiencia, seguridad y confort a los usuarios. Para estos efectos se podrá implementar mecanismos de carácter social como “Las Camineras”, qué desde la población local contribuyan al mantenimiento vial.</t>
  </si>
  <si>
    <t>Infraestructura   vial  con procesos  de construcción, mejoramiento, ampliación, mantenimiento y/o  reforzamiento.</t>
  </si>
  <si>
    <t xml:space="preserve">Vía terciaria mejorada </t>
  </si>
  <si>
    <t xml:space="preserve">Infraestructura  vial    construida, mejorada, ampliada,  mantenida, y/o  reforzada </t>
  </si>
  <si>
    <t>Vía terciaria mejorada</t>
  </si>
  <si>
    <t>Ambiente y desarrollo sostenible</t>
  </si>
  <si>
    <t>Ordenamiento Ambiental Territorial. "Tú y yo planificamos con sentido ambiental"</t>
  </si>
  <si>
    <t xml:space="preserve">Ordenamiento ambiental territorial </t>
  </si>
  <si>
    <t xml:space="preserve">Porcentaje de Ecosistemas protegidos y/o en procesos de restauración en el Departamento </t>
  </si>
  <si>
    <t>Obras para estabilización de taludes</t>
  </si>
  <si>
    <t>320501000</t>
  </si>
  <si>
    <t>Obras para estabilización de taludes realizadas</t>
  </si>
  <si>
    <t>Construcción, mantenimiento y/o mejoramiento de obras  de estabilización de Taludes en el Departamento del Quindío</t>
  </si>
  <si>
    <t xml:space="preserve">Construir, mantener y/o mejorar de obras de infraestructura para la  estabilización de taludes qué presenten problemas de deslizamiento, con el propósito de establecer medidas de prevención y control para reducir los niveles de amenaza y riesgo. </t>
  </si>
  <si>
    <t>Cobertura  de municipios del departamento del Quindío  atendidos con estudios y/o construcción de obras   para mitigación y atención a desastres realizadas.
Porcentaje de Ecosistemas protegidos y/o en procesos de restauración en el Departamento.</t>
  </si>
  <si>
    <t>Obras de infraestructura para mitigación y atención a desastres</t>
  </si>
  <si>
    <t xml:space="preserve">Obras de infraestructura para mitigación y atención a desastres realizadas </t>
  </si>
  <si>
    <t xml:space="preserve">Construcción, mantenimiento y/o mejoramiento de obras de infraestructura  para la mitigación y atención de desastres en los municipios del departamento del Quindío </t>
  </si>
  <si>
    <t xml:space="preserve"> Construir, mantener y/o mejorar  obras de infraestructura para la  mitigación y atención de desastres en los municipios del departamento del Quindío, con el propósito de evitar pérdidas de vidas humanas, servicios, infraestructura y económicas, </t>
  </si>
  <si>
    <t>Vivienda, ciudad y territorio</t>
  </si>
  <si>
    <t>Acceso a soluciones de vivienda. "Tú y yo con vivienda digna"</t>
  </si>
  <si>
    <t>Acceso a soluciones de vivienda</t>
  </si>
  <si>
    <t>Déficit cualitativo de viviendas por hogares</t>
  </si>
  <si>
    <t>Viviendas de interés social urbanas mejoradas</t>
  </si>
  <si>
    <t>400101500</t>
  </si>
  <si>
    <t>Viviendas de Interés Social urbanas mejoradas</t>
  </si>
  <si>
    <t xml:space="preserve">Mejoramiento de Vivienda de Interés Social en el Departamento del Quindío </t>
  </si>
  <si>
    <t>Mejoramiento  de  vivienda de interés social VIS, con el propósito de reducir el déficit cualitativo de vivienda en el departamento, permitiendo  mejorar las condiciones de  calidad de vida de los quindianos.</t>
  </si>
  <si>
    <t>Acceso de la población a los servicios de agua potable y saneamiento básico. "Tú y yo con calidad del agua"</t>
  </si>
  <si>
    <t>Acceso de la población a los servicios de agua potable y saneamiento básico</t>
  </si>
  <si>
    <t xml:space="preserve">Cobertura de acueducto
Cobertura  de alcantarillado </t>
  </si>
  <si>
    <t xml:space="preserve">Adoptar e implementar la Política Pública de Producción Consumo Sostenible y Gestión Integral de Aseo  </t>
  </si>
  <si>
    <t>Documentos de planeación</t>
  </si>
  <si>
    <t>Política Pública de Producción Consumo Sostenible y Gestión Integral de Aseo  adoptada e implementada.</t>
  </si>
  <si>
    <t>Documentos de planeación elaborados</t>
  </si>
  <si>
    <t>NP</t>
  </si>
  <si>
    <t xml:space="preserve">Implementación del plan departamental para el manejo empresarial de los servicios de agua y saneamiento básico en el Departamento del Quindío  </t>
  </si>
  <si>
    <t xml:space="preserve">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</si>
  <si>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 xml:space="preserve">Cobertura  de alcantarillado </t>
  </si>
  <si>
    <t>Alcantarillados construidos</t>
  </si>
  <si>
    <t>Plantas de tratamiento de aguas residuales  construidas</t>
  </si>
  <si>
    <t>Servicios de apoyo financiero para la ejecución de proyectos de acueductos y alcantarillado</t>
  </si>
  <si>
    <t>Proyectos de acueducto y alcantarillado en área urbana financiados</t>
  </si>
  <si>
    <t>Servicios de educación informal en agua potable y saneamiento básico</t>
  </si>
  <si>
    <t>Eventos de educación informal en agua y saneamiento básico realizados</t>
  </si>
  <si>
    <t>Estudios de pre inversión e inversión</t>
  </si>
  <si>
    <t xml:space="preserve">Estudios o diseños realizados </t>
  </si>
  <si>
    <t>4003026</t>
  </si>
  <si>
    <t>Servicios de apoyo financiero para la ejecución de proyectos de acueductos y de manejo de aguas residuales</t>
  </si>
  <si>
    <t>Proyectos de acueducto y de manejo de aguas residuales en área rural financiados</t>
  </si>
  <si>
    <t xml:space="preserve">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</si>
  <si>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Infraestructura institucional o  de edificios públicos de atención  de servicios ciudadanos con procesos constructivos mejorados,  ampliados,  mantenidos, y/o  reforzados</t>
  </si>
  <si>
    <t>4599016</t>
  </si>
  <si>
    <t>Infraestructura Institucional o edificios públicos construida mejorada, ampliada, mantenida, y/o reforzada</t>
  </si>
  <si>
    <t>Mantenimiento  de la infraestructura institucional o de edificios públicos en el Departamento del Quindío</t>
  </si>
  <si>
    <t>Mantener  la  infraestructura institucional o de edificios públicos, con el propósito de propiciar un excelente servicio al ciudadano y bienestar al servidor público, con infraestructura moderna y amigable.</t>
  </si>
  <si>
    <t>Salones comunales adecuados</t>
  </si>
  <si>
    <t xml:space="preserve">Salón comunal adecuado </t>
  </si>
  <si>
    <t xml:space="preserve">Construcción y/o adecuación de casetas comunales en los diferentes barrios del departamento </t>
  </si>
  <si>
    <t>Realizar construcción y/o adecuación de casetas comunales en los diferentes barrios del departamento, qué permitan generar procesos de participación ciudadana y la implementación de buenas prácticas sociales en comunidad.</t>
  </si>
  <si>
    <t>Secretaría del Interior</t>
  </si>
  <si>
    <t>Servicio de asistencia técnica para la articulación de los operadores de los servicio de justicia</t>
  </si>
  <si>
    <t>Implementación  de acciones con los Entes Municipales, para la reducción de los delitos en el Departamento del Quindío</t>
  </si>
  <si>
    <t>Disminuir los índice delitos  en el departamento del Quindío a través de procesos de asistencia Técnica y articulación  de acciones  con las Administraciones municipales .</t>
  </si>
  <si>
    <t>Promoción de los métodos de resolución de conflictos. "Tú y yo resolvemos los conflictos"</t>
  </si>
  <si>
    <t>Promoción de los métodos de resolución de conflictos</t>
  </si>
  <si>
    <t>Servicio de asistencia técnica para la implementación de los métodos de resolución de conflictos</t>
  </si>
  <si>
    <t>Instituciones públicas y privadas asistidas técnicamente en métodos de resolución de conflictos</t>
  </si>
  <si>
    <t xml:space="preserve">Implementación de  métodos  para la resolución de conflictos y el  fortalecimiento de la seguridad de los ciudadanos en el Departamento del Quindío  </t>
  </si>
  <si>
    <t>Coordinar con los organismos de seguridad métodos  de intervenciones  transformadoras en zonas de miedo e impunidad</t>
  </si>
  <si>
    <t>Sistema penitenciario y carcelario en el marco de los derechos humanos. "Quindío respeta derechos penitenciarios"</t>
  </si>
  <si>
    <t>Sistema penitenciario y carcelario en el marco de los derechos humanos</t>
  </si>
  <si>
    <t>Servicio de resocialización de personas privadas de la libertad</t>
  </si>
  <si>
    <t>Personas privadas de la libertad (PPL) que reciben servicio de resocialización</t>
  </si>
  <si>
    <t xml:space="preserve">Implementación de  acciones de apoyo para  la  resocialización de las personas privadas de la libertad  en las Instituciones Penitenciarias  del Departamento  del Quindío. </t>
  </si>
  <si>
    <t xml:space="preserve"> Disminuir los índices de delitos en el departamento del Quindío, a través de la implementación de  acciones de apoyo para  la  resocialización de las personas privadas de la libertad en las Instituciones  Penitenciarios del departamento del Quindío.</t>
  </si>
  <si>
    <t>Calidad, cobertura y fortalecimiento de la educación inicial, prescolar, básica y media." Tú y yo con educación y de calidad"</t>
  </si>
  <si>
    <t>Cobertura de Instituciones Educativas con Planes Escolares de Gestión del Riesgo de Desastres-PEGERD</t>
  </si>
  <si>
    <t>Servicio de gestión de riesgos y desastres en establecimientos educativos</t>
  </si>
  <si>
    <t>Establecimientos educativos con acciones de gestión del riesgo implementadas</t>
  </si>
  <si>
    <t xml:space="preserve">Implementación  y/o fortalecimiento  de  los planes para la gestión del riesgo y desastres en las Instituciones Educativas Oficiales  del Departamento </t>
  </si>
  <si>
    <t>Aumentar la cobertura de Instituciones Educativas con Planes Escolares de Gestión del Riesgo de Desastres-PEGERD, a través de procesos de acompañamiento  a la  comunidad educativa  en la implementación y fortalecimiento de los mismos.</t>
  </si>
  <si>
    <t xml:space="preserve">Inclusión social y Reconciliación </t>
  </si>
  <si>
    <t>Atención, asistencia y reparación integral a las víctimas. "Tú y yo con reparación integral"</t>
  </si>
  <si>
    <t>Atención, asistencia  y reparación integral a las víctimas</t>
  </si>
  <si>
    <t>Cobertura de la población víctima atendida con procesos de atención, prevención y asistencia humanitaria</t>
  </si>
  <si>
    <t>Servicio de orientación y comunicación a las víctimas</t>
  </si>
  <si>
    <t>Solicitudes tramitadas</t>
  </si>
  <si>
    <t xml:space="preserve">Asistencia técnica, garantías, atención, ayuda humanitaria y promoción de iniciativas de memoria histórica a la población víctima del conflicto armado en el Departamento del Quindío </t>
  </si>
  <si>
    <t>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t>
  </si>
  <si>
    <t>Servicio de ayuda y atención humanitaria</t>
  </si>
  <si>
    <t>Personas víctimas con ayuda humanitaria</t>
  </si>
  <si>
    <t>Servicio de asistencia técnica para la participación de las víctimas</t>
  </si>
  <si>
    <t>Eventos de participación realizados</t>
  </si>
  <si>
    <t>Cobertura de víctimas atendidas con la línea de emprendimiento y fortalecimiento.</t>
  </si>
  <si>
    <t>Servicio de apoyo para la generación de ingresos</t>
  </si>
  <si>
    <t>Hogares con asistencia técnica para la generación de ingresos</t>
  </si>
  <si>
    <t>Cobertura de Personas víctimas del conflicto beneficiadas con medidas de satisfacción (Construcción de memoria, Reparación simbólica y Construcción de lugares de memoria)</t>
  </si>
  <si>
    <t>Servicio de asistencia técnica para la realización de iniciativas de memoria histórica</t>
  </si>
  <si>
    <t>Iniciativas de memoria histórica asistidas técnicamente</t>
  </si>
  <si>
    <t>Inclusión social y productiva para la población en situación de vulnerabilidad. "Tú y yo, población vulnerable incluida"</t>
  </si>
  <si>
    <t xml:space="preserve">Inclusión social y productiva para la población en situación de vulnerabilidad </t>
  </si>
  <si>
    <t>Cobertura de la población excombatiente atendida con procesos de atención y asistencia humanitaria</t>
  </si>
  <si>
    <t>Servicio de atención y asistencia para la población excombatiente del Departamento del Quindío</t>
  </si>
  <si>
    <t>Servicio de gestión de oferta social para la población vulnerable</t>
  </si>
  <si>
    <t>Población excombatiente beneficiada</t>
  </si>
  <si>
    <t>Beneficiarios de la oferta social atendidos</t>
  </si>
  <si>
    <t xml:space="preserve">Asistencia, atención y capacitación  a la población  excombatiente en el  Departamento del Quindío. </t>
  </si>
  <si>
    <t xml:space="preserve"> Aumentar la cobertura de la población excombatiente atendida con procesos de atención y asistencia en el departamento del Quindío. </t>
  </si>
  <si>
    <t>Fortalecimiento de la convivencia y la seguridad ciudadana. "Tú y yo seguros"</t>
  </si>
  <si>
    <t>Fortalecimiento de la convivencia y la seguridad ciudadana</t>
  </si>
  <si>
    <t>Fortalecimiento institucional a organismos de seguridad</t>
  </si>
  <si>
    <t xml:space="preserve">Servicio de apoyo financiero para proyectos de convivencia y seguridad ciudadana </t>
  </si>
  <si>
    <t>Organismos de seguridad fortalecidos</t>
  </si>
  <si>
    <t>Proyectos de convivencia y seguridad ciudadana apoyados financieramente</t>
  </si>
  <si>
    <t xml:space="preserve">Fortalecimiento de los organismos de seguridad del Departamento del Quindío,  para mejorar la convivencia, preservación del orden público y la seguridad ciudadana. </t>
  </si>
  <si>
    <t xml:space="preserve">Disminuir los índices  de delitos en el departamento del Quindío, a través de fortalecimiento de los organismos de seguridad, para el mejoramiento de la   convivencia, preservación del orden público y la seguridad ciudadana. </t>
  </si>
  <si>
    <t>Instancias territoriales asistidas técnicamente</t>
  </si>
  <si>
    <t xml:space="preserve">Fortalecimiento institucional de la entidades municipales para la consolidación de la convivencia, el orden público  y la seguridad ciudadana  en el departamento del Quindío  </t>
  </si>
  <si>
    <t xml:space="preserve"> Disminuir los índices de violencia intrafamiliar   a través de la implementación de acciones y gestiones para impulsar y adoptar políticas y planes qué promuevan la paz, la reconciliación, la legalidad y la convivencia en el territorio.  </t>
  </si>
  <si>
    <t>Cobertura  de municipios del departamento del Quindío  atendidos con estudios y/o construcción de obras para mitigación y atención a desastres realizadas.</t>
  </si>
  <si>
    <t>Documentos de estudios técnicos para el ordenamiento ambiental territorial</t>
  </si>
  <si>
    <t>Documentos de estudios técnicos para el conocimiento y reducción del riesgo de desastres elaborados</t>
  </si>
  <si>
    <t>Fortalecimiento de los procesos de planificación del territorio para el conocimiento  y reducción del riesgo en el Departamento del Quindío.</t>
  </si>
  <si>
    <t>Aumentar la cobertura  de municipios del departamento del Quindío  atendidos con estudios   para mitigación y atención a desastres en la   planificación del  territorio  y priorización  de  acciones de intervención.</t>
  </si>
  <si>
    <t>Prevención y atención de desastres y emergencias. "Tú y yo preparados en gestión del riesgo"</t>
  </si>
  <si>
    <t>Gestión del riesgo de desastres y emergencias</t>
  </si>
  <si>
    <t>Cobertura de   personas capacitadas en Gestión del Riesgo de Desastres  en el Departamento del Quindío, bajo en marco de Ciudades resilientes</t>
  </si>
  <si>
    <t>Servicio de educación informal</t>
  </si>
  <si>
    <t>Personas capacitadas</t>
  </si>
  <si>
    <t>Fortalecimiento de la gestión del Riesgo mediante los procesos de conocimiento, reducción del riesgo y manejo de desastres, en el Departamento del Quindío</t>
  </si>
  <si>
    <t xml:space="preserve">Aumentar cobertura de atención del Sistema Departamental de Gestión del Riesgo de Desastres del Departamento del Quindío,  a través del fortalecimiento  de los procesos de conocimiento, reducción del riesgo y manejo de desastres, con el propósito de contribuir a la seguridad, bienestar y calidad de vida de las personas. </t>
  </si>
  <si>
    <t>Cobertura de atención  del Sistema Departamental de Gestión del Riesgo de Desastres del Quindío.</t>
  </si>
  <si>
    <t>Instancias territoriales asistidas</t>
  </si>
  <si>
    <t>Servicio de atención a emergencias y desastres</t>
  </si>
  <si>
    <t>Servicio de fortalecimiento a las salas de crisis territorial</t>
  </si>
  <si>
    <t>Centro de reserva  para la atención a emergencias y desastres dotado</t>
  </si>
  <si>
    <t>Organismos de atención de emergencias fortalecidos</t>
  </si>
  <si>
    <t>Cobertura de asistencia a los municipios del departamento del Quindío en los procesos de la garantía y prevención de derechos humanos.</t>
  </si>
  <si>
    <t>Servicio de apoyo para la implementación de medidas en derechos humanos y derecho internacional humanitario</t>
  </si>
  <si>
    <t>Medidas implementadas en cumplimiento de las obligaciones internacionales en materia de Derechos Humanos y Derecho Internacional Humanitario</t>
  </si>
  <si>
    <t xml:space="preserve">Implementación del Plan Integral de prevención de vulneraciones de los Derechos Humanos DDHH e infracciones  al Derecho Internacional Humanitario DIH en el Departamento del Quindío </t>
  </si>
  <si>
    <t>Aumentar la cobertura de asistencia a los municipios del departamento del Quindío en los procesos de la garantía y prevención de derechos humanos a través de la actualización, implementación y socialización en Plan Integral para la prevención a la vulneración de los DDHH.</t>
  </si>
  <si>
    <t>Iniciativas para la promoción de la participación ciudadana implementada.</t>
  </si>
  <si>
    <t xml:space="preserve">Fortalecimiento de la participación ciudadana, veedurías y organizaciones comunales para el cumplimiento, protección y restablecimiento de los derechos contemplados en la Constitución Política.    </t>
  </si>
  <si>
    <t xml:space="preserve">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t>
  </si>
  <si>
    <t>Implementar la Política de Libertad Religiosa</t>
  </si>
  <si>
    <t>Política de Libertad Religiosa Implementado</t>
  </si>
  <si>
    <t>Estrategia de acompañamiento sobre capacidades democráticas y organizativas  implementada</t>
  </si>
  <si>
    <t>Fortalecimiento de los organismos  de acción comunal (OAC)  de los doce municipios del Departamento en lo relacionado a sus procesos formativos, participativos, de organización y  gestión.</t>
  </si>
  <si>
    <t>Municipios con organismos de Acción Comunal fortalecidos.</t>
  </si>
  <si>
    <t xml:space="preserve">Iniciativas organizativas de participación ciudadana promovidas </t>
  </si>
  <si>
    <t xml:space="preserve">Formulación de la  Política Pública Departamental para la  Acción Comunal </t>
  </si>
  <si>
    <t xml:space="preserve">Documentos de planeación </t>
  </si>
  <si>
    <t>Una Política Pública formulada.</t>
  </si>
  <si>
    <t xml:space="preserve">Planes estratégicos elaborados </t>
  </si>
  <si>
    <t>Secretaría de Cultura</t>
  </si>
  <si>
    <t>.Cobertura en formación artística y cultural
.Tasa de consumo de sustancias psicoactivas por 100.000 habitantes en el departamento del Quindío.</t>
  </si>
  <si>
    <t>Servicio de educación informal en áreas artísticas y culturales</t>
  </si>
  <si>
    <t xml:space="preserve">Implementación de la "Ruta de la felicidad y la identidad quindiana", para el fortalecimiento y visibilización de los procesos artísticos y culturales en el Departamento del Quindío  </t>
  </si>
  <si>
    <t>Fortalecer en sector cultural del departamento del Quindío incrementando las   tasas de  participación en formación y actividades  artísticos culturales, a través de la implementación de la " Ruta de  la felicidad e  identidad  quindiana en  los municipios",    con la consiguiente disminución de las tasas de consumo de sustancias psicoactivas.</t>
  </si>
  <si>
    <t>Tasa de participación en procesos y actividades artísticas y culturales.
Tasa de consumo de sustancias psicoactivas por 100.000 habitantes en el departamento del Quindío.</t>
  </si>
  <si>
    <t>Servicio de circulación artística y cultural</t>
  </si>
  <si>
    <t>Producciones artísticas en circulación</t>
  </si>
  <si>
    <t>Formulación e implementación del Plan de Cultura</t>
  </si>
  <si>
    <t xml:space="preserve">Documentos de lineamientos técnicos </t>
  </si>
  <si>
    <t>Plan Decenal de cultura formulado e implementado</t>
  </si>
  <si>
    <t xml:space="preserve">Servicio de información para el sector artístico y cultural </t>
  </si>
  <si>
    <t>Sistema de información del sector artístico cultural en operación</t>
  </si>
  <si>
    <t>Servicio de educación formal al sector artístico y cultural</t>
  </si>
  <si>
    <t>Cupos de educación formal ofertados</t>
  </si>
  <si>
    <t>Tasa de lectura
Tasa de consumo de sustancias psicoactivas por 100.000 habitantes en el departamento del Quindío.</t>
  </si>
  <si>
    <t>Servicios bibliotecarios</t>
  </si>
  <si>
    <t>330108500</t>
  </si>
  <si>
    <t>Usuarios atendidos</t>
  </si>
  <si>
    <t xml:space="preserve">Implementación del programa "Tú y Yo Somos Cultura", para el fortalecimiento a la lectura,  escritura  y bibliotecas en el Departamento del Quindío   </t>
  </si>
  <si>
    <t xml:space="preserve">Incrementar la tasa de lectura  en el departamento del Quindío, a través del fortalecimiento del Plan Departamental de Lectura y Bibliotecas, con procesos de formación, producción y circulación de contenidos literarios con el fin de lograr  mayor acceso de las población a los servicios bibliotecarios físicos y virtuales..    </t>
  </si>
  <si>
    <t>Servicio de divulgación y publicaciones</t>
  </si>
  <si>
    <t>330110000</t>
  </si>
  <si>
    <t>Publicaciones realizadas</t>
  </si>
  <si>
    <t>Servicio de asistencia técnica en gestión artística y cultural</t>
  </si>
  <si>
    <t>330109500</t>
  </si>
  <si>
    <t>Personas asistidas técnicamente</t>
  </si>
  <si>
    <t xml:space="preserve">Apoyo artistas y gestores culturales  del departamento del Quindío con el  beneficio de la Seguridad Social.  </t>
  </si>
  <si>
    <t xml:space="preserve">Aumentar la tasa de participación en procesos y actividades artísticas y culturales de los artistas y gestores del departamento del Quindío con la  implementación de los beneficios de la seguridad Social.  </t>
  </si>
  <si>
    <t>Gestión, protección y salvaguardia del patrimonio cultural colombiano. "Tú y yo protectores del patrimonio cultural"</t>
  </si>
  <si>
    <t>Gestión, protección y salvaguardia del patrimonio cultural colombiano</t>
  </si>
  <si>
    <t>Tasa de cumplimiento al Plan de Biocultura en patrimonio y del PCC.
Tasa de consumo de sustancias psicoactivas por 100.000 habitantes en el departamento del Quindío.</t>
  </si>
  <si>
    <t>Servicio de asistencia técnica en el manejo y gestión del patrimonio arqueológico, antropológico e histórico.</t>
  </si>
  <si>
    <t>330204200</t>
  </si>
  <si>
    <t xml:space="preserve">Asistencias técnicas realizadas a entidades territoriales </t>
  </si>
  <si>
    <t xml:space="preserve">Apoyo al Paisaje, Café y Tradición mediante procesos de manejo, gestión, asistencia técnica, divulgación y publicación del patrimonio, arqueológico, antropológico e histórico en el Departamento del Quindío </t>
  </si>
  <si>
    <t>Aumentar la tasa de cumplimiento del  Plan de Biocultura en patrimonio y PCC,   a través de la implementación del programa de asistencia técnica en el manejo y gestión del patrimonio arqueológico, antropológico e histórico, qué permita  la apropiación, divulgación y publicación del Patrimonio cultural y del Paisaje Cultural Cafetero</t>
  </si>
  <si>
    <t>Servicio de divulgación y publicación del Patrimonio cultural</t>
  </si>
  <si>
    <t>330207000</t>
  </si>
  <si>
    <t>Secretaría de Turismo Industria y Comercio</t>
  </si>
  <si>
    <t>Comercio, Industria y Turismo</t>
  </si>
  <si>
    <t xml:space="preserve">Productividad y competitividad de las empresas "Tú y yo con empresas competitivas" </t>
  </si>
  <si>
    <t xml:space="preserve">Productividad y competitividad de las empresas colombianas </t>
  </si>
  <si>
    <t>Índice Departamental de Competitividad
Tasa de desempleo</t>
  </si>
  <si>
    <t>Servicio de apoyo y consolidación de las Comisiones Regionales de Competitividad - CRC</t>
  </si>
  <si>
    <t>350200600</t>
  </si>
  <si>
    <t xml:space="preserve">Planes de trabajo concertados con las CRC para su consolidación </t>
  </si>
  <si>
    <t xml:space="preserve">Fortalecimiento de la competitividad y productividad en el  departamento del Quindío </t>
  </si>
  <si>
    <t>Incrementar en índice de competitividad en el Departamento del Quindío, a través  de la consolidación de la Comisión Regional de Competitividad e Innovación y en apoyo a  las iniciativas clúster,  vinculando en sector público,  privado y la academia.</t>
  </si>
  <si>
    <t>Servicio de asistencia técnica para el desarrollo de iniciativas Clústeres</t>
  </si>
  <si>
    <t>350200700</t>
  </si>
  <si>
    <t>Clústeres asistidos en la implementación de los planes de acción</t>
  </si>
  <si>
    <t>Servicio de asistencia técnica a las MiPymes para el acceso a nuevos mercados</t>
  </si>
  <si>
    <t>350202200</t>
  </si>
  <si>
    <t>Empresas asistidas técnicamente</t>
  </si>
  <si>
    <t>Fortalecimiento del sector empresarial  para el acceso a nuevos mercados en el departamento del Quindío</t>
  </si>
  <si>
    <t>Incrementar en índice de competitividad en el Departamento del Quindío,  a través de fortalecimiento del sector empresarial,  con el propósito de incrementar la competitividad para  en  acceso a nuevos mercados locales e internacionales.</t>
  </si>
  <si>
    <t>Índice Departamental de Competitividad Turística
Tasa de desempleo</t>
  </si>
  <si>
    <t>Servicio de asistencia técnica a los entes territoriales para el desarrollo turístico</t>
  </si>
  <si>
    <t>350203900</t>
  </si>
  <si>
    <t>Mejoramiento de la competitividad del  departamento como destino turístico  sostenible y de calidad .</t>
  </si>
  <si>
    <t>Incrementar en índice de competitividad   turística en el Departamento del Quindío, a  través de la Formulación e implementación  del Plan Estratégico de Turismo, de procesos de asistencia técnica y apoyo a los municipios  en la certificación  de las  normas técnicas sectoriales de turismo,  con el propósito de ofrecer  un destino turístico sostenible,  competitivo y de calidad a nivel nacional e internacional.</t>
  </si>
  <si>
    <t>Proyectos de infraestructura turística apoyados</t>
  </si>
  <si>
    <t>Servicio de promoción turística</t>
  </si>
  <si>
    <t>350204600</t>
  </si>
  <si>
    <t>Campañas realizadas</t>
  </si>
  <si>
    <t xml:space="preserve">Fortalecimiento de la promoción turística del destino Quindío a nivel  nacional e internacional </t>
  </si>
  <si>
    <t>Incrementar en índice de competitividad   turística,  a través de la promoción del departamento como destino turístico y en  fortalecimiento de las  Agencias de Inversión   con la articulación de  instituciones,  gremios y demás actores del sector.</t>
  </si>
  <si>
    <t>Trabajo</t>
  </si>
  <si>
    <t>Generación y formalización del empleo. "Tú y yo con empleo de calidad"</t>
  </si>
  <si>
    <t>Generación y formalización del empleo</t>
  </si>
  <si>
    <t>Servicios de apoyo financiero para la creación de empresas</t>
  </si>
  <si>
    <t>360201800</t>
  </si>
  <si>
    <t>Planes de negocio financiados</t>
  </si>
  <si>
    <t>Apoyo a la generación y formalización del empleo en el departamento del Quindío</t>
  </si>
  <si>
    <t>Incrementar en índice de competitividad  en el departamento del Quindío a través de la  formalización laboral y  generación de empleo con la  implementación  y promoción  del Ecosistemas de Emprendimientos  y la articulación con las entidades del sector trabajo.</t>
  </si>
  <si>
    <t>Servicio de asesoría técnica para el emprendimiento.</t>
  </si>
  <si>
    <t>360203201</t>
  </si>
  <si>
    <t>Emprendimientos fortalecidos</t>
  </si>
  <si>
    <t>Servicio de asistencia técnica para la generación y formalización del empleo</t>
  </si>
  <si>
    <t>360202904</t>
  </si>
  <si>
    <t>Talleres de oferta institucional realizados</t>
  </si>
  <si>
    <t>Servicio de información y monitoreo del mercado de trabajo</t>
  </si>
  <si>
    <t>360203000</t>
  </si>
  <si>
    <t>Reportes realizados</t>
  </si>
  <si>
    <t>Secretaría de Agricultura Desarrollo Rural y Medio Ambiente</t>
  </si>
  <si>
    <t>Inclusión productiva de pequeños productores rurales. "Tú y yo con oportunidades para el pequeño campesino"</t>
  </si>
  <si>
    <t>Inclusión productiva de pequeños productores rurales</t>
  </si>
  <si>
    <t>Servicio de asesoría para el fortalecimiento de la asociatividad</t>
  </si>
  <si>
    <t>170201100</t>
  </si>
  <si>
    <t>Asociaciones fortalecidas</t>
  </si>
  <si>
    <t xml:space="preserve">Fortalecimiento e implementación de procesos de asociatividad y emprendimiento rural en el Departamento del Quindío.  </t>
  </si>
  <si>
    <t>Aumentar en crecimiento económico del sector agropecuario (PIB), a través del  fortalecimiento de las organizaciones de  productores, mediante acciones de capacitación, acompañamiento, asesoría y seguimiento,  para el fomento de la cultura de la asociatividad.</t>
  </si>
  <si>
    <t>Servicio de apoyo financiero para proyectos productivos</t>
  </si>
  <si>
    <t>170200700</t>
  </si>
  <si>
    <t>Proyectos productivos cofinanciados</t>
  </si>
  <si>
    <t>Servicio de apoyo financiero para el acceso a activos productivos y de comercialización</t>
  </si>
  <si>
    <t>170200900</t>
  </si>
  <si>
    <t>Productores apoyados con activos productivos y de comercialización</t>
  </si>
  <si>
    <t>Servicio de apoyo para el fomento organizativo de la agricultura campesina, familiar y comunitaria</t>
  </si>
  <si>
    <t>170201700</t>
  </si>
  <si>
    <t>Productores agropecuarios apoyados</t>
  </si>
  <si>
    <t xml:space="preserve">Implementación de procesos productivos agropecuarios familiares campesinos en busca de la soberanía y seguridad alimentaria en el Departamento del Quindío </t>
  </si>
  <si>
    <t>Aumentar en crecimiento económico del sector agropecuario (PIB), a través  del  acompañamiento técnico a los productores en la producción primaria ( Transferencia  de  Tecnología, financiación, Insumos, reconversión productiva, seguridad,  soberanía alimentaria, normalización de la  calidad  de  los  productos e  infraestructura  productiva  y  de  servicios),  con el propósito de consolidar en liderazgo  empresarial, la  asociatividad,  las  alianzas  estratégicas,  las  cadenas productivas y la cooperación  técnica.</t>
  </si>
  <si>
    <t>Servicio de apoyo para el acceso a maquinaria y equipos</t>
  </si>
  <si>
    <t>170201400</t>
  </si>
  <si>
    <t>Productores beneficiados con acceso a maquinaria y equipo</t>
  </si>
  <si>
    <t>Servicio de acompañamiento productivo y empresarial</t>
  </si>
  <si>
    <t>170202100</t>
  </si>
  <si>
    <t>Unidades productivas beneficiadas</t>
  </si>
  <si>
    <t>Servicio de apoyo a la comercialización</t>
  </si>
  <si>
    <t>170203800</t>
  </si>
  <si>
    <t>Organizaciones de productores formales apoyadas</t>
  </si>
  <si>
    <t xml:space="preserve">Fortalecimiento e implementación  de procesos de mercadeo y comercialización agropecuaria  en el Departamento del Quindío.                </t>
  </si>
  <si>
    <t>Aumentar en crecimiento económico del sector agropecuario (PIB), a través de la Formulación  e implementación de  programas y proyectos  integrales sostenibles,  mejoramiento de la  gestión de la calidad,   desarrollo de nuevos productos, inteligencia de mercados, estrategias de mercadeo y comercialización, sistemas de información, infraestructura y equipamiento.</t>
  </si>
  <si>
    <t>170203801</t>
  </si>
  <si>
    <t>Productores apoyados para la participación en mercados campesinos</t>
  </si>
  <si>
    <t>170202301</t>
  </si>
  <si>
    <t>Planes de Desarrollo Agropecuario y Rural elaborados</t>
  </si>
  <si>
    <t>Implementación de procesos de extensión agropecuaria e inocuidad (estatus sanitario, BPA, BPG) alimentaria; en el Departamento del Quindío</t>
  </si>
  <si>
    <t>Aumentar en crecimiento económico del sector agropecuario (PIB),  a través del desarrollo de  lineamientos para el fortalecimiento de habilidades, competencias técnicas, humanas,  financieras y estratégicas de los productores, para fortalecer la competitividad y sostenibilidad territorial del sector agropecuario.</t>
  </si>
  <si>
    <t>Servicios de acompañamiento en la implementación de planes de desarrollo agropecuario y rural</t>
  </si>
  <si>
    <t>170202400</t>
  </si>
  <si>
    <t>Planes de Desarrollo Agropecuario y Rural acompañados</t>
  </si>
  <si>
    <t>Servicio de apoyo en la formulación y estructuración de proyectos</t>
  </si>
  <si>
    <t>170202500</t>
  </si>
  <si>
    <t>Proyectos estructurados</t>
  </si>
  <si>
    <t xml:space="preserve">Servicio de apoyo en la formulación y estructuración de proyectos de Desarrollo Rural e inclusión productiva  campesina en el Departamento del Quindío  </t>
  </si>
  <si>
    <t>Aumentar en crecimiento económico del sector agropecuario (PIB),  a través de la Formulación  e implementación de  programas y proyectos qué permitan  en ajuste, fortalecimiento  y la  articulación  interinstitucional  pública, privada y académica, en cuanto a la  operativización de las competencias de investigación, educación,  extensión  y  asistencia  técnica  agropecuaria sostenible.</t>
  </si>
  <si>
    <t>Servicios financieros y gestión del riesgo para las actividades agropecuarias y rurales. "Tú y yo con un campo protegido"</t>
  </si>
  <si>
    <t>Servicios financieros y gestión del riesgo para las actividades agropecuarias y rurales</t>
  </si>
  <si>
    <t>Servicio de apoyo a la implementación de mecanismos y herramientas para el conocimiento, reducción y manejo de riesgos agropecuarios</t>
  </si>
  <si>
    <t>170301300</t>
  </si>
  <si>
    <t>Personas beneficiadas</t>
  </si>
  <si>
    <t xml:space="preserve">Apoyo a la Implementación de procesos para la prevención y mitigación de riesgos naturales del sector agropecuario en el Departamento del Quindío.  </t>
  </si>
  <si>
    <t>Aumentar en crecimiento económico del sector agropecuario (PIB), a través  del acompañamiento técnico, económico a los productores en la prevención y mitigación de riesgos naturales , gestionando en desarrollo y fortalecimiento de capacidades y habilidades técnicas, mediante transferencia de innovaciones tecnológicas y provisión de bienes y servicios.</t>
  </si>
  <si>
    <t>Ordenamiento social y uso productivo del territorio rural. "Tú y yo con un campo planificado"</t>
  </si>
  <si>
    <t>Ordenamiento social y uso productivo del territorio rural</t>
  </si>
  <si>
    <t>170400203</t>
  </si>
  <si>
    <t>Documentos de lineamientos para el ordenamiento social y productivo elaborados</t>
  </si>
  <si>
    <t>Implementación de procesos de ordenamiento productivo y social territorial en el Departamento del Quindío</t>
  </si>
  <si>
    <t>Aumentar en crecimiento económico del sector agropecuario (PIB), a través de la formulación  e implementación  de programas y proyectos agropecuarios, sostenibles, de reconversión productiva, para ajustar en uso de la tierra acorde con su aptitud, aunando esfuerzos para mejorar la formalización de la propiedad rural, siguiendo los lineamientos del Plan de Ordenamiento Productivo y Social de la Propiedad Rural (POPSPR).</t>
  </si>
  <si>
    <t>Servicio de apoyo para el fomento de la formalidad</t>
  </si>
  <si>
    <t>170401700</t>
  </si>
  <si>
    <t xml:space="preserve">Personas sensibilizadas en la formalización </t>
  </si>
  <si>
    <t>Aprovechamiento de mercados externos. "Tú y yo a los mercados internacionales"</t>
  </si>
  <si>
    <t>Aprovechamiento de mercados externos</t>
  </si>
  <si>
    <t>Servicio de apoyo financiero para la participación en ferias nacionales e internacionales</t>
  </si>
  <si>
    <t>170600400</t>
  </si>
  <si>
    <t>Participaciones en ferias nacionales e internacionales</t>
  </si>
  <si>
    <t xml:space="preserve"> Fortalecimiento de eventos y  ferias para la competitividad productiva y empresarial del sector rural en el Departamento del Quindío </t>
  </si>
  <si>
    <t xml:space="preserve"> Aumentar en crecimiento económico del sector agropecuario (PIB),  a través del comercio interior  y exterior, inteligencia de mercados,  sistemas de información, acompañamiento  y  financiación  en mercadeo y  comercialización.</t>
  </si>
  <si>
    <t>Sanidad agropecuaria e inocuidad agroalimentaria. "Tú y yo con un agro saludable"</t>
  </si>
  <si>
    <t xml:space="preserve">Sanidad agropecuaria e inocuidad agroalimentaria </t>
  </si>
  <si>
    <t>Servicio de divulgación y socialización</t>
  </si>
  <si>
    <t>170706900</t>
  </si>
  <si>
    <t>Eventos realizados</t>
  </si>
  <si>
    <t xml:space="preserve">Implementación de procesos de  sanidad e inocuidad alimentaria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</si>
  <si>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t>
  </si>
  <si>
    <t>Ciencia, tecnología e innovación agropecuaria. "Tú y yo con un agro interconectado"</t>
  </si>
  <si>
    <t>Ciencia, tecnología e innovación agropecuaria</t>
  </si>
  <si>
    <t>170801600</t>
  </si>
  <si>
    <t>Documentos de lineamientos técnicos elaborados</t>
  </si>
  <si>
    <t xml:space="preserve"> Implementación de procesos de innovación, ciencia y tecnología agropecuario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</si>
  <si>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 mediante la implementación de  sistemas de información y  metodologías del SNCCTI y SNIA, en el marco de la adopción e implementación de las Agendas de Competitividad, PEDCTI,  PECTIA, POPSPR y PDEA, entre otras.</t>
  </si>
  <si>
    <t>Servicio de información actualizado</t>
  </si>
  <si>
    <t>170805100</t>
  </si>
  <si>
    <t>Sistemas de información actualizados</t>
  </si>
  <si>
    <t>Centros logísticos agropecuarios adecuados</t>
  </si>
  <si>
    <t xml:space="preserve">Implementación de procesos de agro industrialización con calidad e inocuidad en el Departamento del Quindío </t>
  </si>
  <si>
    <t xml:space="preserve"> Aumentar en crecimiento económico del sector agropecuario (PIB), a través del   fortalecimiento  y la  articulación  interinstitucional  pública, privada y académica, en cuanto a la  operativización de las competencias de investigación, educación,  extensión  y  asistencia  técnica agroindustrial, así  como  en  fomento  al  crédito, a la  infraestructura  productiva y en mejoramiento  continuo   de  la  calidad  de  vida  de  los  empresarios rurales.</t>
  </si>
  <si>
    <t>Infraestructura de pos cosecha adecuada</t>
  </si>
  <si>
    <t>170903400</t>
  </si>
  <si>
    <t>Servicio de procesamiento de caña panelera</t>
  </si>
  <si>
    <t>170909300</t>
  </si>
  <si>
    <t>Trapiches paneleros con servicio de procesamiento de caña.</t>
  </si>
  <si>
    <t>Crecimiento económico del sector agropecuario (PIB)
Tasa desempleo</t>
  </si>
  <si>
    <t>Servicio de asistencia técnica para emprendedores y/o empresas en edad temprana</t>
  </si>
  <si>
    <t>350201701</t>
  </si>
  <si>
    <t xml:space="preserve">Necesidades empresariales atendidas a partir de emprendimientos </t>
  </si>
  <si>
    <t xml:space="preserve">Fortalecimiento  de nuevos emprendimientos e iniciativas clúster de las cadenas promisorias agropecuarias en el Departamento del Quindío.                     </t>
  </si>
  <si>
    <t xml:space="preserve"> Aumentar en crecimiento económico del sector agropecuario (PIB),  a través de acciones de capacitación, acompañamiento, asesoría, y seguimiento en competencias administrativas, organizacionales, mercados, extensión, planes de negocio y coordinación interinstitucional para el fomento de la cultura de asociatividad mediante alianzas Clúster</t>
  </si>
  <si>
    <t>Servicio de asistencia técnica para el desarrollo de iniciativas clústeres</t>
  </si>
  <si>
    <t>3201</t>
  </si>
  <si>
    <t>Fortalecimiento del desempeño ambiental de los sectores productivos. "Tú y yo guardianes de la biodiversidad.</t>
  </si>
  <si>
    <t>Fortalecimiento del desempeño ambiental de los sectores productivos</t>
  </si>
  <si>
    <t>Documentos de lineamientos técnicos para mejorar la calidad ambiental de las áreas urbanas</t>
  </si>
  <si>
    <t>320101300</t>
  </si>
  <si>
    <t>Documentos de lineamientos técnicos para  mejorar la calidad ambiental de las áreas urbanas elaborados</t>
  </si>
  <si>
    <t xml:space="preserve">Fortalecimiento  de los procesos de Gestión Ambiental Urbana y Rural para la protección del Paisaje y la Biodiversidad en el  departamento del   Quindío  </t>
  </si>
  <si>
    <t>Incrementar en porcentaje de ecosistemas protegidos y/o en procesos de restauración en el Departamento, a través del apoyo a los entes territoriales en la generación de lineamientos técnicos qué permitan mejorar la gestión y manejo de los relictos boscosos, los humedales y la silvicultura en áreas urbanas mejorando la calidad ambiental del Departamento. Además,   de la realización de campañas de monitoreo de calidad del aire .</t>
  </si>
  <si>
    <t>Servicio de vigilancia de la calidad del aire</t>
  </si>
  <si>
    <t>320100805</t>
  </si>
  <si>
    <t>Campaña de monitoreo de calidad del aire realizadas</t>
  </si>
  <si>
    <t>Conservación de la biodiversidad y sus servicios ecosistémicos. "Tú y yo en territorios biodiversos"</t>
  </si>
  <si>
    <t>Conservación de la biodiversidad y sus servicios ecosistémicos</t>
  </si>
  <si>
    <t>Servicio de recuperación de cuerpos de agua lénticos y lóticos</t>
  </si>
  <si>
    <t>320203704</t>
  </si>
  <si>
    <t>Bosque ripario recuperado</t>
  </si>
  <si>
    <t xml:space="preserve">Generación y desarrollo de acciones para la conservación de las áreas de importancia estratégica hídrica en el Departamento del Quindío </t>
  </si>
  <si>
    <t xml:space="preserve">Incrementar en porcentaje de ecosistemas protegidos y/o en procesos de restauración en el Departamento, a través de la  Adquisición y Mantenimiento de áreas estratégicas  de protección, en cumplimiento de las disposiciones de la Ley 99 de 1993, los instrumentos de Planeación Ambiental (POMCA del Río La Vieja) ;   promoción y recuperación de los cuerpos hídricos  mediante en enriquecimiento de especies nativas en los bosques riparios y la  promoción y desarrollo de esquemas de pago por servicios ambientales qué incentiven  la preservación de áreas de importancia estratégica para la conservación del recurso hídrico en el departamento. </t>
  </si>
  <si>
    <t>Adquisición, mantenimiento y administración de áreas de importancia estratégica para la conservación y regulación del recurso hídrico.</t>
  </si>
  <si>
    <t xml:space="preserve">Número de Hectáreas intervenidas </t>
  </si>
  <si>
    <t>Extensión de cuerpos de agua recuperados</t>
  </si>
  <si>
    <t>Servicio apoyo financiero para la implementación de esquemas de pago por servicios ambientales</t>
  </si>
  <si>
    <t>Servicio apoyo financiero para la implementación de esquemas de pago por Servicios ambientales</t>
  </si>
  <si>
    <t>320201700</t>
  </si>
  <si>
    <t xml:space="preserve">Esquemas de pago por Servicio ambientales implementados </t>
  </si>
  <si>
    <t xml:space="preserve">Áreas con esquemas de pago por Servicios Ambientales implementados </t>
  </si>
  <si>
    <t xml:space="preserve">Estrategia  departamental para la protección y bienestar de los animales domésticos y silvestres del Departamento </t>
  </si>
  <si>
    <t>Servicio de educación informal en el marco de la conservación de la biodiversidad y los Servicio ecosistémicos</t>
  </si>
  <si>
    <t>Estrategia  para la protección y bienestar de los animales domésticos y silvestres adoptada</t>
  </si>
  <si>
    <t>Talleres realizados</t>
  </si>
  <si>
    <t xml:space="preserve">Apoyo a la generación de entornos  amigables para los animales  domésticos y silvestres en el departamento del Quindío </t>
  </si>
  <si>
    <t>Incrementar en porcentaje de ecosistemas protegidos y/o en procesos de restauración en el Departamento, a través de la implementación de  la estrategia “Quindío libre de maltrato animal”, en asocio con los diferentes sectores e instituciones del departamento, para  la protección de la fauna silvestre y doméstica,  qué generen en la  comunidad   concientización de la  tenencia responsable de mascotas y un departamento sin tráfico de fauna.</t>
  </si>
  <si>
    <t>Realizar  campaña  de sensibilización y apropiación del patrimonio ambiental en el Departamento</t>
  </si>
  <si>
    <t>Campaña  de sensibilización y apropiación del patrimonio ambiental realizada</t>
  </si>
  <si>
    <t xml:space="preserve">Realización de campañas de sensibilización y apropiación del patrimonio ambiental  del paisaje, la biodiversidad y sus servicios ecosistémicos en el Departamento del Quindío </t>
  </si>
  <si>
    <t>Incrementar en porcentaje de ecosistemas protegidos y/o en procesos de restauración en el Departamento,  a través de la realización de  campañas educativas ambientales qué permitan la apropiación y sensibilización del patrimonio ambiental y en Paisaje Cultural Cafetero,    en  los sectores institucionales, educativos y sociales, articulados con el Comité Interinstitucional de Educación Ambiental CIDEA y los Proyectos Educativos Ambientales PRAES.</t>
  </si>
  <si>
    <t>3204</t>
  </si>
  <si>
    <t>Gestión de la información y en conocimiento ambiental. "Tú y yo conscientes con la naturaleza"</t>
  </si>
  <si>
    <t xml:space="preserve">Gestión de la información y el conocimiento ambiental </t>
  </si>
  <si>
    <t>Servicio de apoyo financiero a emprendimientos</t>
  </si>
  <si>
    <t>320401200</t>
  </si>
  <si>
    <t xml:space="preserve">Emprendimientos apoyados </t>
  </si>
  <si>
    <t xml:space="preserve">Apoyo a nuevos modelos de vida sostenibles, sustentables y eficientes en el suelo rural y urbano en el Departamento del Quindío  </t>
  </si>
  <si>
    <t xml:space="preserve"> Incrementar en porcentaje de ecosistemas protegidos y/o en procesos de restauración en el Departamento, a través del apoyo a iniciativas de emprendimientos verdes qué incorporen conceptos de eficiencia ambiental como economía circular, carbono neutral, agricultura regenerativa  entre otros.</t>
  </si>
  <si>
    <t>3205009</t>
  </si>
  <si>
    <t>Barreras rompe vientos recuperadas</t>
  </si>
  <si>
    <t>320500900</t>
  </si>
  <si>
    <t>Barreras rompe vientos</t>
  </si>
  <si>
    <t>Implementación de un programa  de protección del  patrimonio ambiental  en paisaje la biodiversidad y sus servicios ecosistémicos en el Departamento de  Quindio</t>
  </si>
  <si>
    <t xml:space="preserve">Aumentar en porcentaje de ecosistemas protegidos y/o en procesos de restauración en el Departamento, a través de la implementación de  estrategias que permitan en desarrollo de acciones de adaptación y mitigación de los efectos del cambio climático con la  intervención de obras  de estabilización de taludes, control erosión  y barreras rompe vientos. </t>
  </si>
  <si>
    <t>3205014</t>
  </si>
  <si>
    <t>Obras para el control de erosión</t>
  </si>
  <si>
    <t>320501400</t>
  </si>
  <si>
    <t xml:space="preserve">Área reforestada </t>
  </si>
  <si>
    <t>3206</t>
  </si>
  <si>
    <t>Gestión del cambio climático para un desarrollo bajo en carbono y resiliente al clima. "Tú y yo preparados para el cambio climático"</t>
  </si>
  <si>
    <t>Gestión del cambio climático para un desarrollo bajo en carbono y resiliente al clima</t>
  </si>
  <si>
    <t>3206005</t>
  </si>
  <si>
    <t>Servicio de divulgación de la información en gestión del cambio climático para un desarrollo bajo en carbono y resiliente al clima</t>
  </si>
  <si>
    <t>320600500</t>
  </si>
  <si>
    <t xml:space="preserve">Campañas de información en gestión de cambio climático realizadas </t>
  </si>
  <si>
    <t>Implementación  de acciones de Gestión del Cambio Climático en el marco del PIGCC en el Departamento del Quindío  Quindio</t>
  </si>
  <si>
    <t xml:space="preserve">Aumentar en porcentaje de ecosistemas protegidos y/o en procesos de restauración en el Departamento,  a través   de  la realización de campañas educativas ambientales,  Servicios de producción de Plántulas  en viveros  e instalación de estufas ecoeficientes,   qué permitan la protección de patrimonio ambiental,  en paisaje, la biodiversidad y sus servicios ecosistémicos. </t>
  </si>
  <si>
    <t>Servicio de producción de plántulas en viveros</t>
  </si>
  <si>
    <t>320601400</t>
  </si>
  <si>
    <t>Plántulas producidas</t>
  </si>
  <si>
    <t>3206015</t>
  </si>
  <si>
    <t>Estufas ecoeficientes</t>
  </si>
  <si>
    <t>320601500</t>
  </si>
  <si>
    <t>Estufas ecoeficientes instaladas y en operación</t>
  </si>
  <si>
    <t>Desarrollo de  la Política  de Transparencia, Acceso a la Información Pública y Lucha Contra la Corrupción del Modelo Integrado de Planificación y Gestión MIPG, articulada con el "Pacto por la Integridad , Transparencia y Legalidad" del Gobierno Nacional</t>
  </si>
  <si>
    <t xml:space="preserve">Política de Transparencia, Acceso a la Información Pública y Lucha Contra la Corrupción  articulada   con el "Pacto por la Integridad , Transparencia y Legalidad" del Gobierno Nacional desarrollada.                                                                                   </t>
  </si>
  <si>
    <t>Herramientas implementada</t>
  </si>
  <si>
    <t>Implementación de la Política de Transparencia, Acceso a la Información Pública y Lucha Contra la Corrupción del Modelo Integrado de Planificación y Gestión MIPG, articulada con el "Pacto por la Integridad, Transparencia y Legalidad"  en el Departamento del Quindío</t>
  </si>
  <si>
    <t>Aumentar Índice de Gestión del Modelo Integrado de Planeación y de Gestión MIPG  del Departamento del Quindío, a través de desarrollo de la Política de Transparencia, Acceso a la Información Pública y Lucha Contra la Corrupción del Modelo Integrado de Planificación y Gestión MIPG, articulada con el "Pacto por la Integridad, Transparencia y Legalidad" del Gobierno Nacional, basado en la generación de cambios culturales en la institucionalidad y la ciudadanía.</t>
  </si>
  <si>
    <t>Desarrollo e implementación de la estrategia de comunicaciones para la Administración Departamental</t>
  </si>
  <si>
    <t>Estrategia de comunicaciones desarrollada e implementada</t>
  </si>
  <si>
    <t>Desarrollo e implementación de  una estrategia  de comunicaciones  de la gestión institucional  de la Administración Departamental del Quindío "Hacia un  gobierno abierto".</t>
  </si>
  <si>
    <t>Aumentar Índice de Gestión del Modelo Integrado de Planeación y de Gestión MIPG  del Departamento del Quindío, a través del desarrollo e implementación de la estrategia de comunicaciones para la administración departamental,  conducente a la divulgación de la  oferta institucional a nivel departamental, nacional e internacional, con el propósito de acercar a la comunidad y en Estado, incrementado de esta forma, la participación de los diferentes actores de la gestión territorial.</t>
  </si>
  <si>
    <t xml:space="preserve">Encuentros ciudadanos en el Departamento del Quindío en aplicación de la Política de Transparencia, Acceso a la Información Pública y Lucha contra la Corrupción.  </t>
  </si>
  <si>
    <t>Encuentros  ciudadanos realizados.</t>
  </si>
  <si>
    <t>Fortalecimiento de  las capacidades institucionales de la administración departamental del Quindío, para generar condiciones de gobernanza territorial, participación, administración eficiente y transparente.</t>
  </si>
  <si>
    <t xml:space="preserve">Incrementar en porcentaje promedio  de participación de ciudadanos en los eventos de elección popular,  a través de la realización de  encuentros ciudadanos como un mecanismo de gobernabilidad para identificar los problemas y necesidades más sentidas de la comunidad, enmarcado en la generación de soluciones adecuadas, a través de la ejecución de proyectos qué propicien en desarrollo territorial participativo e incluyente </t>
  </si>
  <si>
    <t>Secretaría de Educación</t>
  </si>
  <si>
    <t>Tasa de cobertura bruta en educación básica
Tasa de cobertura en educación media
Tasa de Analfabetismo
Tasa de deserción escolar intra-anual
Tasa de repitencia</t>
  </si>
  <si>
    <t>Servicio educación formal por modelos educativos flexibles</t>
  </si>
  <si>
    <t>Beneficiarios atendidos con modelos educativos flexibles</t>
  </si>
  <si>
    <t>Fortalecimiento de Estrategias de Acceso, Bienestar y Permanencia en el Sector Educativo del Departamento del Quindío</t>
  </si>
  <si>
    <t>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t>
  </si>
  <si>
    <t>Tasa de deserción escolar intra -anual</t>
  </si>
  <si>
    <t>Servicio de fomento para la permanencia en programas de educación formal</t>
  </si>
  <si>
    <t>Personas beneficiarias de estrategias de permanencia</t>
  </si>
  <si>
    <t xml:space="preserve">Tasa de Analfabetismo </t>
  </si>
  <si>
    <t>Servicio de alfabetización</t>
  </si>
  <si>
    <t xml:space="preserve">Personas beneficiarias con modelos de alfabetización </t>
  </si>
  <si>
    <t xml:space="preserve">Tasa de cobertura bruta en educación básica
Tasa de cobertura en educación media
</t>
  </si>
  <si>
    <t>Servicio de apoyo para la implementación de la estrategia educativa del sistema de responsabilidad penal para adolescentes</t>
  </si>
  <si>
    <t>Entidades Territoriales certificadas con asistencia técnica para el fortalecimiento de la estrategia educativa del sistema de responsabilidad penal para adolescentes</t>
  </si>
  <si>
    <t>Tasa de cobertura bruta en transición
Tasa de cobertura bruta en educación básica
Tasa de cobertura en educación media
Tasa de deserción escolar intra-anual
Tasa de repitencia</t>
  </si>
  <si>
    <t>Servicio de apoyo para el fortalecimiento de escuelas de padres</t>
  </si>
  <si>
    <t>Escuelas de padres apoyadas</t>
  </si>
  <si>
    <t>Servicio de apoyo a la permanencia con alimentación escolar</t>
  </si>
  <si>
    <t>Beneficiarios de la alimentación escolar</t>
  </si>
  <si>
    <t>Servicio de apoyo a la permanencia con transporte escolar</t>
  </si>
  <si>
    <t>Beneficiarios de transporte escolar</t>
  </si>
  <si>
    <t>Infraestructura de Instituciones Educativas con procesos constructivos, mejorados, ampliados, mantenidos, y/o reforzados.</t>
  </si>
  <si>
    <t xml:space="preserve">Sedes mantenidas </t>
  </si>
  <si>
    <t xml:space="preserve">Tasa de cobertura bruta en transición
Tasa de cobertura bruta en educación básica
Tasa de cobertura en educación media 
Tasa de deserción escolar intra-anual </t>
  </si>
  <si>
    <t>Estudios de preinversión</t>
  </si>
  <si>
    <t>Estudios o diseños realizados</t>
  </si>
  <si>
    <t>Infraestructura educativa dotada</t>
  </si>
  <si>
    <t>Sedes dotadas</t>
  </si>
  <si>
    <t>Cobertura en asistencia técnica a la educación inicial (0 a 4 años)</t>
  </si>
  <si>
    <t>Servicio de información para la gestión de la educación inicial y preescolar en condiciones de calidad</t>
  </si>
  <si>
    <t xml:space="preserve">Entidades territoriales que hacen seguimiento a las condiciones de calidad de los prestadores de educación inicial o preescolar a través del Sistema de Información de Primera Infancia -SIPI- </t>
  </si>
  <si>
    <t>Fortalecimiento para la gestión de la educación inicial y preescolar en el marco de la atención integral a la primera infancia en el Departamento del Quindío.</t>
  </si>
  <si>
    <t>Aumentar las coberturas de asistencia técnica en educación inicial y transición en el departamento del Quindío, a través de estrategias de mejoramiento de la calidad de la educación inicial en el nivel de preescolar en los Establecimientos Educativos Oficiales del departamento con la  apropiación de  políticas  y  lineamientos pedagógicos expedidos por el Ministerio de Educación Nacional.</t>
  </si>
  <si>
    <t>Tasa de cobertura bruta en transición</t>
  </si>
  <si>
    <t>Servicio de atención integral para la primera infancia</t>
  </si>
  <si>
    <t>Instituciones educativas oficiales que implementan en nivel preescolar en el marco de la atención integral</t>
  </si>
  <si>
    <t>Porcentaje de pruebas SABER 5 Lenguaje (nivel Insuficiente) 
Porcentaje de pruebas SABER 5 Matemáticas (nivel Insuficiente) 
Porcentaje de pruebas SABER 9 Lenguaje (nivel Insuficiente)  
Porcentaje de pruebas SABER 9 Matemáticas (nivel Insuficiente) 
Porcentaje de Colegios pruebas SABER 11 con resultado A+ - A</t>
  </si>
  <si>
    <t>Servicio de evaluación de la calidad de la educación preescolar, básica o media.</t>
  </si>
  <si>
    <t>Estudiantes evaluados con pruebas de calidad educativa</t>
  </si>
  <si>
    <t>Fortalecimiento de la Calidad Educativa con inclusión y equidad para el Desarrollo Integral de niños, niñas, adolescentes y jóvenes en el Departamento del Quindío.</t>
  </si>
  <si>
    <t>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t>
  </si>
  <si>
    <t>Tasa de cobertura bruta en transición
Tasa de cobertura bruta en educación básica
Tasa de cobertura en educación media 
Tasa de deserción escolar intra-anual 
Cobertura de Instituciones Educativas con Planes Escolares de Gestión del Riesgo de Desastres-PEGERD</t>
  </si>
  <si>
    <t>Servicio de acondicionamiento de ambientes de aprendizaje</t>
  </si>
  <si>
    <t>Ambientes de aprendizaje en funcionamiento</t>
  </si>
  <si>
    <t>Servicio de fortalecimiento a las capacidades de los docentes de educación inicial, preescolar, básica y media</t>
  </si>
  <si>
    <t>Docentes de educación inicial, preescolar, básica y media beneficiados con estrategias de mejoramiento de sus capacidades</t>
  </si>
  <si>
    <t xml:space="preserve">Docentes y agentes educativos  de educación inicial, preescolar, básica y media beneficiados con estrategias de mejoramiento de sus capacidades </t>
  </si>
  <si>
    <t>Servicio de fortalecimiento a las capacidades de los docentes y agentes educativos en educación inicial o preescolar de acuerdo a los referentes nacionales</t>
  </si>
  <si>
    <t>Servicio de fortalecimiento a las capacidades de los docentes de educación Inicial, preescolar, básica y media</t>
  </si>
  <si>
    <t>Docentes y agentes educativos beneficiarios de Servicio de fortalecimiento a sus capacidades de acuerdo a los referentes nacionales</t>
  </si>
  <si>
    <t xml:space="preserve">Tasa de cobertura bruta en educación media 
Años promedio de estudio (población de 15 a 24 años) </t>
  </si>
  <si>
    <t>Servicio de articulación entre la educación media y el sector productivo.</t>
  </si>
  <si>
    <t xml:space="preserve">Programas y proyectos de educación pertinente articulados con el sector productivo </t>
  </si>
  <si>
    <t>Servicios de asistencia técnica en innovación educativa en la educación inicial, preescolar, básica y media</t>
  </si>
  <si>
    <t>Instituciones educativas asistidas técnicamente en innovación educativa</t>
  </si>
  <si>
    <t>Servicio de fomento para la prevención de riesgos sociales en entornos escolares</t>
  </si>
  <si>
    <t>Entidades territoriales con estrategias para la prevención de riesgos sociales en los entornos escolares implementadas</t>
  </si>
  <si>
    <t>Servicio de apoyo a proyectos pedagógicos productivos</t>
  </si>
  <si>
    <t>Proyectos apoyados</t>
  </si>
  <si>
    <t>Tasa de cobertura en educación superior</t>
  </si>
  <si>
    <t>Servicio de orientación vocacional</t>
  </si>
  <si>
    <t>Estudiantes vinculados a procesos de orientación vocacional</t>
  </si>
  <si>
    <t>Tasa de cobertura bruta en transición
Tasa de cobertura bruta en educación básica
Tasa de cobertura en educación media
Tasa de Analfabetismo
Tasa de deserción escolar intra-anual
Tasa de repitencia</t>
  </si>
  <si>
    <t>Servicio de asistencia técnica en educación inicial, preescolar, básica y media</t>
  </si>
  <si>
    <t>Entidades y organizaciones asistidas técnicamente</t>
  </si>
  <si>
    <t>Fortalecimiento territorial para una gestión educativa integral en la Secretaría de Educación Departamental del Quindío</t>
  </si>
  <si>
    <t>Aumentar las tasas de cobertura bruta y disminuir las tasas  repitencia y deserción escolar, a través del fortalecimiento  del seguimiento y evaluación de la gestión institucional, buscando potenciar en los diferentes equipos de trabajo, las capacidades para ejecutar procesos de gestión integrales y articulados en la prestación del servicio educativo de calidad</t>
  </si>
  <si>
    <t>Servicio de monitoreo y seguimiento a la gestión del sector educativo</t>
  </si>
  <si>
    <t>Entidades territoriales con seguimiento y evaluación a la gestión.</t>
  </si>
  <si>
    <t>Servicios de atención psicosocial a estudiantes y docentes</t>
  </si>
  <si>
    <t xml:space="preserve">Personas atendidas </t>
  </si>
  <si>
    <t>Servicio educativo</t>
  </si>
  <si>
    <t>Establecimientos educativos en operación</t>
  </si>
  <si>
    <t>Servicio de accesibilidad a contenidos web para fines pedagógicos</t>
  </si>
  <si>
    <t>Estudiantes con acceso a contenidos web en el establecimiento educativo</t>
  </si>
  <si>
    <t>Fortalecimiento de las  Tecnologías de Información y Comunicación TIC,  para una innovación educativa de calidad en el departamento del Quindío.</t>
  </si>
  <si>
    <t>Aumentar las tasas de cobertura bruta y disminuir las tasas  repitencia y deserción escolar a través de la implementación de  estrategias basadas en las Tecnologías de la Información para los Establecimientos  Educativos y la  Secretaria de Educación Departamental, permitiendo dar una respuesta pertinente a las necesidades en los diferentes recursos tecnológicos, propiciando una Gestión Educativa Integral.</t>
  </si>
  <si>
    <t>Establecimientos educativos conectados a internet</t>
  </si>
  <si>
    <t>Documento para la planeación estratégica en TI</t>
  </si>
  <si>
    <t>Planes de mejoramiento de los sistemas de información de las secretarías de educación implementados</t>
  </si>
  <si>
    <t>Documentos de planeación para la educación inicial, preescolar, básica y media emitidos</t>
  </si>
  <si>
    <t>Porcentaje de estudiantes de grado 11 con dominio de inglés a nivel B1 (preintermedio)</t>
  </si>
  <si>
    <t>Servicio educativos de promoción del bilingüismo</t>
  </si>
  <si>
    <t>Estudiantes beneficiados con estrategias de promoción del bilingüismo</t>
  </si>
  <si>
    <t>Fortalecimiento de las competencias comunicativas en lengua extranjera en estudiantes y docentes de las instituciones educativas oficiales del Departamento del Quindío.</t>
  </si>
  <si>
    <t>Aumentar en porcentaje de estudiantes de grado 11 con dominio de inglés a nivel B1 (preintermedio) a través del fortalecimiento del nivel de inglés de los niños, niñas y jóvenes qué asisten a las Instituciones Educativas Oficiales del Departamento del Quindío.</t>
  </si>
  <si>
    <t>Servicios educativos de promoción del bilingüismo</t>
  </si>
  <si>
    <t>Instituciones educativas fortalecidas en competencias comunicativas en un segundo idioma</t>
  </si>
  <si>
    <t>Servicio educativo de promoción del bilingüismo para docentes</t>
  </si>
  <si>
    <t>Docentes beneficiados con estrategias de promoción del bilingüismo</t>
  </si>
  <si>
    <t>Implementación del observatorio de educación, con el fin de recopilar y producir información del sector educativo con enfoque territorial.</t>
  </si>
  <si>
    <t>Aumentar las tasas de cobertura bruta y disminuir las tasas  repitencia y deserción escolar, a través del diseño e implementación en   Observatorio de Investigación, Innovación y Documentación Educativa del Departamento del Quindío.</t>
  </si>
  <si>
    <t>Servicios de información en materia educativa</t>
  </si>
  <si>
    <t>Observatorio implementado</t>
  </si>
  <si>
    <t>Fortalecimiento de la educación media para la articulación con la educación superior o terciaria. "Tú y yo preparados para la educación superior"</t>
  </si>
  <si>
    <t xml:space="preserve">Calidad y fomento de la educación superior </t>
  </si>
  <si>
    <t>Servicio de apoyo para el acceso y la permanencia a la educación superior o terciaria</t>
  </si>
  <si>
    <t>Estrategias o programas de  fomento para  acceso y  permanencia a la educación superior o terciaria implementados</t>
  </si>
  <si>
    <t>Estrategias y programas de  fomento para acceso y  permanencia a la educación superior o postsecundaria implementados</t>
  </si>
  <si>
    <t>Fortalecimiento de estrategias para el acceso y la permanencia  de los estudiantes egresados de los Establecimientos Educativos Oficiales a la educación superior o terciaria en el Departamento del Quindío.</t>
  </si>
  <si>
    <t>Aumentar la tasa de cobertura en educación superior,  a través del fortalecimiento del acceso y la permanencia de los estudiantes egresados de los Establecimientos Educativos Oficiales   adscritos a la Secretaría de Educación Departamental a la educación técnica, tecnológica o superior.</t>
  </si>
  <si>
    <t>Ciencia, Tecnología e Innovación</t>
  </si>
  <si>
    <t>Generación de una cultura que valora y gestiona en conocimiento y la innovación.</t>
  </si>
  <si>
    <t>Generación de una cultura que valora y gestiona el conocimiento y la innovación</t>
  </si>
  <si>
    <t xml:space="preserve">
Tasa de cobertura bruta en educación básica
Tasa de cobertura en educación media
</t>
  </si>
  <si>
    <t>Servicio para el fortalecimiento de capacidades institucionales para el fomento de vocación científica</t>
  </si>
  <si>
    <t>Instituciones educativas qué participan en programas que fomentan la cultura de la Ciencia, la Tecnología y la Innovación fortalecidas</t>
  </si>
  <si>
    <t>Instituciones educativas que participan en programas qué fomentan la cultura de la Ciencia, la Tecnología y la Innovación fortalecidas</t>
  </si>
  <si>
    <t>Implementación  y fortalecimiento de  las estrategias qué fomenten la ciencia, la tecnología y la innovación en las Instituciones Educativas Oficiales del Departamento.</t>
  </si>
  <si>
    <t xml:space="preserve">Aumentar las tasas de cobertura bruta en educación  básica y media, a través de la  Promoción  de  la investigación en los estudiantes  matriculados en las Instituciones Educativas Oficiales del Departamento del Quindío, a través de la Ciencia, Tecnología y la Innovación. </t>
  </si>
  <si>
    <t>Secretaría de Familia</t>
  </si>
  <si>
    <t>Salud y protección social</t>
  </si>
  <si>
    <t>Salud Pública, "Tú y yo con salud de calidad"</t>
  </si>
  <si>
    <t xml:space="preserve">Salud pública </t>
  </si>
  <si>
    <t>Razón de mortalidad materna (por 100.000 nacidos vivos)
Porcentaje de atención institucional del parto.
Tasa  de mujeres de 10 a 14 años qué han sido madres o están en embarazo.
Tasa de mujeres de 15 a 19 años qué han sido madres o están en embarazo.
Prevalencia de VIH/SIDA en población de 15 a 49 años de edad.
Tasa de mortalidad asociada a VIH/SIDA.
Porcentaje transmisión materno -infantil del VIH.
Cobertura de tratamiento antirretroviral</t>
  </si>
  <si>
    <t xml:space="preserve">Servicio de gestión del riesgo en temas de salud sexual y reproductiva </t>
  </si>
  <si>
    <t>Campañas de gestión del riesgo en temas de salud sexual y reproductiva implementadas.</t>
  </si>
  <si>
    <t xml:space="preserve">Diseño e implementación de campañas para la promoción de la vida y prevención del consumo de sustancias psicoactivas en el Departamento del Quindío. "TU Y YO UNIDOS POR LA VIDA".  </t>
  </si>
  <si>
    <t xml:space="preserve">Disminuir las tasas  de mortalidad materna, embarazos, violencia y suicidios en el Departamento del Quindío, a través del fomento de  hábitos de vida saludables y derechos sexuales y reproductivos. </t>
  </si>
  <si>
    <t>Tasa de violencia de género.
Tasa de Suicidio  x 100.000 Habitantes en el Departamento del Quindío.
Tasa de suicidios en niños y niñas ( 6 a 11 años)
Tasa de suicidios en adolescentes (12 a 17 años)
Tasa de suicidios (18 - 28 años)Tasa de Consumo de Sustancias Psicoactivas  x 100.000 Habitantes en el Departamento del Quindío.</t>
  </si>
  <si>
    <t xml:space="preserve">Servicio de gestión del riesgo en temas de trastornos mentales </t>
  </si>
  <si>
    <t>Campañas de gestión del riesgo en temas de trastornos mentales implementadas</t>
  </si>
  <si>
    <t>Cobertura  de municipios   con  jóvenes en riesgo psicosocial impactados en los  barrios vulnerables del Departamento del Quindío</t>
  </si>
  <si>
    <t>Servicio de educación informal al sector artístico y cultural</t>
  </si>
  <si>
    <t>Capacitaciones de educación informal realizadas</t>
  </si>
  <si>
    <t xml:space="preserve">Implementación acciones de fortalecimiento  de los entornos protectores de los jóvenes en barrios vulnerables de los municipios, del Departamento del Quindío. </t>
  </si>
  <si>
    <t>Aumentar la cobertura  de municipios con jóvenes en riesgo psicosocial impactados en los barrios vulnerables del Departamento del Quindío, a través de la implementación de acciones que permitan fortalecer los entornos protectores de los jóvenes en riesgo psicosocial por consumo de sustancias psicoactivas, comportamiento suicida, Violencia Intrafamiliar, en barrios vulnerables, de los municipios, del Departamento del Quindío.</t>
  </si>
  <si>
    <t>Inclusión social y Reconciliación</t>
  </si>
  <si>
    <t>Desarrollo Integral de Niños, Niñas, Adolescentes y sus Familias. "Tú y yo niños, niñas y adolescentes con desarrollo integral"</t>
  </si>
  <si>
    <t>Desarrollo integral de la primera infancia a la juventud, y fortalecimiento de las capacidades de las familias de niñas, niños y adolescentes</t>
  </si>
  <si>
    <t xml:space="preserve">Cobertura en la  implementación del  Modelo de entornos protectores y atención integral de   la primera infancia </t>
  </si>
  <si>
    <t xml:space="preserve">Diseñar e implementar un modelo de atención integral en entornos protectores para la primera infancia </t>
  </si>
  <si>
    <t>Modelo de atención integral de entornos protectores implementado</t>
  </si>
  <si>
    <t xml:space="preserve">Diseño e implementación de un  Modelo de  atención integral a la primera infancia  a través de las Rutas Integrales de Atención  RIA en el Departamento del  Quindío </t>
  </si>
  <si>
    <t>Aumentar la cobertura en la implementación del Modelo de Entornos Protectores y Atención Integral de la Primera Infancia, a través de la atención integral a los niños y niñas, promoviendo la aplicabilidad de las rutas integrales de atención y  entornos protectores seguros en el departamento Quindío.</t>
  </si>
  <si>
    <t xml:space="preserve">Cobertura  en la  implementación y seguimiento de las   Rutas integrales de atención  a la primera infancia </t>
  </si>
  <si>
    <t xml:space="preserve">Implementar y realizar seguimiento a las rutas integrales de atención </t>
  </si>
  <si>
    <t xml:space="preserve">Servicio de atención integral a la primera infancia </t>
  </si>
  <si>
    <t xml:space="preserve">Número de rutas integrales de atención  a la  primera infancia implementadas y con seguimiento </t>
  </si>
  <si>
    <t>Niños y niñas atendidos en servicio integrales</t>
  </si>
  <si>
    <t>Tasa de Violencia Intrafamiliar x 100.000 Habitantes en el Departamento del Quindío.
Tasa de violencia de pareja cuando la víctima está entre los 18 y 28 años 
Tasa de violencia de Género
Tasa de Suicidio  x 100.000 Habitantes en el Departamento del Quindío.
Tasa  de Niños, Niñas y Adolescentes qué participan en una actividad remunerada  o no  x cada 100.000 habitantes  en el departamento del Quindío
Tasa  de mujeres de 12 a 14 años qué han sido madres o están en embarazo X 100.000 habitantes en el Departamento del Quindío
Cobertura a los grupos de adulto mayor del departamento del Quindío en articulación con los Municipios, en el marco de garantizar estimulación física, cognitiva, emocional y social en bienestar de una vejez activa y saludable</t>
  </si>
  <si>
    <t xml:space="preserve">Implementar la  política pública para la protección, en fortalecimiento y en desarrollo integral de la familia Quindiana </t>
  </si>
  <si>
    <t>4102043</t>
  </si>
  <si>
    <t xml:space="preserve">Servicio de promoción de temas de dinámica relacional y desarrollo autónomo </t>
  </si>
  <si>
    <t>Política Pública de Familia  implementada</t>
  </si>
  <si>
    <t>410204300</t>
  </si>
  <si>
    <t>Familias atendidas</t>
  </si>
  <si>
    <t xml:space="preserve"> Implementación de la  política pública  de Familia para la  promoción  del desarrollo integral de la población del Departamento del Quindío. </t>
  </si>
  <si>
    <t xml:space="preserve">Disminuir las tasas de violencia intrafamiliar, suicidio y embarazos en el departamento del Quindío a través del Desarrollo de  estrategias,  programas y proyectos en el marco de la implementación y seguimiento de la Política Pública de Familia para promover en desarrollo integral de la población. </t>
  </si>
  <si>
    <t>.- Tasa de violencia contra niños y niñas o a 5 años       
.- Tasa de violencia contra niños y niñas de 6 a 11 años
.- Tasa de violencia contra niños y niñas de 12 a 17 años
-Tasa de niños, niñas y adolescentes víctimas de violencia sexual  x 100 mil habitantes   en el Departamento del Quindío
-Tasa de suicidios en adolescentes (12 a 17 años)
-Tasa  de Niños, Niñas y Adolescentes qué participan en una actividad remunerada  o no  x cada 100.000 habitantes  en el departamento del Quindío
-Tasa  de mujeres de 12 a 14 años qué han sido madres o están en embarazo X 100.000 habitantes en el Departamento del Quindío
-Tasa de Consumo de Sustancias Psicoactivas  x 100.000 Habitantes en el Departamento del Quindío.</t>
  </si>
  <si>
    <t>Implementar  la política pública de primera infancia, infancia y adolescencia</t>
  </si>
  <si>
    <t>Servicio de promoción de temas de dinámica relacional y desarrollo autónomo</t>
  </si>
  <si>
    <t xml:space="preserve">Política Pública de Primera Infancia, Infancia y Adolescencia implementada. </t>
  </si>
  <si>
    <t>Niños, niñas y adolescentes atendidos</t>
  </si>
  <si>
    <t xml:space="preserve">Revisión, ajuste  e implementación de  la política pública de primera infancia, infancia y adolescencia en el Departamento del Quindío  </t>
  </si>
  <si>
    <t xml:space="preserve">Disminuir las tasa de violencia  contra niños, niñas y adolescentes, embarazos a temprana edad y consumo de sustancias psicoactivas en el Departamento del Quindío, a través del desarrollo de estrategias, proyectos y programas en el marco de la implementación y seguimiento de la Política Pública de Primera Infancia, Infancia y Adolescencia, al igual que su ajuste, para promover en desarrollo integral de la población. </t>
  </si>
  <si>
    <t>Tasa de Suicidio  x 100.000 Habitantes en el Departamento del Quindío.
Tasa de violencia de pareja cuando la víctima está entre los 18 y 28 años 
Tasa de violencia de Género
Tasa de Violencia Intrafamiliar x 100.000 Habitantes en el Departamento del Quindío.
Tasa de Consumo de Sustancias Psicoactivas  x 100.000 Habitantes en el Departamento del Quindío.
Cobertura de adolescentes y jóvenes atendidos en Post egreso, en los servicios de restablecimiento en la administración de justicia.
Cobertura  de municipios   con  jóvenes en riesgo psicosocial impactados en los  Barrios vulnerables del Departamento del Quindío</t>
  </si>
  <si>
    <t xml:space="preserve">Implementar  la política pública de juventud </t>
  </si>
  <si>
    <t>Servicio dirigidos a la atención de niños, niñas, adolescentes y jóvenes, con enfoque pedagógico y restaurativo encaminados a la inclusión social</t>
  </si>
  <si>
    <t>Política Pública de Juventud implementada</t>
  </si>
  <si>
    <t>Niños, niñas, adolescentes y jóvenes atendidos en los servicios de restablecimiento en la administración de justicia</t>
  </si>
  <si>
    <t xml:space="preserve">Implementación de  la política pública de juventud en el Departamento del Quindío  </t>
  </si>
  <si>
    <t xml:space="preserve"> Disminuir las tasa de violencia intrafamiliar,  consumo de sustancias psicoactivas y suicidio en el Departamento del Quindío a través de la revisión, ajuste e implementación la política pública de juventud con el propósito de desarrollar estrategias, programas y acciones acordes  con la normatividad y las nuevas dinámicas sociales. </t>
  </si>
  <si>
    <t>Tasa de Violencia Intrafamiliar x 100.000 Habitantes en el Departamento del Quindío.
Tasa de violencia de Género</t>
  </si>
  <si>
    <t>Rutas integrales de atención en violencia intrafamiliar y  violencia de género</t>
  </si>
  <si>
    <t>Servicio de asistencia técnica a comunidades en temas de fortalecimiento del tejido social y construcción de escenarios comunitarios protectores de derechos</t>
  </si>
  <si>
    <t>Capacitación en activación de las Rutas Integrales de Atención en Violencia Intrafamiliar y de Género, a trabajadores de Supermercados y Tenderos de los Municipios realizadas</t>
  </si>
  <si>
    <t>Acciones ejecutadas con las comunidades</t>
  </si>
  <si>
    <t xml:space="preserve">Diseño e implementación del programa de acompañamiento familiar y comunitario con enfoque preventivo en los tipos de violencia en el Departamento del Quindío "TU Y YO COMPROMETIDOS CON LA FAMILIA" </t>
  </si>
  <si>
    <t xml:space="preserve"> Disminuir las tasa de violencia   intrafamiliar y de género en el Departamento del Quindío , a través de la  articulación de acciones  con aliados estratégicos para capacitar a trabajadores de Supermercados y “tenderos” de los barrios, en la activación de Rutas Integrales de Atención en Violencia Intrafamiliar y Violencia de género. </t>
  </si>
  <si>
    <t>Cobertura de atención de niños y niñas en Hogar Infantil Nocturno, hijos de trabajadoras sexuales en el Departamento del Quindío</t>
  </si>
  <si>
    <t xml:space="preserve">Atención integral a niños y niñas en primera infancia en espacios socialmente no convencionales: tiempos no convencionales </t>
  </si>
  <si>
    <t>Servicio de atención integral a la primera infancia</t>
  </si>
  <si>
    <t xml:space="preserve">Atención integral a niños y niñas en primera infancia en espacios socialmente no convencionales implementados </t>
  </si>
  <si>
    <t>Niños y niñas atendidos en servicios integrales</t>
  </si>
  <si>
    <t xml:space="preserve">Diseño e implementación del programa comunitario para la prevención de los derechos de niños, niñas y adolescentes y su desarrollo integral. "TU Y YO COMPROMETIDOS CON LOS SUEÑOS". </t>
  </si>
  <si>
    <t xml:space="preserve"> Disminución de la Tasa de Violencia Intrafamiliar y  aumento de la cobertura de atención de niños y niñas en Hogar Infantil Nocturno, hijos de trabajadoras sexuales en el Departamento del Quindío, a través del diseño e implementación   de un programa comunitario para la   prevención y garantía de los derechos de los niños, niñas y adolescentes  buscando disminuir la violencia intrafamiliar en el departamento del Quindío en espacios socialmente no convencionales. </t>
  </si>
  <si>
    <t>Tasa de Violencia Intrafamiliar x 100.000 Habitantes en el Departamento del Quindío.
Tasa de violencia contra niños y niñas o a 5 años       
Tasa de violencia contra niños y niñas de 6 a 11 años
Tasa de violencia contra niños y niñas de 12 a 17 años
Tasa de niños, niñas y adolescentes víctimas de violencia sexual  x 100 mil habitantes   en el Departamento del Quindío
Tasa de violencia de pareja cuando la víctima está entre los 18 y 28 años 
Tasa de violencia de Género</t>
  </si>
  <si>
    <t>Servicio de divulgación para la promoción y prevención de los derechos de los niños, niñas y adolescentes</t>
  </si>
  <si>
    <t xml:space="preserve">Servicios de promoción de los derechos de los niños, niñas, adolescentes y jóvenes </t>
  </si>
  <si>
    <t>410202200</t>
  </si>
  <si>
    <t xml:space="preserve">Eventos de divulgación realizados </t>
  </si>
  <si>
    <t xml:space="preserve">Campañas de promoción realizadas </t>
  </si>
  <si>
    <t>Cobertura de adolescentes y jóvenes atendidos en Post egreso, en los servicios de restablecimiento en la administración de justicia.</t>
  </si>
  <si>
    <t>Servicios dirigidos a la atención de niños, niñas, adolescentes y jóvenes, con enfoque pedagógico y restaurativo encaminados a la inclusión social</t>
  </si>
  <si>
    <t>Servicio de atención Post egreso de adolescentes y jóvenes, en los servicios de restablecimiento en la administración de justicia, con enfoque pedagógico y restaurativo encaminados a la inclusión social en el  Departamento del   Quindío.</t>
  </si>
  <si>
    <t xml:space="preserve">Aumentar la cobertura de adolescentes y jóvenes atendidos en Post egreso, en los servicios de restablecimiento en la administración de justicia,  a través del desarrollo  de acciones encaminadas a reconocer, garantizar y permitir en goce efectivo de los derechos de los adolescentes y jóvenes del departamento del Quindío, promoviendo su integralidad, realización, protección y sostenibilidad. </t>
  </si>
  <si>
    <t xml:space="preserve">Cobertura de municipios del departamento apoyados con  emprendimientos juveniles </t>
  </si>
  <si>
    <t>Servicio de asistencia técnica para fortalecimiento de unidades productivas colectivas para la generación de ingresos</t>
  </si>
  <si>
    <t>Unidades productivas colectivas con asistencia técnica</t>
  </si>
  <si>
    <t xml:space="preserve">Fortalecimiento  de unidades productivas colectivas  juveniles para la generación de ingresos  en el departamento del Quindío  </t>
  </si>
  <si>
    <t>Aumentar la cobertura de municipios del departamento apoyados con  emprendimientos juveniles,   a través del fortalecimiento de los procesos de asistencia técnica en temas de formalización y comercialización.</t>
  </si>
  <si>
    <t>Cobertura para la atención al ciudadano migrante a través del plan de atención y de repatriación.</t>
  </si>
  <si>
    <t xml:space="preserve">Mecanismos de articulación implementados para la gestión de oferta social </t>
  </si>
  <si>
    <t xml:space="preserve">mecanismos de articulación implementados para la gestión de oferta social </t>
  </si>
  <si>
    <t xml:space="preserve">Formulación  e Implementación del  programa departamental para atención al ciudadano migrante y de repatriación.  </t>
  </si>
  <si>
    <t xml:space="preserve">Aumentar la cobertura para la atención al ciudadano migrante a través del plan de atención y de repatriación </t>
  </si>
  <si>
    <t>Servicio de acompañamiento familiar y comunitario para la superación de la pobreza</t>
  </si>
  <si>
    <t>Comunidades con acompañamiento familiar.</t>
  </si>
  <si>
    <t xml:space="preserve">Desarrollo de un  programa  de acompañamiento  familiar y comunitario  en procesos de Inclusión social y productivos para el emprendimiento de  alternativas de generación de ingresos  en el departamento del Quindío  </t>
  </si>
  <si>
    <t>Disminuir  la tasa de violencia intrafamiliar en el departamento del Quindío, a través de  procesos de acompañamiento familiar y comunitario a hogares de los doce municipios en condiciones de vulnerabilidad por “violencia intrafamiliar,” a través del desarrollo de programas de Inclusión social y productivos qué les permita emprender alternativas de generación de ingresos y   mejorar   las relaciones de convivencia en el entorno familiar y social.</t>
  </si>
  <si>
    <t xml:space="preserve">Cobertura de municipios del departamento con procesos de implementación de proyectos  productivos  para las personas con discapacidad </t>
  </si>
  <si>
    <t>Servicio de apoyo para el fortalecimiento de unidades productivas colectivas para la generación de ingresos</t>
  </si>
  <si>
    <t>Unidades productivas colectivas fortalecidas</t>
  </si>
  <si>
    <t xml:space="preserve">Formulación e implementación   de proyectos productivos  dirigidos a  la población en condición  de  discapacidad y sus familias para la generación de  ingresos  y fortalecimiento del entorno familiar.  </t>
  </si>
  <si>
    <t>Aumentar la cobertura de municipios del departamento con procesos de implementación de proyectos  productivos  para las personas con discapacidad, a través de la  formulación e implementación  de proyectos productivos qué garanticen a las personas con discapacidad y sus familias, ingresos económicos para satisfacer sus necesidades básicas.</t>
  </si>
  <si>
    <t xml:space="preserve">Tasa planes de vida de los cabildos  indígenas construidos e implementados </t>
  </si>
  <si>
    <t xml:space="preserve">Apoyar la construcción e Implementación de los  Planes de vida de los cabildos Indígenas asentados en el Departamento del Quindío </t>
  </si>
  <si>
    <t>Documento de lineamientos técnicos</t>
  </si>
  <si>
    <t xml:space="preserve">Planes de vida de los cabildos indígenas  construidos  e implementados </t>
  </si>
  <si>
    <t xml:space="preserve">Documentos de lineamientos técnicos elaborados </t>
  </si>
  <si>
    <t xml:space="preserve">Apoyo en la construcción e Implementación de los Planes de Vida de los Cabildos y Resguardos indígenas  asentados en el Departamento del Quindío "TU Y YO UNIDOS CON DIGNIDAD".  </t>
  </si>
  <si>
    <t>Incrementar la tasa planes de vida de los cabildos y resguardos   indígenas construidos e implementados, por medio del apoyo en  la construcción e implementación de los  mismos, como instrumentos de planeación organización y preservación de la historia y la cultura.</t>
  </si>
  <si>
    <t>Tasa de  planes de vida de los resguardos  indígenas construidos e implementados</t>
  </si>
  <si>
    <t xml:space="preserve">Apoyar la construcción e Implementación de los  Planes de vida de los resguardos indígenas  asentados en el Departamento del Quindío </t>
  </si>
  <si>
    <t xml:space="preserve">Planes de vida de los resguardos indígenas  construidos  e implementados </t>
  </si>
  <si>
    <t>Cobertura  de población diferencial,  comunidades negras, afros raizales y Palenqueras asentadas en el departamento del Quindío con una  política pública .</t>
  </si>
  <si>
    <t>Formular e implementar la política pública para la comunidad negra, afrocolombiana, raizal y palenquera residente en el Departamento del Quindío</t>
  </si>
  <si>
    <t xml:space="preserve">Política Pública para la comunidad negra, afrocolombiana, raizal y palenquera residente en el departamento del Quindío formulada e implementada </t>
  </si>
  <si>
    <t xml:space="preserve">Formulación e implementación de la política pública para la comunidad negra, afrocolombiana, raizal y palenquera residente en el Departamento del Quindío   </t>
  </si>
  <si>
    <t>Aumentar la cobertura  de población diferencial,  comunidades negras, afros raizales y Palenquearas asentadas en el departamento del Quindío con una  política publicación en propósito de garantizar la protección de derechos y la atención integral  con enfoque diferencial de las comunidades.</t>
  </si>
  <si>
    <t>Atención integral de población en situación permanente de desprotección social y/o familiar "Tú y yo con atención integral"</t>
  </si>
  <si>
    <t>Cobertura de municipios atendidos  con el Banco de ayudas técnicas NO POS tipo Estándar, para las personas con discapacidad .</t>
  </si>
  <si>
    <t>Servicios de atención integral a población en condición de discapacidad</t>
  </si>
  <si>
    <t>Servicio de atención integral a población en condición de discapacidad</t>
  </si>
  <si>
    <t xml:space="preserve">Personas atendidas con servicios integrales de atención </t>
  </si>
  <si>
    <t>Personas con discapacidad atendidas con servicios integrales</t>
  </si>
  <si>
    <t xml:space="preserve">Servicio de atención integral a población en condición de discapacidad en los municipios del Departamento del Quindío "TU Y YO JUNTOS EN LA INCLUSIÓN". </t>
  </si>
  <si>
    <t xml:space="preserve">Incrementar  la cobertura  de municipios del Departamento del Quindío  con programas  y banco de ayudas  para la Rehabilitación Basada en la Comunidad  RBC, a través del fortalecimiento de la capacidad  de atención integral  a población con discapacidad del departamento del Quindío. </t>
  </si>
  <si>
    <t>Cobertura  de municipios del Departamento del Quindío  con el   Programas  de Rehabilitación Basada en la Comunidad  RBC</t>
  </si>
  <si>
    <t xml:space="preserve">Estrategia de rehabilitación basada en la comunidad implementada en los municipios  </t>
  </si>
  <si>
    <t>Cobertura de municipios del departamento del Quindío, con programas de atención a la población habitante de calle.</t>
  </si>
  <si>
    <t>Servicio de articulación de oferta social para la población habitante de calle</t>
  </si>
  <si>
    <t xml:space="preserve">Servicio de atención integral al habitante de la calle </t>
  </si>
  <si>
    <t xml:space="preserve">Servicio de articulación habitante de calle implementado en los municipios </t>
  </si>
  <si>
    <t>Personas atendidas con servicios integrales</t>
  </si>
  <si>
    <t xml:space="preserve">Apoyo en  la articulación de la  oferta social para la población habitante de calle del departamento del Quindío  </t>
  </si>
  <si>
    <t xml:space="preserve">Aumentar la cobertura de municipios del departamento del Quindío, con programas de atención a la población habitante de calle a través de la coordinación y articulación  de la oferta social para la población en condición de calle en el departamento del Quindío. </t>
  </si>
  <si>
    <t xml:space="preserve">Cobertura a los grupos de adulto mayor del departamento del Quindío en articulación con los Municipios, en el marco de garantizar estimulación física, cognitiva, emocional y social en bienestar de una vejez activa y saludable </t>
  </si>
  <si>
    <t>Servicios de atención y protección integral al adulto mayor</t>
  </si>
  <si>
    <t>Centros de protección social de día para el adulto mayor construidos y dotados</t>
  </si>
  <si>
    <t xml:space="preserve">Adultos mayores atendidos con servicios integrales </t>
  </si>
  <si>
    <t>Centros de día para el adulto mayor construidos y dotados</t>
  </si>
  <si>
    <t xml:space="preserve">Servicio  de atención integral e inclusión para el bienestar de los adultos mayores del departamento del Quindío </t>
  </si>
  <si>
    <t>Disminuir Tasa de Suicidio  y Violencia Intrafamiliar , además del aumento de la Cobertura a los grupos de adulto mayor en programas  de estimulación física, cognitiva, emocional y social en bienestar de una vejez activa y saludable  y  en apoyo  a los   centros vida y de bienestar  con  recursos  de la  Estampilla Pro adulto Mayor  en el Departamento del Quindío.</t>
  </si>
  <si>
    <t>Cobertura  de  centros vida y centros de bienestar del adulto mayor (Legalmente constituidos)  apoyados con los recursos de la  Estampilla Pro adulto Mayor .</t>
  </si>
  <si>
    <t>Transferencia estampilla para el bienestar del adulto mayor</t>
  </si>
  <si>
    <t>Servicio de atención y protección integral al adulto mayor</t>
  </si>
  <si>
    <t>Municipios con recursos transferidos con la estampilla Departamental para el bienestar del adulto mayor</t>
  </si>
  <si>
    <t>Adultos mayores atendidos con servicios integrales</t>
  </si>
  <si>
    <t xml:space="preserve">Cobertura de Asociaciones de mujeres fortalecidas  </t>
  </si>
  <si>
    <t>Servicio de asesoría para el fortalecimiento de la Asociatividad</t>
  </si>
  <si>
    <t>170201102</t>
  </si>
  <si>
    <t>Asociaciones de mujeres fortalecidas</t>
  </si>
  <si>
    <t>Implementación de  estrategias de acompañamiento y asesoría a las asociaciones de mujeres del departamento del Quindío</t>
  </si>
  <si>
    <t xml:space="preserve">Aumentar la cobertura de Asociaciones de mujeres fortalecidas a través de la Implementación de  estrategias de acompañamiento y asesoría a las asociaciones de mujeres del departamento del Quindío con el propósito de brindar fortalecimiento  </t>
  </si>
  <si>
    <t>Derechos fundamentales del trabajo y fortalecimiento del diálogo social. "Tú y yo con una niñez protegida"</t>
  </si>
  <si>
    <t>Derechos fundamentales del trabajo y fortalecimiento del diálogo social</t>
  </si>
  <si>
    <t>Tasa  de Niños, Niñas y Adolescentes qué participan en una actividad remunerada  o no  x cada 100.000 habitantes  en el departamento del Quindío</t>
  </si>
  <si>
    <t>Servicio de educación informal para la prevención integral del trabajo infantil</t>
  </si>
  <si>
    <t>Desarrollo de jornadas de capacitación, sensibilización y prevención del  trabajo infantil  y protección del adolescente en el departamento del Quindío.</t>
  </si>
  <si>
    <t xml:space="preserve">Disminuir la Tasa  de Niños, Niñas y Adolescentes qué participan en una actividad remunerada  o no  x cada 100.000 habitantes  en el departamento del Quindío a través de jornadas de capacitación, sensibilización y prevención del  trabajo infantil  y protección del adolescente en el departamento del Quindío. </t>
  </si>
  <si>
    <t>Gobierno Territorial</t>
  </si>
  <si>
    <t>Tasa de participación femenina en cargos de elección popular en el departamento del Quindío</t>
  </si>
  <si>
    <t>Iniciativas para la promoción de la participación femenina en escenarios sociales y políticos implementada.</t>
  </si>
  <si>
    <t>Estrategias para el fomento de a la participación de las mujeres en los espacios de participación política y de toma de decisión implementadas</t>
  </si>
  <si>
    <t>Implementación del  programa de liderazgo  para la participación femenina en escenarios sociales y políticos del departamento del Quindío</t>
  </si>
  <si>
    <t xml:space="preserve">Aumentar la tasa de participación femenina en cargos de elección popular en el departamento del Quindío a través de la Implementación de un programa de liderazgo enfocado a las mujeres , con el propósito de incrementar la participación femenina en escenarios sociales y políticas </t>
  </si>
  <si>
    <t>Tasa de Suicidio  x 100.000 Habitantes en el Departamento del Quindío.
Tasa de Violencia Intrafamiliar x 100.000 Habitantes en el Departamento del Quindío.
Tasa de Consumo de Sustancias Psicoactivas  x 100.000 Habitantes en el Departamento del Quindío.
Tasa de violencia de Género</t>
  </si>
  <si>
    <t xml:space="preserve"> Implementar la política pública de equidad de género para la mujer </t>
  </si>
  <si>
    <t>Servicio de promoción de la garantía de derechos</t>
  </si>
  <si>
    <t>Política pública de la mujer y equidad de género   implementada.</t>
  </si>
  <si>
    <t>Estrategias de promoción de la garantía de derechos implementadas</t>
  </si>
  <si>
    <t xml:space="preserve">Implementación de la política pública de equidad de género para la mujer en el Departamento del Quindío  </t>
  </si>
  <si>
    <t>Disminuir la tasa de violencia  intrafamiliar, de género y embarazos a temprana edad, así  como en  aumento de la tasas de participación femenina en cargos de elección popular y fortalecimiento de las  asociaciones de mujeres a través de acciones encaminadas a la garantía de derechos de las mujeres,  promoción de su participación en el ámbito económico, social y cultural del departamento  Quindío.</t>
  </si>
  <si>
    <t>Implementar  la política  pública de diversidad sexual e identidad de género</t>
  </si>
  <si>
    <t>Política pública de diversidad sexual e identidad de género implementada.</t>
  </si>
  <si>
    <t xml:space="preserve">Implementación de la política pública  de diversidad sexual en el Departamento del Quindío 2019-2029  </t>
  </si>
  <si>
    <t xml:space="preserve">Disminuir  las tasa de suicidio, violencia intrafamiliar  consumo de sustancias psicoactivas  y violencia de género en el departamento del Quindío, a través de la implementación en la política pública de diversidad sexual e identidad de género con la participación de los diferente actores qué contribuyen  de manera integral a garantizar la visibilización, inclusión y mejoramiento de las condiciones de calidad de vida de la personas sexualmente diversas. </t>
  </si>
  <si>
    <t xml:space="preserve">Tasa de participación femenina en cargos de elección popular en el departamento del Quindío </t>
  </si>
  <si>
    <t>Casa de la Mujer Empoderada implementada</t>
  </si>
  <si>
    <t>Espacios generados para el fortalecimiento de capacidades institucionales del Estado</t>
  </si>
  <si>
    <t xml:space="preserve">Implementación de la Casa  de la Mujer Empoderada para la promoción a la participación ciudadana  de Mujeres en escenarios sociales, políticos y en fortalecimiento de la asociatividad  en el departamento del Quindío " TU Y YO CON LAS MUJERES EMPODERADAS." </t>
  </si>
  <si>
    <t>Mejorar las condiciones de calidad de vida de la población, en acceso incluyente y equitativo a la oferta de servicios del Estado y la ampliación de oportunidades para los Quindianos a través de la Implementación de la Casa de la Mujer Empoderada, para la  participación  y promoción de la  mujeres en escenarios sociales, políticos y productivos en el departamento del Quindío.</t>
  </si>
  <si>
    <t>Tasa de violencia de Género</t>
  </si>
  <si>
    <t>Casa Refugio de la Mujer implementada</t>
  </si>
  <si>
    <t>Implementación de la Casa Refugio de la Mujer del Departamento del Quindío</t>
  </si>
  <si>
    <t xml:space="preserve">Mejorar las condiciones de calidad de vida de la población, en acceso incluyente y equitativo a la oferta de servicios del Estado y la ampliación de oportunidades para los Quindianos a través de la implementación de la  Casa Refugia para la protección de la mujer víctima del departamento del Quindío. </t>
  </si>
  <si>
    <t>Secretaría de Salud</t>
  </si>
  <si>
    <t xml:space="preserve">Inspección, vigilancia y control. "Tú y yo con salud certificada" </t>
  </si>
  <si>
    <t>Inspección, vigilancia y control</t>
  </si>
  <si>
    <t>Mortalidad por diarreica aguda (EDA) menores 5 años (número de muertes anual)</t>
  </si>
  <si>
    <t>Servicio de concepto sanitario</t>
  </si>
  <si>
    <t>Servicio de registro sanitario</t>
  </si>
  <si>
    <t>Conceptos sanitarios expedidos</t>
  </si>
  <si>
    <t>Registros sanitarios expedidos</t>
  </si>
  <si>
    <t xml:space="preserve">Fortalecimiento de la autoridad sanitaria en el Departamento del Quindío                                                                                           </t>
  </si>
  <si>
    <t>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t>
  </si>
  <si>
    <t>Tasa de mortalidad en menores de 1 año (por 1000 nacidos vivos).</t>
  </si>
  <si>
    <t>Servicio de información de vigilancia epidemiológica</t>
  </si>
  <si>
    <t>Informes de evento generados en la vigencia</t>
  </si>
  <si>
    <t>Prevalencia de niños menores de 5 años con desnutrición aguda</t>
  </si>
  <si>
    <t>Servicio de asistencia técnica en inspección, vigilancia y control</t>
  </si>
  <si>
    <t>Asistencias técnica en Inspección, Vigilancia y Control realizadas</t>
  </si>
  <si>
    <t>Mortalidad por infección respiratoria aguda (IRA) menores 5 años (número de muertes anual)</t>
  </si>
  <si>
    <t>Realizar la vigilancia epidemiológica de plaguicidas en el marco del programa VEO (vigilancia epidemiológica de organofosforados y carba matos) en los municipios de competencia departamental.</t>
  </si>
  <si>
    <t>Servicio de asistencia técnica en inspección vigilancia y control</t>
  </si>
  <si>
    <t>Municipios con procesos de vigilancia epidemiológica de plaguicidas organofosforados y carbamatos realizados.</t>
  </si>
  <si>
    <t>Asistencias técnicas en inspección vigilacia y control realizadas</t>
  </si>
  <si>
    <t xml:space="preserve">Implementación del Modelo Operativo de Inspección, Vigilancia y Control IVC sanitario en los municipios de competencia departamental. </t>
  </si>
  <si>
    <t>Servicio de promoción, prevención, vigilancia y control de vectores y zoonosis</t>
  </si>
  <si>
    <t xml:space="preserve">Modelo de IVC sanitario operando </t>
  </si>
  <si>
    <t xml:space="preserve">Municipios categorías 4,5 y 6 que formulen y ejecuten real y efectivamente acciones de promoción, prevención, vigilancia  y control de vectores y zoonosis  realizados </t>
  </si>
  <si>
    <t>Mortalidad por dengue (casos)</t>
  </si>
  <si>
    <t>Municipios categorías 4, 5 y 6 qué formulen y ejecuten real y efectivamente acciones de promoción, prevención, vigilancia y control de vectores y zoonosis realizados</t>
  </si>
  <si>
    <t>Servicio de evaluación, aprobación y seguimiento de planes de gestión integral del riesgo</t>
  </si>
  <si>
    <t>Informes de evaluación, aprobación y seguimiento de Planes de Gestión Integral de Riesgo realizados</t>
  </si>
  <si>
    <t>Porcentaje de atención institucional del parto por personal calificado.</t>
  </si>
  <si>
    <t>Servicio de inspección, vigilancia y control</t>
  </si>
  <si>
    <t>visitas realizadas</t>
  </si>
  <si>
    <t>Visitas realizadas</t>
  </si>
  <si>
    <t>Porcentaje de población asegurada al SGSSS
Oportunidad en la presunción diagnóstica y tratamiento oncológico en menores de 18 años (alta y media)</t>
  </si>
  <si>
    <t>Documentos técnicos publicados y/o socializados</t>
  </si>
  <si>
    <t xml:space="preserve"> Implementación de programas de promoción social en poblaciones  especiales en el Departamento del Quindío </t>
  </si>
  <si>
    <t>Fortalecer la gestión intersectorial en salud de los grupos con alta vulnerabilidad</t>
  </si>
  <si>
    <t>Mortalidad por diarreica aguda (EDA) menores 5 años (número de muertes anual)
Prevalencia de niños menores de 5 años con desnutrición aguda
Índice de riesgo de la calidad de agua para consumo humano IRCA</t>
  </si>
  <si>
    <t>Servicio de análisis de laboratorio</t>
  </si>
  <si>
    <t>Análisis realizados</t>
  </si>
  <si>
    <t xml:space="preserve"> Fortalecimiento de las actividades de vigilancia y control del laboratorio de salud pública en el Departamento del Quindío</t>
  </si>
  <si>
    <t>Mejorar la capacidad analítica del LSP Departamental  para dar respuesta  a las necesidades del Sistema de Vigilancia en Salud Pública</t>
  </si>
  <si>
    <t>Tasa ajustada por edad de mortalidad asociada a cáncer de cuello uterino (por 100.000 mujeres).</t>
  </si>
  <si>
    <t>Servicio de auditoría y visitas inspectivas</t>
  </si>
  <si>
    <t>Auditorías y visitas inspectivas realizadas</t>
  </si>
  <si>
    <t>Tasa mortalidad en menores de 5 años (por 1.000 nacidos vivos).</t>
  </si>
  <si>
    <t xml:space="preserve">Informes de los resultados obtenidos en la vigilancia sanitaria </t>
  </si>
  <si>
    <t>Asistencias técnicas realizadas</t>
  </si>
  <si>
    <t xml:space="preserve"> Asistencia técnica para el fortalecimiento de la gestión de las entidades territoriales del Departamento del Quindío  </t>
  </si>
  <si>
    <t xml:space="preserve">Fortalecer los procesos de articulación y competencias territoriales en el sistema general de seguridad social en salud </t>
  </si>
  <si>
    <t>Oportunidad en la presunción diagnóstica y tratamiento oncológico en menores de 18 años (alta y media)</t>
  </si>
  <si>
    <t>Servicio de información para la gestión de la inspección, vigilancia y control sanitario</t>
  </si>
  <si>
    <t>Usuarios del sistema</t>
  </si>
  <si>
    <t>Asesoría y apoyo al proceso del sistema obligatorio de garantía de calidad de los prestadores de salud en el Departamento del Quindío</t>
  </si>
  <si>
    <t>Asegurar la implementación y cumplimiento de la totalidad de los estándares de Habilitación de acuerdo al nivel de complejidad.</t>
  </si>
  <si>
    <t>Razón de mortalidad materna (por 100.000 nacidos vivos)</t>
  </si>
  <si>
    <t>Servicio de certificaciones en buenas prácticas</t>
  </si>
  <si>
    <t>Certificaciones expedidas</t>
  </si>
  <si>
    <t>Porcentaje de población asegurada al SGSSS</t>
  </si>
  <si>
    <t>Servicios de comunicación y divulgación en inspección, vigilancia y control</t>
  </si>
  <si>
    <t>Eventos de rendición de cuentas realizados</t>
  </si>
  <si>
    <t xml:space="preserve">Apoyo operativo a la inversión social en salud en el Departamento del Quindío </t>
  </si>
  <si>
    <t xml:space="preserve">Fortalecer los procesos estratégicos, administrativos y misionales del sector salud en el departamento del Quindío  </t>
  </si>
  <si>
    <t>Porcentaje de nacidos vivos con 4 o más controles prenatales</t>
  </si>
  <si>
    <t>Servicio del ejercicio del procedimiento administrativo sancionatorio</t>
  </si>
  <si>
    <t xml:space="preserve">Procesos con aplicación del procedimiento administrativo sancionatorio tramitados </t>
  </si>
  <si>
    <t>Porcentaje transmisión materno -infantil del VIH.</t>
  </si>
  <si>
    <t>Servicio de Gestión de Peticiones, Quejas, Reclamos y Denuncias</t>
  </si>
  <si>
    <t>Preguntas Quejas Reclamos y Denuncias Gestionadas</t>
  </si>
  <si>
    <t>Tasa de violencia de género</t>
  </si>
  <si>
    <t>Servicio de implementación de estrategias para el fortalecimiento del control social en salud</t>
  </si>
  <si>
    <t>Estrategias para el fortalecimiento del control social en salud implementadas</t>
  </si>
  <si>
    <t>Salud pública</t>
  </si>
  <si>
    <t>Servicio de gestión del riesgo para temas de consumo, aprovechamiento biológico, calidad e inocuidad de los alimentos.</t>
  </si>
  <si>
    <t>Campañas de gestión del riesgo para temas de consumo, aprovechamiento biológico, calidad e inocuidad de los alimentos implementadas</t>
  </si>
  <si>
    <t xml:space="preserve">Aprovechamiento biológico y consumo de  alimentos inocuos  en el Departamento del Quindío </t>
  </si>
  <si>
    <t>Disminuir o mantener la proporción de niños menores de 5 años en riesgo de desnutrición moderada o severa aguda</t>
  </si>
  <si>
    <t>Servicios de promoción de la salud y prevención de riesgos asociados a condiciones no transmisibles</t>
  </si>
  <si>
    <t>Campañas de promoción de la salud y prevención de riesgos asociados a condiciones no transmisibles implementadas</t>
  </si>
  <si>
    <t>Tasa de mortalidad por malaria.</t>
  </si>
  <si>
    <t xml:space="preserve">Servicio de educación informal en temas de salud pública </t>
  </si>
  <si>
    <t>Control en Salud Ambiental para la consecución de un estado de vida saludable de la población  del  Departamento del Quindío.</t>
  </si>
  <si>
    <t>Disminuir  los factores de riesgo sanitarios y ambientales asociados a eventos de interés en salud pública relacionados con la salud ambiental como en aumento de la carga contaminante del agua, entre otros.</t>
  </si>
  <si>
    <t>Tasa  de mujeres de 10 a 14 años qué han sido madres o están en embarazo.
Tasa de mujeres de 15 a 19 años qué han sido madres o están en embarazo.</t>
  </si>
  <si>
    <t xml:space="preserve">Realizar seguimiento y monitoreo a las Entidades Administradoras de Planes Básicos EAPB en la implementación de la Ruta Integral de Atención para la Promoción y Mantenimiento de la Salud y Materno Perinatal en el Departamento  </t>
  </si>
  <si>
    <t>Servicio de promoción de la salud y prevención de riesgos asociados a condiciones no transmisibles (1905031)</t>
  </si>
  <si>
    <t>DNP</t>
  </si>
  <si>
    <t>Entidades Administradoras de Planes Básicos EAPB con Rutas de obligatorio cumplimiento Implementadas</t>
  </si>
  <si>
    <t>Campañas de promoción de la salud  y prevención de riesgos asociados a condiciones no transmisibles implementadas (190503100)</t>
  </si>
  <si>
    <t>Mortalidad por dengue (casos)
Letalidad por dengue.</t>
  </si>
  <si>
    <t>Formular en Plan de Fortalecimiento de Capacidades en Salud Ambiental en coordinación con el Consejo Territorial de Salud Ambiental COTSA</t>
  </si>
  <si>
    <t xml:space="preserve">Plan de Fortalecimiento de Capacidades en Salud Ambiental Formulado </t>
  </si>
  <si>
    <t>Implementar el protocolo de vigilancia sanitaria y ambiental de los efectos en salud relacionados con la contaminación del aire en los 11 municipios de competencia departamental.</t>
  </si>
  <si>
    <t>Servicio de gestión del riesgo para abordar situaciones de salud relacionadas con condiciones ambientales</t>
  </si>
  <si>
    <t>Protocolo implementado</t>
  </si>
  <si>
    <t>Campañas de gestión del riesgo para abordar situaciones de salud relacionadas con condiciones ambientales implementadas</t>
  </si>
  <si>
    <t>Formulación e implementación del Plan Departamental en Salud Ambiental de adaptación al cambio climático.</t>
  </si>
  <si>
    <t>Plan Departamental en Salud Ambiental de adaptación al cambio climático implementado</t>
  </si>
  <si>
    <t>Implementar la estrategia de entornos saludables en articulación intersectorial y sectorial en los entornos de vivienda, educativo, institucional y comunitario con énfasis en la Atención Primaria en Salud Ambiental APSA.</t>
  </si>
  <si>
    <t xml:space="preserve">Estrategia de entornos saludables en articulación intersectorial y sectorial implementada </t>
  </si>
  <si>
    <t xml:space="preserve">Implementación de la estrategia de movilidad saludable, segura y sostenible </t>
  </si>
  <si>
    <t xml:space="preserve">Estrategia de movilidad saludable, segura y sostenible   implementada </t>
  </si>
  <si>
    <t>Personas atendidas con campañas de gestión del riesgo para abordar situaciones de salud relacionadas con condiciones ambientales</t>
  </si>
  <si>
    <t xml:space="preserve">Fortalecimiento de acciones propias a los derechos sexuales y reproductivos en el Departamento del Quindío. </t>
  </si>
  <si>
    <t xml:space="preserve">Disminuir de los eventos de interés en salud pública relacionados con la salud sexual y reproductiva en especial de la mortalidad materna  </t>
  </si>
  <si>
    <t xml:space="preserve">Realizar seguimiento y Monitoreo a las Entidades Administradoras de Planes Básicos EAPB en la implementación de la Ruta Integral de Atención para la Promoción y Mantenimiento de la Salud y Materno Perinatal en el Departamento  </t>
  </si>
  <si>
    <t>Servicio de gestión del riesgo en temas de salud sexual y reproductiva (1905021)</t>
  </si>
  <si>
    <t>Campañas de gestión del riesgo en temas de salud sexual y reproductiva implementadas (190502100)</t>
  </si>
  <si>
    <t>Servicio de gestión del riesgo en temas de consumo de sustancias psicoactivas</t>
  </si>
  <si>
    <t>Campañas de gestión del riesgo en temas de consumo de sustancias psicoactivas implementadas</t>
  </si>
  <si>
    <t>Consolidación de acciones de promoción de la salud y prevención primaria en salud mental en el Departamento del Quindío.</t>
  </si>
  <si>
    <t>Disminuir la morbimortalidad asociada a la salud mental principalmente de la violencia intrafamiliar</t>
  </si>
  <si>
    <t>Generación de estilos de vida saludable y control y vigilancia en la gestión del riesgo de condiciones no transmisibles en el  Departamento del Quindío.</t>
  </si>
  <si>
    <t>Disminuir la carga de la enfermedad asociada a las enfermedades crónicas no trasmisibles</t>
  </si>
  <si>
    <t>Cobertura de vacunación con DPT en menores de 1 año
Cobertura de vacunación con Triple Viral en niños de 1 año
Cobertura útil con esquema completo de vacunación para la edad (triple viral a los 5 años)</t>
  </si>
  <si>
    <t>Cuartos fríos adecuados</t>
  </si>
  <si>
    <t xml:space="preserve">Fortalecimiento de acciones de promoción, prevención y protección específica para la población infantil en el Departamento del Quindío.  </t>
  </si>
  <si>
    <t>Reducir la exposición a condiciones y factores de riesgo ambientales, sanitarios y biológicos, de las contingencias y daños producidos por las enfermedades transmisibles</t>
  </si>
  <si>
    <t>Cobertura útil con esquema completo de vacunación para la edad (triple viral a los 5 años)
Mortalidad por infección respiratoria aguda (IRA) menores 5 años (número de muertes anual)
Mortalidad por diarreica aguda (EDA) menores 5 años (número de muertes anual)
Tasa de mortalidad por malaria.</t>
  </si>
  <si>
    <t>Servicio de gestión del riesgo para enfermedades emergentes, reemergentes y desatendidas</t>
  </si>
  <si>
    <t>Campañas de gestión del riesgo para enfermedades emergentes, reemergentes y desatendidas implementadas.</t>
  </si>
  <si>
    <t>Servicio de gestión del riesgo para enfermedades inmunoprevenibles</t>
  </si>
  <si>
    <t>Campañas de gestión del riesgo para enfermedades inmunoprevenibles  implementadas</t>
  </si>
  <si>
    <t>Mortalidad por dengue (casos) 
Letalidad por dengue.</t>
  </si>
  <si>
    <t xml:space="preserve">
190501500</t>
  </si>
  <si>
    <t xml:space="preserve">Difusión de la estrategia de gestión integral y de control en vectores, zoonosis y cambio climático del Departamento del Quindío.   </t>
  </si>
  <si>
    <t xml:space="preserve">Disminuir en índice de enfermedades trasmisión vectorial y zoonosis en la población   </t>
  </si>
  <si>
    <t xml:space="preserve">Fortalecimiento de la inclusión social para la disminución del riesgo de contraer enfermedades transmisibles en el Departamento del Quindío.  </t>
  </si>
  <si>
    <t xml:space="preserve">Aumentar la adherencia al tratamiento de los pacientes con diagnóstico de tuberculosis  </t>
  </si>
  <si>
    <t xml:space="preserve">Documentos de planeación en epidemiología y demografía elaborados </t>
  </si>
  <si>
    <t xml:space="preserve">Fortalecimiento del sistema de vigilancia en salud pública en el Departamento del Quindío. </t>
  </si>
  <si>
    <t xml:space="preserve"> Aumentar los índices de cumplimiento en los indicadores de calidad, cobertura y  oportunidad del sistema de vigilancia en salud pública departamental </t>
  </si>
  <si>
    <t>Porcentaje de atención institucional del parto.</t>
  </si>
  <si>
    <t>Centros reguladores de urgencias, emergencias y desastres funcionando y dotados</t>
  </si>
  <si>
    <t xml:space="preserve">Centros reguladores de urgencias, emergencias y desastres dotados </t>
  </si>
  <si>
    <t>Centros reguladores de urgencias, emergencias y desastres dotados y funcionando.</t>
  </si>
  <si>
    <t>Centros reguladores de urgencias, emergencias y desastres dotados</t>
  </si>
  <si>
    <t xml:space="preserve">Fortalecimiento de la red de urgencias y emergencias en el Departamento del Quindío. </t>
  </si>
  <si>
    <t>Fortalecer en la integración de la red hospitalaria del departamento del Quindío.</t>
  </si>
  <si>
    <t>Fortalecimiento de las intervenciones colectivas y prioridades en salud pública del Departamento del Quindío- PIC</t>
  </si>
  <si>
    <t>Disminuir la morbimortalidad asociada  a la carga de la enfermedad por los determinantes sociales fortaleciendo  las acciones de complementariedad  a los municipios</t>
  </si>
  <si>
    <t>Prestación de servicios de salud. "Tú y yo con servicios de salud"</t>
  </si>
  <si>
    <t>Aseguramiento y prestación integral de servicios de salud</t>
  </si>
  <si>
    <t>Cobertura de tratamiento antirretroviral</t>
  </si>
  <si>
    <t xml:space="preserve">Servicio de cofinanciación para la continuidad del  régimen subsidiado en salud  </t>
  </si>
  <si>
    <t xml:space="preserve">Servicio de tecnologías en salud financiadas con la unidad de pago por capitación - UPC </t>
  </si>
  <si>
    <t>Personas afiliadas</t>
  </si>
  <si>
    <t>Pacientes atendidos con tecnologías en salud financiados con cargo a los recursos de la UPC del Régimen Subsidiado</t>
  </si>
  <si>
    <t xml:space="preserve">Subsidio y cofinanciación al régimen subsidiado del Sistema General de Seguridad Social en Salud en el Departamento del Quindío.  </t>
  </si>
  <si>
    <t>Aumentar la cobertura universal en aseguramiento al sistema de atención integral y para la población del Departamento del Quindío</t>
  </si>
  <si>
    <t>Servicio de apoyo con tecnologías para prestación de servicios en salud</t>
  </si>
  <si>
    <t>Población inimputable atendida</t>
  </si>
  <si>
    <t>Pacientes atendidos con medicamentos en salud financiados con cargo a los recursos de la UPC del Régimen Subsidiado</t>
  </si>
  <si>
    <t>Prestación de Servicios a la Población no Afiliada al Sistema General de Seguridad Social en Salud y en el NO POS a la Población del Régimen Subsidiado.</t>
  </si>
  <si>
    <t xml:space="preserve">Mejoramiento en la prestación de los servicios de salud para la atención de la población no afiliada </t>
  </si>
  <si>
    <t>Servicios de reconocimientos para el cumplimiento de metas de calidad, financiera, producción y transferencias especiales.</t>
  </si>
  <si>
    <t xml:space="preserve">Servicio de apoyo financiero para el fortalecimiento patrimonial de las empresas prestadoras de salud con participación financiera de las entidades territoriales </t>
  </si>
  <si>
    <t>Porcentaje de recursos transferidos</t>
  </si>
  <si>
    <t>Empresas prestadoras de salud capitalizadas</t>
  </si>
  <si>
    <t>Servicios de reconocimientos de deuda</t>
  </si>
  <si>
    <t>Porcentaje de recursos pagados</t>
  </si>
  <si>
    <t>Tasa de mujeres de 15 a 19 años qué han sido madres o están en embarazo.</t>
  </si>
  <si>
    <t>Servicio de asistencia técnica a Instituciones prestadoras de servicios de salud</t>
  </si>
  <si>
    <t>Instituciones Prestadoras de Servicios de salud asistidas técnicamente</t>
  </si>
  <si>
    <t xml:space="preserve">Fortalecimiento de la red de prestación de servicios pública del Departamento del Quindío.   </t>
  </si>
  <si>
    <t>Aumento en la calidad del proceso de reporte, vigilancia y control del manejo de los recursos de salud en el Departamento del Quindío</t>
  </si>
  <si>
    <t>Cobertura útil con esquema completo de vacunación para la edad (triple viral a los 5 años)
Porcentaje de nacidos vivos con 4 o más controles prenatales</t>
  </si>
  <si>
    <t>Hospitales de primer nivel de atención dotados</t>
  </si>
  <si>
    <t>Servicio de apoyo a la prestación del servicio de transporte de pacientes</t>
  </si>
  <si>
    <t>Entidades de la red pública en salud apoyadas en la adquisición de ambulancias</t>
  </si>
  <si>
    <t>Servicio de tecnologías en salud financiadas con la unidad de pago por capitación - UPC (1906023)</t>
  </si>
  <si>
    <t>Pacientes atendidos</t>
  </si>
  <si>
    <t>Servicio de adopción y seguimiento de acciones y medidas especiales</t>
  </si>
  <si>
    <t>Acciones y medidas especiales ejecutadas</t>
  </si>
  <si>
    <t>Adaptar e implementar la política pública de salud mental para el Departamento del Quindío</t>
  </si>
  <si>
    <t xml:space="preserve">Política pública en Salud Mental adaptada e Implementada  </t>
  </si>
  <si>
    <t xml:space="preserve">
190501501</t>
  </si>
  <si>
    <t>Planes de salud pública elaborados</t>
  </si>
  <si>
    <t>Tasa ajustada por edad de mortalidad asociada a cáncer de cuello uterino (por 100.000 mujeres).
Oportunidad en la presunción diagnóstica y tratamiento oncológico en menores de 18 años (alta y media)</t>
  </si>
  <si>
    <t>Servicio de gestión del riesgo para abordar condiciones crónicas prevalentes</t>
  </si>
  <si>
    <t>Campañas de gestión del riesgo para abordar condiciones crónicas prevalentes implementadas</t>
  </si>
  <si>
    <t>Servicio de gestión del riesgo para enfermedades emergentes, reemergentes y desatendidas.</t>
  </si>
  <si>
    <t xml:space="preserve">Implementación de acciones para la contención de la pandemia Tú y Yo contra COVID </t>
  </si>
  <si>
    <t>Eficiente gestión integral del riesgo en eventos de interés en salud pública, ante la pandemia por COVID-19</t>
  </si>
  <si>
    <t>Servicios de atención en salud pública en situaciones de emergencias y desastres</t>
  </si>
  <si>
    <t xml:space="preserve">Servicio de atención en salud pública en situaciones de emergencias y desastres </t>
  </si>
  <si>
    <t>Personas en capacidad de ser atendidas</t>
  </si>
  <si>
    <t xml:space="preserve">Prevención, preparación, contingencia, mitigación y superación de emergencias y contingencias por eventos relacionados con la salud pública en el Departamento del Quindío.  </t>
  </si>
  <si>
    <t>Coordinar acciones  para la gestión integral  del riesgo en  situaciones de emergencias y desastres  en las IPS y autoridad sanitaria del departamento</t>
  </si>
  <si>
    <t>Servicio de gestión del riesgo para abordar situaciones prevalentes de origen laboral</t>
  </si>
  <si>
    <t>Campañas de gestión del riesgo para abordar situaciones prevalentes de origen laboral implementadas</t>
  </si>
  <si>
    <t xml:space="preserve">Prevención vigilancia y control de eventos en el ámbito laboral en el Departamento del Quindío.  </t>
  </si>
  <si>
    <t xml:space="preserve">Disminuir los eventos de origen laboral en los trabajadores del sector formal del Departamento del Quindío </t>
  </si>
  <si>
    <t>Secretaría Tecnologías de la Información y las Comunicaciones</t>
  </si>
  <si>
    <t>Tecnologías de la información y las comunicaciones</t>
  </si>
  <si>
    <t>Facilitar el acceso y uso de las Tecnologías de la Información y las Comunicaciones en todo el departamento del Quindío. "Tú y yo somos ciudadanos TIC"</t>
  </si>
  <si>
    <t>Facilitar el acceso y uso de las Tecnologías de la Información y las Comunicaciones en todo el territorio nacional</t>
  </si>
  <si>
    <t>Tasa de crecimiento de puntos de acceso a internet gratis 
Índice Departamental de Competitividad
Tasa de Desempleo</t>
  </si>
  <si>
    <t>Servicio de acceso y uso de tecnologías de la información y las comunicaciones</t>
  </si>
  <si>
    <t>Centros de acceso comunitario en zonas urbanas funcionando</t>
  </si>
  <si>
    <t>Fortalecimiento  y apoyo a las tecnologías de la información y las comunicaciones en el departamento del Quindío.</t>
  </si>
  <si>
    <t xml:space="preserve"> Incrementar  la Tasa de crecimiento de puntos de acceso a internet gratis  y del Índice de competitividad en el departamento del Quindío, mediante en mejoramiento de los servicio de acceso a las tecnologías de la información  y las comunicaciones </t>
  </si>
  <si>
    <t>Soluciones de conectividad en instituciones públicas instaladas</t>
  </si>
  <si>
    <t>Servicio de acceso Zonas Wifi</t>
  </si>
  <si>
    <t>Servicio de acceso zonas digitales</t>
  </si>
  <si>
    <t>Zonas Wifi en áreas rurales instaladas</t>
  </si>
  <si>
    <t>Zonas digitales en áreas rurales con redes terrestres instaladas</t>
  </si>
  <si>
    <t>Servicio de apoyo en tecnologías de la información y las comunicaciones para la educación básica, primaria y secundaria</t>
  </si>
  <si>
    <t>Relación de estudiantes por terminal de cómputo en sedes educativas oficiales</t>
  </si>
  <si>
    <t>Nivel de avance alto en el Índice de Gobierno digital
Índice Departamental de Competitividad
Tasa de Desempleo</t>
  </si>
  <si>
    <t>Servicio de educación informal en tecnologías de la información y las comunicaciones.</t>
  </si>
  <si>
    <t>Personas capacitadas en tecnologías de la información y las comunicaciones</t>
  </si>
  <si>
    <t>Asistencia y apropiación tecnológica y generacional en el departamento del Quindio</t>
  </si>
  <si>
    <t>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t>
  </si>
  <si>
    <t>Servicio de asistencia técnica para proyectos en Tecnologías de la Información y las Comunicaciones</t>
  </si>
  <si>
    <t>Municipios asistidos en diseño, implementación, ejecución y/ o liquidación  de proyectos</t>
  </si>
  <si>
    <t>Servicio de educación para el trabajo en temas de uso pedagógico de tecnologías de la información y las comunicaciones.</t>
  </si>
  <si>
    <t>Docentes formados en uso pedagógico de tecnologías de la información y las comunicaciones.</t>
  </si>
  <si>
    <t>Servicio de telecomunicaciones para el envío de alertas tempranas a la población.</t>
  </si>
  <si>
    <t xml:space="preserve">Disponibilidad del servicio  de telecomunicaciones para el envío de alertas tempranas a la población. </t>
  </si>
  <si>
    <t>Fomento del desarrollo de aplicaciones, software y contenidos para impulsar la apropiación de las Tecnologías de la Información y las Comunicaciones (TIC) "Quindío paraíso empresarial TIC-Quindío TIC"</t>
  </si>
  <si>
    <t>Fomento del desarrollo de aplicaciones, software y contenidos para impulsar la apropiación de las Tecnologías de la Información y las Comunicaciones (TIC)</t>
  </si>
  <si>
    <t>Servicio de asistencia técnica a empresas de la industria de Tecnologías de la Información para mejorar sus capacidades de comercialización e innovación</t>
  </si>
  <si>
    <t>Empresas beneficiadas con actividades de fortalecimiento  de la industria TI</t>
  </si>
  <si>
    <t xml:space="preserve">Fortalecimiento del sector empresarial del departamento del Quindío </t>
  </si>
  <si>
    <t xml:space="preserve">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t>
  </si>
  <si>
    <t>Servicio de asistencia técnica a emprendedores y empresas</t>
  </si>
  <si>
    <t>Emprendedores y empresas asistidas técnicamente</t>
  </si>
  <si>
    <t xml:space="preserve">Tasa de crecimiento de puntos de acceso a internet gratis </t>
  </si>
  <si>
    <t>Servicio de educación informal en Teletrabajo</t>
  </si>
  <si>
    <t xml:space="preserve">Personas y/o entidades (públicas y privadas) de la comunidad capacitadas en teletrabajo </t>
  </si>
  <si>
    <t>Servicio de educación informal para aumentar la calidad y cantidad de talento humano para la industria TI</t>
  </si>
  <si>
    <t>Personas capacitadas en programas informales de Tecnologías de la Información</t>
  </si>
  <si>
    <t>3903</t>
  </si>
  <si>
    <t xml:space="preserve">Desarrollo tecnológico e innovación para el crecimiento empresarial </t>
  </si>
  <si>
    <t>Desarrollo tecnológico e innovación para crecimiento empresarial</t>
  </si>
  <si>
    <t>Tasa de crecimiento de empresas en el sector productivo transformadas digitalmente</t>
  </si>
  <si>
    <t>Servicio de apoyo para la transferencia de conocimiento y tecnología</t>
  </si>
  <si>
    <t>390300501</t>
  </si>
  <si>
    <t>Nuevas tecnologías adoptadas</t>
  </si>
  <si>
    <t xml:space="preserve">Implementación de la transformación digital del sector empresarial en el Departamento del Quindío  </t>
  </si>
  <si>
    <t xml:space="preserve">Incrementar la tasa de crecimiento de empresas en el sector productivo transformadas digitalmente,  a través de  la apropiación de herramientas digitales, qué les  permitan ser competitivos en los diferentes sectores </t>
  </si>
  <si>
    <t>390300507</t>
  </si>
  <si>
    <t>Start up generadas</t>
  </si>
  <si>
    <t>390300511</t>
  </si>
  <si>
    <t>Conocimiento tecnológico adquirido</t>
  </si>
  <si>
    <t>Generación de una cultura qué valora y gestiona en conocimiento y la innovación.</t>
  </si>
  <si>
    <t>Incremento de emprendimientos y/o empresas de base tecnológica</t>
  </si>
  <si>
    <t>Servicios de comunicación con enfoque en ciencia tecnología y sociedad</t>
  </si>
  <si>
    <t>Juguetes, juegos o videojuegos para la comunicación de la ciencia, tecnología e innovación producidos</t>
  </si>
  <si>
    <t xml:space="preserve">Implementación  y  divulgación de la estrategia    "Quindío innovador y competitivo"   </t>
  </si>
  <si>
    <t xml:space="preserve"> Incrementar  los  emprendimientos y/o empresas de base tecnológica a través de la implementación de una estrategia de  promoción de la  cultura  de la innovación  y gestión del  conocimiento. </t>
  </si>
  <si>
    <t>Nivel de avance alto en el Índice de Gobierno digital</t>
  </si>
  <si>
    <t>Desarrollos digitales</t>
  </si>
  <si>
    <t>Productos digitales desarrollados</t>
  </si>
  <si>
    <t xml:space="preserve">Fortalecimiento de la estrategia de gobierno digital  en la Administración Departamental y  Entes Territoriales del departamento del  Quindío  </t>
  </si>
  <si>
    <t xml:space="preserve">Incrementar  Índice de Gobierno digital de la Administración departamental  y los Entes territoriales del Quindío generando condiciones de gobernanza, participación comunitaria y administraciones  eficientes </t>
  </si>
  <si>
    <t>Servicio de educación informal para la implementación de la estrategia de gobierno digital</t>
  </si>
  <si>
    <t>Personas capacitadas para la implementación de la Estrategia de Gobierno digital</t>
  </si>
  <si>
    <t>Servicio de educación informal en Gestión TI y en Seguridad y Privacidad de la Información</t>
  </si>
  <si>
    <t>Personas capacitadas en Gestión TI y en Seguridad y Privacidad de la Información</t>
  </si>
  <si>
    <t>Documentos de evaluación</t>
  </si>
  <si>
    <t>Documentos de evaluación de programas enfocados en generar competencias TIC</t>
  </si>
  <si>
    <t>Documentos metodológicos</t>
  </si>
  <si>
    <t>Documento metodológico del modelo de acompañamiento para la implementación de la Estrategia de Gobierno digital elaborado</t>
  </si>
  <si>
    <t>Instituto Departamental de Deporte y Recreación del Quindío</t>
  </si>
  <si>
    <t>Cobertura de municipios qué participan en programas de recreación, actividad física y deporte social y comunitario en el Departamento del Quindío.
Tasa de consumo de sustancias psicoactivas X100.000 habitantes en el Departamento del Quindío</t>
  </si>
  <si>
    <t>Servicio de Escuelas Deportivas</t>
  </si>
  <si>
    <t>Municipios con Escuelas Deportivas</t>
  </si>
  <si>
    <t>Fortalecimiento, hábitos y estilos de vida saludable como instrumento SALVAVIDAS en el departamento del Quindío</t>
  </si>
  <si>
    <t xml:space="preserve">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t>
  </si>
  <si>
    <t>Servicio de promoción de la actividad física, la recreación y el deporte</t>
  </si>
  <si>
    <t>Municipios vinculados al programa Supérate-Intercolegiados</t>
  </si>
  <si>
    <t>430103704</t>
  </si>
  <si>
    <t>Municipios implementando  programas de recreación, actividad física y deporte social comunitario</t>
  </si>
  <si>
    <t>Formular e  implementar una  política pública para el desarrollo y acceso al deporte, la recreación, la actividad física, la educación física y en uso adecuado del tiempo libre, como ejes de transformación humana y social en el departamento del Quindío</t>
  </si>
  <si>
    <t>Documentos normativos</t>
  </si>
  <si>
    <t>Política pública formulada e implementada</t>
  </si>
  <si>
    <t>Documentos normativos realizados</t>
  </si>
  <si>
    <t>Formación y preparación de deportistas. "Tú y yo campeones"</t>
  </si>
  <si>
    <t>Formación y preparación de deportistas</t>
  </si>
  <si>
    <t>Cobertura de ligas apoyadas en el departamento del Quindío.
Porcentaje de medallería del departamento del Quindío en los Juegos Nacionales.</t>
  </si>
  <si>
    <t>Servicio de asistencia técnica para la promoción del deporte</t>
  </si>
  <si>
    <t xml:space="preserve">Organismos deportivos asistidos </t>
  </si>
  <si>
    <t>Fortalecimiento al deporte competitivo y de altos logros "TU Y    YO SOMOS SALVAVIDAS POR UN QUINDIO GANADOR" en el Departamento del Quindío</t>
  </si>
  <si>
    <t xml:space="preserve">Incrementar la cobertura de municipios qué participan en programas de recreación, actividad física , deporte social y comunitario, además de la  disminución de las tasas de sustancias psicoactivas en el Departamento del Quindío, a través  de  la definición de  nuevas metodologías para el desarrollo del deporte formativo y competitivo  </t>
  </si>
  <si>
    <t>Servicio de organización de eventos deportivos de alto rendimiento</t>
  </si>
  <si>
    <t>Juegos Deportivos Realizados</t>
  </si>
  <si>
    <t>Eventos deportivos de alto rendimiento con sede en Colombia realizados</t>
  </si>
  <si>
    <t>Desarrollo de los  XXII JUEGOS DEPORTIVOS NACIONALES Y VI JUEGOS PARANACIONALES   2023</t>
  </si>
  <si>
    <t xml:space="preserve">Incrementar la cobertura de municipios qué participan en programas de recreación, actividad física , deporte social y comunitario, además de la  disminución de las tasas de sustancias psicoactivas en el Departamento del Quindío, a través de la participación deportiva y organización de eventos multideportivos  </t>
  </si>
  <si>
    <t>Proyecta Empresa para el Desarrollo Territorial</t>
  </si>
  <si>
    <t xml:space="preserve">Infraestructura  deportiva y/o recreativa con procesos   constructivos, mejorados,  ampliados, mantenidos y/o  reforzados </t>
  </si>
  <si>
    <t xml:space="preserve">Infraestructura   deportiva y/o recreativa construida, mejorada, ampliada, mantenida, y/o  reforzada </t>
  </si>
  <si>
    <t>Mantenimiento de obras complementarias de la infraestructura  deportiva y recreativa en el Departamento del Quindío.</t>
  </si>
  <si>
    <t>Incrementar la cobertura de municipios qué participan en programas de recreación, actividad física y deporte social y comunitario en el Departamento del Quindío, a través del   mantenimiento de obras complementarias de infraestructura deportiva y recreativa en el Departamento del Quindío con el propósito de generar espacio para la utilización del tiempo libre.</t>
  </si>
  <si>
    <t>Mantenimiento de obras complementarias en la Infraestructura educativa en el Departamento del Quindío.</t>
  </si>
  <si>
    <t>Incrementar las tasas de cobertura bruta en preescolar, educación básica y media, a través de esfuerzos interinstitucionales para realizar  obras complementarias en  Infraestructura educativa  mantenida, en el Departamento del Quindío.</t>
  </si>
  <si>
    <t xml:space="preserve">índice de competitividad  en el sector de infraestructura vial </t>
  </si>
  <si>
    <t xml:space="preserve"> Mantenimiento de obras complementarias a la infraestructura vial en el Departamento del Quindío</t>
  </si>
  <si>
    <t>Incrementar en índice de competitividad  en el sector de infraestructura vial,    a través de obras físicas complementarias, garantizando condiciones de eficiencia, seguridad y confort a los a sus usuarios</t>
  </si>
  <si>
    <t xml:space="preserve">Servicio de asistencia técnica y jurídica en saneamiento y titulación de predios </t>
  </si>
  <si>
    <t>400100100</t>
  </si>
  <si>
    <t>Entidades territoriales asistidas técnica y jurídicamente</t>
  </si>
  <si>
    <t xml:space="preserve">Apoyo en la formulación y ejecución de proyectos de vivienda en el Departamento del Quindío  </t>
  </si>
  <si>
    <t>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t>
  </si>
  <si>
    <t>Déficit cuantitativo de viviendas por hogares</t>
  </si>
  <si>
    <t xml:space="preserve">Viviendas de Interés Prioritario urbanas construidas </t>
  </si>
  <si>
    <t>400101700</t>
  </si>
  <si>
    <t>Viviendas de Interés Prioritario urbanas construidas</t>
  </si>
  <si>
    <t xml:space="preserve">Viviendas de Interés Prioritario urbanas mejoradas </t>
  </si>
  <si>
    <t>400101800</t>
  </si>
  <si>
    <t>Viviendas de Interés Prioritario urbanas mejoradas</t>
  </si>
  <si>
    <t>Estudios de preinversión e inversión</t>
  </si>
  <si>
    <t>400103000</t>
  </si>
  <si>
    <t>Servicio de apoyo financiero para adquisición de vivienda</t>
  </si>
  <si>
    <t>Equipamientos construidos</t>
  </si>
  <si>
    <t>4001014</t>
  </si>
  <si>
    <t>Viviendas de Interés Social urbanas construidas</t>
  </si>
  <si>
    <t>400101400</t>
  </si>
  <si>
    <t>4001015</t>
  </si>
  <si>
    <t xml:space="preserve">Fortalecimiento de la gestión y desempeño institucional. “Quindío con una administración al servicio de la ciudadanía”. </t>
  </si>
  <si>
    <t>Infraestructura institucional o edificios públicos construida, mejorada, ampliada, mantenida, y/o reforzada</t>
  </si>
  <si>
    <t>Mantenimiento de los edificios públicos y/o equipamientos colectivos y comunitarios en el Departamento del Quindío.</t>
  </si>
  <si>
    <t xml:space="preserve">Instituto Departamental de Tránsito del Quindío </t>
  </si>
  <si>
    <t>Seguridad de Transporte. "Tú y yo seguros en la vía"</t>
  </si>
  <si>
    <t>Seguridad de transporte</t>
  </si>
  <si>
    <t>Tasa de lesionados por siniestros viales por cada 100 habitantes.
Tasa de fallecidos por siniestros viales por cada 100 habitantes.</t>
  </si>
  <si>
    <t>Formular e Implementar una estrategia de movilidad saludable, segura y sostenible.</t>
  </si>
  <si>
    <t>Servicio de promoción y difusión para la seguridad de transporte</t>
  </si>
  <si>
    <t xml:space="preserve">Estrategia de movilidad saludable, segura y sostenible  formulada e implementada </t>
  </si>
  <si>
    <t xml:space="preserve">Estrategias implementadas </t>
  </si>
  <si>
    <t>Implementación del programa de seguridad vial en el Departamento del Quindío  "TU Y YO POR LA SEGURIDAD VIAL"</t>
  </si>
  <si>
    <t>Disminuir las tasa de lesionados por siniestros viales y fallecidos por siniestros viales  a través de acciones de fortalecimiento de la seguridad vial en el Departamento del Quindío.</t>
  </si>
  <si>
    <t>Formular e Implementar un programa de formación en normas de tránsito y fomento de cultura  de la seguridad en la vía.</t>
  </si>
  <si>
    <t xml:space="preserve">Servicio de educación informal en seguridad vial </t>
  </si>
  <si>
    <t>Programa de formación cultural  de la seguridad en la vía formulado e implementado.</t>
  </si>
  <si>
    <t>Estrategias de promoción de la cultura ciudadana implementadas</t>
  </si>
  <si>
    <t>Formular e Implementar un programa de control, prevención y atención del tránsito y el transporte en los municipios y vías de jurisdicción del IDTQ.</t>
  </si>
  <si>
    <t>Programa de control y atención del tránsito y en transporte formulado e implementado</t>
  </si>
  <si>
    <t>Documentos de planeación realizados</t>
  </si>
  <si>
    <t>Diseñar e Implementar un programa de señalización y demarcación en los municipios y vías de jurisdicción del IDTQ.</t>
  </si>
  <si>
    <t>Vías con dispositivos de control y señalización</t>
  </si>
  <si>
    <t>Programa de Señalización y demarcación en los municipios y vías de jurisdicción del IDTQ diseñado e Implementado</t>
  </si>
  <si>
    <t xml:space="preserve">Demarcación horizontal longitudinal realizada </t>
  </si>
  <si>
    <t xml:space="preserve"> SUBTOTALES:</t>
  </si>
  <si>
    <t>TOTAL PRESUPUESTO</t>
  </si>
  <si>
    <t>304 SECRETARÍA ADMINISTRATIVA</t>
  </si>
  <si>
    <t xml:space="preserve">LIDERAZGO, GOBERNABILIDAD Y TRANSPARENCIA </t>
  </si>
  <si>
    <t>Fortalecimiento del buen gobierno para el respeto y garantía de los derechos humanos. "Quindío integrado y participativo"</t>
  </si>
  <si>
    <t>Fortalecimiento a la gestión y dirección de la administración pública territorial "Quindío con una administración al servicio de la ciudadanía "</t>
  </si>
  <si>
    <t xml:space="preserve">305 SECRETARÍA DE PLANEACIÓN </t>
  </si>
  <si>
    <t>307 SECREATRÍA DE HACIENDA</t>
  </si>
  <si>
    <t xml:space="preserve">308 SECRETARÍA DE AGUAS E INFRAESTRUCTURA </t>
  </si>
  <si>
    <t xml:space="preserve">INCLUSIÓN SOCIAL Y EQUIDAD </t>
  </si>
  <si>
    <t>Fomento a la recreación, la actividad física y el deporte para desarrollar entornos de convivencia y paz "Tú y yo en la recreación y en deporte"</t>
  </si>
  <si>
    <t>PRODUCTIVIDAD Y COMPETITIVIDAD</t>
  </si>
  <si>
    <t>Agrucultura y desarrollo rural</t>
  </si>
  <si>
    <t xml:space="preserve">TERRITORIO, AMBIENTE Y DESARROLLO SOSTENIBLE </t>
  </si>
  <si>
    <t>Vivienda, Ciudad y Territorio</t>
  </si>
  <si>
    <t xml:space="preserve">309  SECRETARÍA DEL INTERIOR </t>
  </si>
  <si>
    <t>Gestión del riesgo de desastres y emergencias. "Tú y yo preparados en gestión del riesgo"</t>
  </si>
  <si>
    <t xml:space="preserve">310 SECRETARÍA DE CULTURA </t>
  </si>
  <si>
    <t xml:space="preserve">311 SECRETARÍA DE TURISMO INDUSTRIA Y COMERCIO </t>
  </si>
  <si>
    <t xml:space="preserve">Productividad y competitividad de las empresas colombianas. "Tú y yo con empresas competitivas" </t>
  </si>
  <si>
    <t xml:space="preserve">312 SECRETARÍA DE AGRICULTURA, DESARROLLO RURAL Y MEDIO AMBIENTE </t>
  </si>
  <si>
    <t>Fortalecimiento a la gestión y dirección de la administración pública territorial "Quindío con una administración al servicio de la ciudadanía"</t>
  </si>
  <si>
    <t xml:space="preserve">314 SECRETARÍA DE EDUCACIÓN </t>
  </si>
  <si>
    <t>Calidad y fomento de la Educación "Tú y yo preparados para la educación superior"</t>
  </si>
  <si>
    <t>316 SECRETARÍA DE FAMILIA</t>
  </si>
  <si>
    <t xml:space="preserve">318 SECRETARIA DE SALUD </t>
  </si>
  <si>
    <t>Aseguramiento y Prestación integral de servicios de salud "Tú y yo con servicios de salud"</t>
  </si>
  <si>
    <t>324  SECRETARÍA TECNOLÓGIAS DE LA INFORMACIÓN Y COMUNICACIÓN</t>
  </si>
  <si>
    <t>Facilitar en acceso y uso de las Tecnologías de la Información y las Comunicaciones (TIC)  en todo el territorio nacional.  "Tú y yo somos ciudadanos TIC"</t>
  </si>
  <si>
    <t>TOTAL ADMINISTRACIÓN CENTRAL:</t>
  </si>
  <si>
    <t xml:space="preserve">319 INDEPORTES QUINDÍO </t>
  </si>
  <si>
    <t>320 PROYECTA EMPRESA PARA EL DESARROLLO TERRITORIAL</t>
  </si>
  <si>
    <t>321 INSTITUTO DEPARTAMENTAL DE TRANSITO</t>
  </si>
  <si>
    <t>TOTAL ENTES DESCENTRALIZADOS</t>
  </si>
  <si>
    <t>TOTAL POAI:</t>
  </si>
  <si>
    <t>UNIDAD
EJECUTORA</t>
  </si>
  <si>
    <t>FUENTE DE FINANCIACIÓN</t>
  </si>
  <si>
    <t>PRESUPUESTO</t>
  </si>
  <si>
    <t>Recurso Ordinario</t>
  </si>
  <si>
    <t>Convenio Anticontrabando</t>
  </si>
  <si>
    <t>Estampilla Prodesarrollo</t>
  </si>
  <si>
    <t>SGP Agua Potable Saneamiento Básico</t>
  </si>
  <si>
    <t>Sobretasa al ACPM</t>
  </si>
  <si>
    <t>Fondo de Seguridad 5%</t>
  </si>
  <si>
    <t>Estampilla Pro Cultura</t>
  </si>
  <si>
    <t>Iva Telefonía Móvil</t>
  </si>
  <si>
    <t>Impuesto al Registro 4%</t>
  </si>
  <si>
    <t>Monopolio</t>
  </si>
  <si>
    <t>SGP Educación</t>
  </si>
  <si>
    <t>Programa Alimentación Escolar</t>
  </si>
  <si>
    <t>Estampilla Pro Adulto Mayor</t>
  </si>
  <si>
    <t>SGP Salud</t>
  </si>
  <si>
    <t>Rentas Cedidas</t>
  </si>
  <si>
    <t>Otros recursos  Nación</t>
  </si>
  <si>
    <t>324  SECRETARÍA TECNOLÓGIAS DE LA INFORMACIÓN Y LASCOMUNICACIÓN</t>
  </si>
  <si>
    <t>Impuesto Monopolio</t>
  </si>
  <si>
    <t>Nación</t>
  </si>
  <si>
    <t>Estampilla Pro Desarrollo</t>
  </si>
  <si>
    <t>Impuesto al Registro</t>
  </si>
  <si>
    <t>Recursos Propios</t>
  </si>
  <si>
    <t>Total Inversión</t>
  </si>
  <si>
    <t>305 SECRETARÍA DE PLANEACIÓN</t>
  </si>
  <si>
    <t xml:space="preserve">Fortalecimiento del Consejo Territorial de Planeación del Departamento del Quindío. "TÚ y YO SOMOS QUINDIO" </t>
  </si>
  <si>
    <t xml:space="preserve"> Implementación  de eventos de Rendición Pública de Cuentas  de divulgación de gestión  de la Administración Departamental  "TU Y YO SOMOS QUINDIO" </t>
  </si>
  <si>
    <t xml:space="preserve"> Implementación   de instrumentos de planificación para  en  Ordenamiento y la Gestión Territorial Departamental del Quindío  "TU Y YO SOMOS QUINDIO" </t>
  </si>
  <si>
    <t xml:space="preserve">  Implementación del Observatorio Económico  de la Administración Departamental del Quindío "TU Y YO SOMOS QUINDIO"</t>
  </si>
  <si>
    <t xml:space="preserve"> Implementación  del Modelo Integrado de Planeación y de Gestión MIPG en la Administración Departamental del   Quindío</t>
  </si>
  <si>
    <t>307 SECRETARÍA DE HACIENDA Y FINANZAS PÚBLICAS</t>
  </si>
  <si>
    <t xml:space="preserve">Implementación de un programa para el cumplimiento de las políticas y prácticas contables de la administración departamental del Quindío.    </t>
  </si>
  <si>
    <t>308 SECRETARÍA DE AGUAS E INFRAESTRUCTURA</t>
  </si>
  <si>
    <t xml:space="preserve"> Mantenimiento de la infraestructura Educativa en el Departamento del Quindío. </t>
  </si>
  <si>
    <t xml:space="preserve"> Mantenimiento de la infraestructura cultural en el departamento del Quindío  </t>
  </si>
  <si>
    <t>Construcción y dotación centro de atención integral para personas con discapacidad en el Departamento del Quindío</t>
  </si>
  <si>
    <t xml:space="preserve"> Construcción, mantenimiento y/o mejoramiento de obras de infraestructura  para la mitigación y atención de desastres en los municipios del departamento del Quindío </t>
  </si>
  <si>
    <t>309 SECRETARÍA DE INTERIOR</t>
  </si>
  <si>
    <t xml:space="preserve"> Implementación  de acciones con los Entes Municipales, para la reducción de los delitos en el Departamento del Quindío</t>
  </si>
  <si>
    <t xml:space="preserve">  Implementación de  métodos  para la resolución de conflictos y el  fortalecimiento de la seguridad de los ciudadanos en el Departamento del Quindío  </t>
  </si>
  <si>
    <t xml:space="preserve">Implementación de acciones de apoyo para la resocialización de las personas privadas de la libertad en las Instituciones Penitenciarias  del Departamento  del Quindío. </t>
  </si>
  <si>
    <t xml:space="preserve"> Implementación  y/o fortalecimiento  de  los planes para la gestión del riesgo y desastres en las Instituciones Educativas Oficiales  del Departamento </t>
  </si>
  <si>
    <t xml:space="preserve">Asistencia, atención y capacitación a la población excombatiente en el Departamento del Quindío. </t>
  </si>
  <si>
    <t xml:space="preserve"> Fortalecimiento de los organismos de seguridad del Departamento del Quindío, para mejorar la convivencia, preservación del orden público y la seguridad ciudadana. </t>
  </si>
  <si>
    <t xml:space="preserve"> Implementación del Plan Integral de prevención de vulneraciones de los Derechos Humanos DDHH e infracciones  al Derecho Internacional Humanitario DIH en el Departamento del Quindío </t>
  </si>
  <si>
    <t xml:space="preserve"> Fortalecimiento de la participación ciudadana, veedurías y organizaciones comunales para el cumplimiento, protección y restablecimiento de los derechos contemplados en la Constitución Política.    </t>
  </si>
  <si>
    <t>310 SECRETARÍA DE CULTURA</t>
  </si>
  <si>
    <t xml:space="preserve"> Apoyo artistas y gestores culturales  del departamento del Quindío con el  beneficio de la Seguridad Social.  </t>
  </si>
  <si>
    <t xml:space="preserve"> Apoyo al Paisaje, Café y Tradición mediante procesos de manejo, gestión, asistencia técnica, divulgación y publicación del patrimonio, arqueológico, antropológico e histórico en el Departamento del Quindío </t>
  </si>
  <si>
    <t>311 SECRETARÍA DE TURISMO INDUSTRIA Y COMERCIO</t>
  </si>
  <si>
    <t xml:space="preserve"> Fortalecimiento del sector empresarial  para el acceso a nuevos mercados en el departamento del Quindío</t>
  </si>
  <si>
    <t>Mejoramiento  de la competitividad turística del Destino  Quindio</t>
  </si>
  <si>
    <t xml:space="preserve"> Fortalecimiento de la promoción turística  nacional e internacional  del destino Quindio </t>
  </si>
  <si>
    <t>312 SECRETARÍA DE AGRICULTURA DESARROLLO RUAL Y MEDIO AMBIENTE</t>
  </si>
  <si>
    <t xml:space="preserve"> Fortalecimiento e implementación de procesos de mercadeo y comercialización agropecuaria en el Departamento del Quindío.                </t>
  </si>
  <si>
    <t xml:space="preserve"> Servicio de apoyo en la formulación y estructuración de proyectos de Desarrollo Rural e inclusión productiva  campesina en el Departamento del Quindío  </t>
  </si>
  <si>
    <t xml:space="preserve"> Apoyo a la Implementación de procesos para la prevención y mitigación de riesgos naturales del sector agropecuario en el Departamento del Quindío.  </t>
  </si>
  <si>
    <t xml:space="preserve">Implementación de procesos de sanidad e inocuidad alimentaria en el departamento del Quindío. </t>
  </si>
  <si>
    <t xml:space="preserve"> Fortalecimiento de nuevos emprendimientos e iniciativas clúster de las cadenas promisorias agropecuarias en el Departamento del Quindío.                     </t>
  </si>
  <si>
    <t xml:space="preserve"> Generación y desarrollo de acciones para la conservación de las áreas de importancia estratégica hídrica en el Departamento del Quindío </t>
  </si>
  <si>
    <t>314 SECRETARÍA DE EDUCACIÓN</t>
  </si>
  <si>
    <t xml:space="preserve">  Diseño e implementación de campañas para la promoción de la vida y prevención del consumo de sustancias psicoactivas en el Departamento del Quindío. "TU Y YO UNIDOS POR LA VIDA".  </t>
  </si>
  <si>
    <t xml:space="preserve">Implementación acciones de fortalecimiento de los entornos protectores de los jóvenes en barrios vulnerables de los municipios, del Departamento del Quindío. </t>
  </si>
  <si>
    <t xml:space="preserve"> Diseño e implementación de un  Modelo de  atención integral a la primera infancia  a través de las Rutas Integrales de Atención  RIA en el Departamento del  Quindío </t>
  </si>
  <si>
    <t xml:space="preserve"> Implementación de la política pública de Familia para la promoción del desarrollo integral de la población del Departamento del Quindío. </t>
  </si>
  <si>
    <t xml:space="preserve"> Diseño e implementación del programa de acompañamiento familiar y comunitario con enfoque preventivo en los tipos de violencias en el Departamento del Quindío "TU Y YO COMPROMETIDOS CON LA FAMILIA" </t>
  </si>
  <si>
    <t xml:space="preserve"> Diseño e implementación del programa comunitario para la prevención de los derechos de niños, niñas y adolescentes y su desarrollo integral. "TU Y YO COMPROMETIDOS CON LOS SUEÑOS". </t>
  </si>
  <si>
    <t xml:space="preserve"> Servicio de atención Post egreso de adolescentes y jóvenes, en los servicios de restablecimiento en la administración de justicia, con enfoque pedagógico y restaurativo encaminados a la inclusión social en el  Departamento del   Quindío.</t>
  </si>
  <si>
    <t xml:space="preserve">Formulación e Implementación del programa departamental para atención al ciudadano migrante y de repatriación.  </t>
  </si>
  <si>
    <t xml:space="preserve">Formulación e implementación   de proyectos productivos dirigidos a la población en condición de discapacidad y sus familias para la generación de  ingresos  y fortalecimiento del entorno familiar.  </t>
  </si>
  <si>
    <t xml:space="preserve">Apoyo en la construcción e Implementación de los Planes de Vida de los Cabildos y Resguardos indígenas asentados en el Departamento del Quindío "TU Y YO UNIDOS CON DIGNIDAD".  </t>
  </si>
  <si>
    <t xml:space="preserve"> Servicio  de atención integral e inclusión para el bienestar de los adultos mayores del departamento del Quindío </t>
  </si>
  <si>
    <t xml:space="preserve"> Implementación de  estrategias de acompañamiento y asesoría a las asociaciones de mujeres del departamento del Quindío</t>
  </si>
  <si>
    <t xml:space="preserve"> Implementación del  programa de liderazgo  para la participación femenina en escenarios sociales y políticos del departamento del Quindío</t>
  </si>
  <si>
    <t xml:space="preserve">  Implementación de la política pública de equidad de género para la mujer en el Departamento del Quindío  </t>
  </si>
  <si>
    <t xml:space="preserve">    Implementación de la política pública  de diversidad sexual en el Departamento del Quindío 20192029  </t>
  </si>
  <si>
    <t xml:space="preserve">Implementación de la Casa  de la Mujer Empoderada para la promoción a la participación ciudadana  de Mujeres en escenarios sociales, políticos y en fortalecimiento de la asociatividad  en el departamento del Quindío </t>
  </si>
  <si>
    <t>318 SECRETARÍA DE SALUD</t>
  </si>
  <si>
    <t xml:space="preserve"> Apoyo operativo a la inversión social en salud en el Departamento del Quindío </t>
  </si>
  <si>
    <t xml:space="preserve"> Aprovechamiento biológico y consumo de  alimentos inocuos  en el Departamento del Quindío </t>
  </si>
  <si>
    <t xml:space="preserve"> Fortalecimiento de la inclusión social para la disminución del riesgo de contraer enfermedades transmisibles en el Departamento del Quindío.  </t>
  </si>
  <si>
    <t xml:space="preserve"> Prevención vigilancia y control de eventos en el ámbito laboral en el Departamento del Quindío.  </t>
  </si>
  <si>
    <t xml:space="preserve"> Fortalecimiento del sistema de vigilancia en salud pública en el Departamento del Quindío. </t>
  </si>
  <si>
    <t>Fortalecimiento de las intervenciones colectivas y prioridades en salud pública del Departamento del Quindío PIC</t>
  </si>
  <si>
    <t>324 SECRETARÍA DE TECNOLOGÍA DE LA INFORMACIÓN Y COMUNICACÓN</t>
  </si>
  <si>
    <t xml:space="preserve"> Fortalecimiento  y apoyo a las tecnologías de la información y las comunicaciones en el departamento del Quindío.</t>
  </si>
  <si>
    <t>Asistencia y apropiación tecnológica generacional en el departamento del Quindio</t>
  </si>
  <si>
    <t xml:space="preserve"> Fortalecimiento del sector empresarial del departamento del Quindío </t>
  </si>
  <si>
    <t xml:space="preserve">   Implementación de la transformación digital del sector empresarial en el Departamento del Quindío  </t>
  </si>
  <si>
    <t xml:space="preserve">  Implementación  y  divulgación de la estrategia    "Quindío innovador y competitivo"   </t>
  </si>
  <si>
    <t xml:space="preserve"> Fortalecimiento de la estrategia de gobierno digital  en la Administración Departamental y  Entes Territoriales del departamento del  Quindío  </t>
  </si>
  <si>
    <t>319 INDEPORTES</t>
  </si>
  <si>
    <t xml:space="preserve">  Mantenimiento de obras complementarias a la infraestructura vial en el Departamento del Quindío </t>
  </si>
  <si>
    <t xml:space="preserve"> Apoyo en la formulación y ejecución de proyectos de vivienda en el Departamento del Quindío   </t>
  </si>
  <si>
    <t>321 INSTITUTO DEPARTAMENTAL DE TRÁNSITO DEL QUINDÍO</t>
  </si>
  <si>
    <t>TOTAL PROYECTOS INVERSION DEPARTAMENTAL 2023</t>
  </si>
  <si>
    <t>LUIS ALBERTO RINCÓN QUINTERO</t>
  </si>
  <si>
    <t>Secretario de Planeación Departamental</t>
  </si>
  <si>
    <t>Planeación</t>
  </si>
  <si>
    <t>Aguas e Infraestructura</t>
  </si>
  <si>
    <t>Interior</t>
  </si>
  <si>
    <t>Turismo Industria y Comercio</t>
  </si>
  <si>
    <t>Familia</t>
  </si>
  <si>
    <t>Salud</t>
  </si>
  <si>
    <t>Proyecta</t>
  </si>
  <si>
    <t xml:space="preserve">313 SECRETARÍA  PRIVADA </t>
  </si>
  <si>
    <t xml:space="preserve">313 SECRETARÍA PRIVADA </t>
  </si>
  <si>
    <t>313 SECRETARÍA PRIVADA</t>
  </si>
  <si>
    <t>Privada</t>
  </si>
  <si>
    <t>Secretaría Privada</t>
  </si>
  <si>
    <t>Secretario Privada</t>
  </si>
  <si>
    <t>Número</t>
  </si>
  <si>
    <t>450200100</t>
  </si>
  <si>
    <t>450200101</t>
  </si>
  <si>
    <t>459901800</t>
  </si>
  <si>
    <t>459902500</t>
  </si>
  <si>
    <t>RECURSO DEL CREDITO</t>
  </si>
  <si>
    <t>Fortalecimiento del sistema de gestión documental mediante la modernización locativa y tecnológica para garantizar el acceso a la información oportuna y eficiente en el departamento del Quindío</t>
  </si>
  <si>
    <t xml:space="preserve">Optimizar los procesos y procedimiento s relacionados con la Gestión Documental de la Administración Central Departamental </t>
  </si>
  <si>
    <t>Estudios y diseños de infraestructura vial</t>
  </si>
  <si>
    <t>Estudios de preinversión para la red vial regional</t>
  </si>
  <si>
    <t>Estudios y diseños de infraestructura vial elaborado.</t>
  </si>
  <si>
    <t>Estudios de preinversión realizados</t>
  </si>
  <si>
    <t xml:space="preserve">Elaboración estudios y diseños de Infraestructura vial en el Departamento de Quindío </t>
  </si>
  <si>
    <t>Realizar  estudios de pre inversión de infraestructura vial,  con el objeto de gestionar  recursos de inversión   para  la  optimización de la red vial, reducción de costos de operación y  mejoramiento de la calidad de vida se los  habitantes del  departamento del Quindío,</t>
  </si>
  <si>
    <t>Infraestructura  vial    construída, mejorada, ampliada,  mantenida, y/o  reforzada</t>
  </si>
  <si>
    <t>Vía secundaria mejorada</t>
  </si>
  <si>
    <t xml:space="preserve">Infraestructura  vial    construída, mejorada, ampliada,  mantenida, y/o  reforzada </t>
  </si>
  <si>
    <t>Mejoramiento de vías con soluciones tradicionales</t>
  </si>
  <si>
    <t>Mejoramiento de la vía Circasia-Montenegro con código 29BQN03, en los municipios de Circasia y Montenegro, departamento del  Quindio</t>
  </si>
  <si>
    <t>Mejorar la movilidad de la poblacion que transita la via que comunica a los municipios de Circasia y Montenegro.</t>
  </si>
  <si>
    <t>Rehabilitación y atención de vías, para restaurar la conectividad en el departamento</t>
  </si>
  <si>
    <t>Mejorar la intercomunicación terrestre en vías del Departamento del Quindío</t>
  </si>
  <si>
    <t>Adecuación y mantenimiento del hogar del anciano en el municipio de   La Tebaida</t>
  </si>
  <si>
    <t>Adecuar la infraestructura física del hogar del anciano en el municipio de La Tebaida</t>
  </si>
  <si>
    <t>Infraestructura de laboratorios costruida y dotada</t>
  </si>
  <si>
    <t>Modernización del laboratorio de salud pública departamental</t>
  </si>
  <si>
    <t>Mejorar la capacidad instalada del laboratorio de salud publica en la realización de las actividades de inspección, vigilancia y control IVC</t>
  </si>
  <si>
    <t>Índice Departamental de Competitividad</t>
  </si>
  <si>
    <t>Laboratorios construidos</t>
  </si>
  <si>
    <t xml:space="preserve">Acumulada </t>
  </si>
  <si>
    <t>Construcción y dotación de un centro de atención integral para personas con discapacidad en el departamento del Quindio</t>
  </si>
  <si>
    <t>Fortalecer infraestructura para la atención integral a personas con discapacidad en el departamento</t>
  </si>
  <si>
    <t>Fortalecimiento de la competitividad a través de la difución de los servicios complementarios del sector turistico del departamento del Quindío</t>
  </si>
  <si>
    <t>conocimiento de las ventajas competitivas del turismo como eje de desarrollo sostenible en el departamento del Quindío</t>
  </si>
  <si>
    <t>Implementación de herramientas que garanticen el acceso verídico y oportuno a la información para contribuir a la política pública de transparencia en el departamento del Quindío.</t>
  </si>
  <si>
    <t>Articular el acceso a la información pública de la administración departamental mediante el desarrollo e implementación de herramientas de difusión</t>
  </si>
  <si>
    <t>Recurso del Crédito</t>
  </si>
  <si>
    <t>Liderazgo, Gobernabilidad y Transparencia</t>
  </si>
  <si>
    <t>PLAN OPERATIVO ANUAL DE INVERSIONES POAI  2023
PLAN DE DESARROLLO 2020-2023 "TÚ Y YO SOMOS QUINDIO"
RELACIÓN PROYECTOS DE INVERSION EN EJECUCIÓN
I TRIMESTRE 2023</t>
  </si>
  <si>
    <t>PLAN OPERATIVO ANUAL DE INVERSIÓN POAI  2023
PLAN DE DESARROLLO 2020-2023 "TÚ Y YO SOMOS QUINDIO"
REPORTE UNIDADES EJECUTORAS POR FUENTES DE FINANCIACIÓN
I TRIMESTRE 2023</t>
  </si>
  <si>
    <t>PLAN OPERATIVO ANUAL DE INVERSIÓN POAI  2023
PLAN DE DESARROLLO 2020-2023 "TÚ Y YO SOMOS QUINDIO"
REPORTE UNIDADES EJECUTORAS POR PROGRAMAS
I TRIMESTRE 2023</t>
  </si>
  <si>
    <t>COMPROMISOS</t>
  </si>
  <si>
    <t>OBLIGACIONES</t>
  </si>
  <si>
    <t xml:space="preserve"> SGP EDUCACIÓN - CONECTIVIDAD 
</t>
  </si>
  <si>
    <t>Seguimiento Plan Operativo Anual de Inversiones POAI Vigencia   2023</t>
  </si>
  <si>
    <t>Plan de Desarrollo 2020-2023 "Tú y yo somos Quindío"</t>
  </si>
  <si>
    <t xml:space="preserve">A marzo 31 </t>
  </si>
  <si>
    <t>RESPONSABLE
CARGO</t>
  </si>
  <si>
    <t>F-PLA-43</t>
  </si>
  <si>
    <t>FUENTES DE FINANCIACIÓN</t>
  </si>
  <si>
    <t>% COMPROMISOS</t>
  </si>
  <si>
    <t>% OBLIGACIONES</t>
  </si>
  <si>
    <t>PLAN OPERATIVO ANUAL DE INVERSIÓN POAI  2023
PLAN DE DESARROLLO 2020-2023 "TÚ Y YO SOMOS QUINDIO"
RELACIÓN DE RECURSOS POR LÍNEA ESTRATÉGICA
I TRIMESTRE 2023</t>
  </si>
  <si>
    <t>DISPONIBILIDADES</t>
  </si>
  <si>
    <t>% CD
DISPON
/APRO DEF</t>
  </si>
  <si>
    <t>% RP
COMPROM
APROP DEF</t>
  </si>
  <si>
    <t xml:space="preserve">OBLIGACIONES </t>
  </si>
  <si>
    <t>% OBLIG
OBLIG/PPTO</t>
  </si>
  <si>
    <t>PAGOS</t>
  </si>
  <si>
    <t>% PAGOS
PAGOS/
COMPR</t>
  </si>
  <si>
    <t>SALDOS
DISPONIBLES</t>
  </si>
  <si>
    <t>%  DISP.
SALDO
/APRO DEF</t>
  </si>
  <si>
    <t>Administrativa</t>
  </si>
  <si>
    <t>Hacienda</t>
  </si>
  <si>
    <t>Agricultura, Desarrollo Rural y Medio Ambiente</t>
  </si>
  <si>
    <t>Tecnología de la Información y las Comunicaciones</t>
  </si>
  <si>
    <t>TOTAL SECTOR CENTRAL</t>
  </si>
  <si>
    <t>Indeportes</t>
  </si>
  <si>
    <t>Instituto Departamental de Transito</t>
  </si>
  <si>
    <t>TOTAL DESCENTRALIZADOS</t>
  </si>
  <si>
    <t>TOTAL DEPARTAMENTO</t>
  </si>
  <si>
    <t>Presupuesto</t>
  </si>
  <si>
    <t>%</t>
  </si>
  <si>
    <t xml:space="preserve">Disponibilidades </t>
  </si>
  <si>
    <t>Compromisos</t>
  </si>
  <si>
    <t xml:space="preserve">Sobresaliente  (Entre 80%-100%) </t>
  </si>
  <si>
    <t>Obligaciones</t>
  </si>
  <si>
    <t>Satisfactorio (Entre 70% -79%)</t>
  </si>
  <si>
    <t xml:space="preserve">Pagos </t>
  </si>
  <si>
    <t>Medio (Entre 60%-69%)</t>
  </si>
  <si>
    <t>Disponible</t>
  </si>
  <si>
    <t>Bajo (Entre 40% - 59%)</t>
  </si>
  <si>
    <t>Critico (Entre 0% - 39%)</t>
  </si>
  <si>
    <t>SEMAFORO CUMPLIMIENTO</t>
  </si>
  <si>
    <t>% AP</t>
  </si>
  <si>
    <t xml:space="preserve">Recurso </t>
  </si>
  <si>
    <t>CONSOLIDADO EJECUCIÓN GASTOS DE INVERSIÓN DEPARTAMENTAL
A MARZO 31 DE 2023</t>
  </si>
  <si>
    <t>APROPIACIÓN DEFINITIVA</t>
  </si>
  <si>
    <t>Apropiación Definitiva</t>
  </si>
  <si>
    <t>No. de proyectos</t>
  </si>
  <si>
    <t>Total proyectos</t>
  </si>
  <si>
    <t>No. DE PROYECTOS 
INVERSIÓN DEPARTAMENTAL
MARZO 31 2023</t>
  </si>
  <si>
    <t>Nación  (Invías - Min Salud)</t>
  </si>
  <si>
    <t>MONOPOLIO EDUCACIÓN SALUD</t>
  </si>
  <si>
    <t>Construcción y/o mejoramiento de las redes de acueducto y alcantarillado en los municipios del departamento del Quindío</t>
  </si>
  <si>
    <t>TOTAL EJECUTADA</t>
  </si>
  <si>
    <t>Tasa  Deporte</t>
  </si>
  <si>
    <t xml:space="preserve"> ESTAMPILLAS 
PRO - CULTURA
PRO - ADULTO MAYOR
PRO - DESARROLLO
TASA - DEPORTE
 </t>
  </si>
  <si>
    <t>Otros recursos Indeportes</t>
  </si>
  <si>
    <t>%COMPROMISOS</t>
  </si>
  <si>
    <t xml:space="preserve"> Construir y dotar el Centro de Atención Integral para personas con discapacidad, con el propósito de contar con un espacio para la atención especializada a la población en situación permanente de desprotección social y/o familiar, conducente a mejorar las condiciones de calidad de vida de la población y su entorno familiar.</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</si>
</sst>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4" formatCode="_(&quot;$&quot;\ * #,##0.00_);_(&quot;$&quot;\ * \(#,##0.00\);_(&quot;$&quot;\ * &quot;-&quot;??_);_(@_)"/>
    <numFmt numFmtId="43" formatCode="_(* #,##0.00_);_(* \(#,##0.00\);_(* &quot;-&quot;??_);_(@_)"/>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quot;$&quot;\ * #,##0_-;\-&quot;$&quot;\ * #,##0_-;_-&quot;$&quot;\ * &quot;-&quot;_-;_-@_-"/>
    <numFmt numFmtId="169" formatCode="_-&quot;$&quot;\ * #,##0.00_-;\-&quot;$&quot;\ * #,##0.00_-;_-&quot;$&quot;\ * &quot;-&quot;??_-;_-@_-"/>
    <numFmt numFmtId="170" formatCode="_-* #,##0.00\ _€_-;\-* #,##0.00\ _€_-;_-* &quot;-&quot;??\ _€_-;_-@_-"/>
    <numFmt numFmtId="171" formatCode="_([$$-240A]\ * #,##0.00_);_([$$-240A]\ * \(#,##0.00\);_([$$-240A]\ * &quot;-&quot;??_);_(@_)"/>
    <numFmt numFmtId="172" formatCode="00"/>
    <numFmt numFmtId="173" formatCode="_(* #,##0_);_(* \(#,##0\);_(* &quot;-&quot;??_);_(@_)"/>
    <numFmt numFmtId="174" formatCode="_-* #,##0_-;\-* #,##0_-;_-* &quot;-&quot;??_-;_-@_-"/>
    <numFmt numFmtId="175" formatCode="_-&quot;$&quot;\ * #,##0.00_-;\-&quot;$&quot;\ * #,##0.00_-;_-&quot;$&quot;\ * &quot;-&quot;_-;_-@_-"/>
    <numFmt numFmtId="176" formatCode="_ [$€-2]\ * #,##0.00_ ;_ [$€-2]\ * \-#,##0.00_ ;_ [$€-2]\ * &quot;-&quot;??_ "/>
    <numFmt numFmtId="177" formatCode="#,##0."/>
    <numFmt numFmtId="178" formatCode="_ * #,##0.00_ ;_ * \-#,##0.00_ ;_ * &quot;-&quot;??_ ;_ @_ "/>
    <numFmt numFmtId="179" formatCode="_([$$-240A]\ * #,##0.0_);_([$$-240A]\ * \(#,##0.0\);_([$$-240A]\ * &quot;-&quot;??_);_(@_)"/>
    <numFmt numFmtId="180" formatCode="&quot;$&quot;\ #,##0.00"/>
    <numFmt numFmtId="181" formatCode="0.000"/>
  </numFmts>
  <fonts count="68">
    <font>
      <sz val="11"/>
      <color theme="1"/>
      <name val="Calibri"/>
      <family val="2"/>
      <scheme val="minor"/>
    </font>
    <font>
      <sz val="11"/>
      <color theme="1"/>
      <name val="Calibri"/>
      <family val="2"/>
      <scheme val="minor"/>
    </font>
    <font>
      <sz val="12"/>
      <name val="Arial"/>
      <family val="2"/>
    </font>
    <font>
      <b/>
      <sz val="12"/>
      <name val="Arial"/>
      <family val="2"/>
    </font>
    <font>
      <b/>
      <sz val="10"/>
      <name val="Arial"/>
      <family val="2"/>
    </font>
    <font>
      <sz val="11"/>
      <color indexed="8"/>
      <name val="Calibri"/>
      <family val="2"/>
    </font>
    <font>
      <sz val="12"/>
      <color theme="1"/>
      <name val="Arial"/>
      <family val="2"/>
    </font>
    <font>
      <b/>
      <sz val="11"/>
      <color rgb="FF6F6F6E"/>
      <name val="Calibri"/>
      <family val="2"/>
      <scheme val="minor"/>
    </font>
    <font>
      <sz val="10"/>
      <name val="Arial"/>
      <family val="2"/>
    </font>
    <font>
      <b/>
      <sz val="11"/>
      <color theme="0"/>
      <name val="Calibri"/>
      <family val="2"/>
      <scheme val="minor"/>
    </font>
    <font>
      <sz val="11"/>
      <color rgb="FF00000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8"/>
      <color theme="3"/>
      <name val="Calibri Light"/>
      <family val="2"/>
      <scheme val="major"/>
    </font>
    <font>
      <sz val="10"/>
      <color theme="1"/>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
      <color indexed="8"/>
      <name val="Courier"/>
      <family val="3"/>
    </font>
    <font>
      <b/>
      <sz val="1"/>
      <color indexed="8"/>
      <name val="Courier"/>
      <family val="3"/>
    </font>
    <font>
      <b/>
      <i/>
      <sz val="1"/>
      <color indexed="8"/>
      <name val="Courier"/>
      <family val="3"/>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0"/>
      <name val="Arial"/>
      <family val="2"/>
      <charset val="1"/>
    </font>
    <font>
      <sz val="11"/>
      <color rgb="FFFFFFFF"/>
      <name val="Arial"/>
      <family val="2"/>
      <charset val="1"/>
    </font>
    <font>
      <sz val="9"/>
      <color indexed="81"/>
      <name val="Tahoma"/>
      <family val="2"/>
    </font>
    <font>
      <b/>
      <sz val="9"/>
      <color indexed="81"/>
      <name val="Tahoma"/>
      <family val="2"/>
    </font>
    <font>
      <b/>
      <sz val="14"/>
      <name val="Arial"/>
      <family val="2"/>
    </font>
    <font>
      <b/>
      <sz val="10"/>
      <color theme="1"/>
      <name val="Arial"/>
      <family val="2"/>
    </font>
    <font>
      <b/>
      <sz val="11"/>
      <name val="Arial"/>
      <family val="2"/>
    </font>
    <font>
      <sz val="11"/>
      <name val="Arial"/>
      <family val="2"/>
    </font>
    <font>
      <b/>
      <sz val="12"/>
      <color theme="1"/>
      <name val="Arial"/>
      <family val="2"/>
    </font>
    <font>
      <b/>
      <sz val="10"/>
      <color theme="0"/>
      <name val="Arial"/>
      <family val="2"/>
    </font>
    <font>
      <sz val="12"/>
      <color theme="0"/>
      <name val="Arial"/>
      <family val="2"/>
    </font>
    <font>
      <b/>
      <sz val="11"/>
      <name val="Calibri"/>
      <family val="2"/>
      <scheme val="minor"/>
    </font>
    <font>
      <sz val="11"/>
      <name val="Calibri"/>
      <family val="2"/>
      <scheme val="minor"/>
    </font>
    <font>
      <sz val="11"/>
      <name val="Calibri"/>
      <family val="2"/>
    </font>
    <font>
      <sz val="11"/>
      <color rgb="FF000000"/>
      <name val="Arial"/>
      <family val="2"/>
    </font>
    <font>
      <sz val="11"/>
      <color rgb="FF000000"/>
      <name val="Calibri"/>
      <family val="2"/>
    </font>
    <font>
      <sz val="11"/>
      <color indexed="8"/>
      <name val="Calibri"/>
      <family val="2"/>
    </font>
    <font>
      <b/>
      <sz val="11"/>
      <color rgb="FF6F6F6E"/>
      <name val="Calibri"/>
      <family val="2"/>
    </font>
    <font>
      <sz val="10"/>
      <name val="Arial Nova Cond Light"/>
      <family val="2"/>
    </font>
    <font>
      <b/>
      <sz val="12"/>
      <color rgb="FF000000"/>
      <name val="Arial"/>
      <family val="2"/>
    </font>
    <font>
      <sz val="12"/>
      <color rgb="FF000000"/>
      <name val="Arial"/>
      <family val="2"/>
    </font>
    <font>
      <sz val="12"/>
      <color theme="1"/>
      <name val="Calibri"/>
      <family val="2"/>
      <scheme val="minor"/>
    </font>
  </fonts>
  <fills count="7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ECECEC"/>
        <bgColor indexed="64"/>
      </patternFill>
    </fill>
    <fill>
      <patternFill patternType="solid">
        <fgColor rgb="FF522B57"/>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FF6600"/>
        <bgColor rgb="FFFF9900"/>
      </patternFill>
    </fill>
    <fill>
      <patternFill patternType="solid">
        <fgColor theme="3" tint="0.399975585192419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D6DCE4"/>
        <bgColor indexed="64"/>
      </patternFill>
    </fill>
    <fill>
      <patternFill patternType="solid">
        <fgColor rgb="FFFFFFFF"/>
        <bgColor indexed="64"/>
      </patternFill>
    </fill>
    <fill>
      <patternFill patternType="solid">
        <fgColor rgb="FFE2EFD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FF0000"/>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002060"/>
        <bgColor indexed="64"/>
      </patternFill>
    </fill>
  </fills>
  <borders count="85">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522B57"/>
      </left>
      <right style="thin">
        <color rgb="FF522B57"/>
      </right>
      <top style="thin">
        <color rgb="FF522B57"/>
      </top>
      <bottom style="thin">
        <color rgb="FF522B57"/>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ECECEC"/>
      </left>
      <right style="medium">
        <color rgb="FFECECEC"/>
      </right>
      <top style="medium">
        <color rgb="FFECECEC"/>
      </top>
      <bottom style="medium">
        <color rgb="FFECECEC"/>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style="medium">
        <color indexed="64"/>
      </right>
      <top style="medium">
        <color indexed="64"/>
      </top>
      <bottom/>
      <diagonal/>
    </border>
    <border>
      <left/>
      <right style="thin">
        <color rgb="FF000000"/>
      </right>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right style="thin">
        <color rgb="FF000000"/>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rgb="FF000000"/>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diagonal/>
    </border>
    <border>
      <left/>
      <right style="medium">
        <color indexed="64"/>
      </right>
      <top style="medium">
        <color rgb="FF000000"/>
      </top>
      <bottom style="medium">
        <color rgb="FF000000"/>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thin">
        <color rgb="FF000000"/>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rgb="FF000000"/>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s>
  <cellStyleXfs count="401">
    <xf numFmtId="171" fontId="0" fillId="0" borderId="0"/>
    <xf numFmtId="167" fontId="1" fillId="0" borderId="0" applyFont="0" applyFill="0" applyBorder="0" applyAlignment="0" applyProtection="0"/>
    <xf numFmtId="164" fontId="1" fillId="0" borderId="0" applyFont="0" applyFill="0" applyBorder="0" applyAlignment="0" applyProtection="0"/>
    <xf numFmtId="43" fontId="5" fillId="0" borderId="0" applyFont="0" applyFill="0" applyBorder="0" applyAlignment="0" applyProtection="0"/>
    <xf numFmtId="171" fontId="7" fillId="4" borderId="10">
      <alignment horizontal="center" vertical="center" wrapText="1"/>
    </xf>
    <xf numFmtId="0" fontId="1" fillId="0" borderId="0"/>
    <xf numFmtId="43" fontId="1" fillId="0" borderId="0" applyFont="0" applyFill="0" applyBorder="0" applyAlignment="0" applyProtection="0"/>
    <xf numFmtId="0" fontId="7" fillId="4" borderId="10">
      <alignment horizontal="center" vertical="center" wrapText="1"/>
    </xf>
    <xf numFmtId="171" fontId="8" fillId="0" borderId="0"/>
    <xf numFmtId="169" fontId="1" fillId="0" borderId="0" applyFont="0" applyFill="0" applyBorder="0" applyAlignment="0" applyProtection="0"/>
    <xf numFmtId="167" fontId="1" fillId="0" borderId="0" applyFont="0" applyFill="0" applyBorder="0" applyAlignment="0" applyProtection="0"/>
    <xf numFmtId="44" fontId="1" fillId="0" borderId="0" applyFont="0" applyFill="0" applyBorder="0" applyAlignment="0" applyProtection="0"/>
    <xf numFmtId="0" fontId="9" fillId="5" borderId="14">
      <alignment horizontal="center" vertical="center" wrapText="1"/>
    </xf>
    <xf numFmtId="0" fontId="8" fillId="0" borderId="0"/>
    <xf numFmtId="0" fontId="10" fillId="0" borderId="0"/>
    <xf numFmtId="0" fontId="8" fillId="0" borderId="0"/>
    <xf numFmtId="0" fontId="1" fillId="0" borderId="0"/>
    <xf numFmtId="0" fontId="1" fillId="0" borderId="0"/>
    <xf numFmtId="0" fontId="11" fillId="0" borderId="26" applyNumberFormat="0" applyFill="0" applyAlignment="0" applyProtection="0"/>
    <xf numFmtId="0" fontId="12" fillId="0" borderId="27" applyNumberFormat="0" applyFill="0" applyAlignment="0" applyProtection="0"/>
    <xf numFmtId="0" fontId="13" fillId="0" borderId="28" applyNumberFormat="0" applyFill="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29" applyNumberFormat="0" applyAlignment="0" applyProtection="0"/>
    <xf numFmtId="0" fontId="17" fillId="9" borderId="30" applyNumberFormat="0" applyAlignment="0" applyProtection="0"/>
    <xf numFmtId="0" fontId="18" fillId="9" borderId="29" applyNumberFormat="0" applyAlignment="0" applyProtection="0"/>
    <xf numFmtId="0" fontId="19" fillId="0" borderId="31" applyNumberFormat="0" applyFill="0" applyAlignment="0" applyProtection="0"/>
    <xf numFmtId="0" fontId="9" fillId="10" borderId="32" applyNumberFormat="0" applyAlignment="0" applyProtection="0"/>
    <xf numFmtId="0" fontId="20" fillId="0" borderId="0" applyNumberFormat="0" applyFill="0" applyBorder="0" applyAlignment="0" applyProtection="0"/>
    <xf numFmtId="0" fontId="1" fillId="11" borderId="33" applyNumberFormat="0" applyFont="0" applyAlignment="0" applyProtection="0"/>
    <xf numFmtId="0" fontId="21" fillId="0" borderId="0" applyNumberFormat="0" applyFill="0" applyBorder="0" applyAlignment="0" applyProtection="0"/>
    <xf numFmtId="0" fontId="22" fillId="0" borderId="34" applyNumberFormat="0" applyFill="0" applyAlignment="0" applyProtection="0"/>
    <xf numFmtId="0" fontId="23"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3" fillId="35" borderId="0" applyNumberFormat="0" applyBorder="0" applyAlignment="0" applyProtection="0"/>
    <xf numFmtId="0" fontId="1" fillId="0" borderId="0"/>
    <xf numFmtId="171" fontId="1" fillId="0" borderId="0"/>
    <xf numFmtId="176" fontId="1" fillId="21" borderId="0" applyNumberFormat="0" applyBorder="0" applyAlignment="0" applyProtection="0"/>
    <xf numFmtId="176" fontId="1" fillId="0" borderId="0"/>
    <xf numFmtId="171" fontId="1" fillId="0" borderId="0"/>
    <xf numFmtId="0" fontId="25" fillId="0" borderId="0" applyNumberFormat="0" applyFill="0" applyBorder="0" applyAlignment="0" applyProtection="0"/>
    <xf numFmtId="176" fontId="12" fillId="0" borderId="27" applyNumberFormat="0" applyFill="0" applyAlignment="0" applyProtection="0"/>
    <xf numFmtId="176" fontId="1" fillId="0" borderId="0"/>
    <xf numFmtId="176" fontId="1" fillId="34" borderId="0" applyNumberFormat="0" applyBorder="0" applyAlignment="0" applyProtection="0"/>
    <xf numFmtId="176" fontId="9" fillId="10" borderId="32" applyNumberFormat="0" applyAlignment="0" applyProtection="0"/>
    <xf numFmtId="176" fontId="18" fillId="9" borderId="29" applyNumberFormat="0" applyAlignment="0" applyProtection="0"/>
    <xf numFmtId="176" fontId="1" fillId="0" borderId="0"/>
    <xf numFmtId="171" fontId="1" fillId="0" borderId="0"/>
    <xf numFmtId="176" fontId="23" fillId="23" borderId="0" applyNumberFormat="0" applyBorder="0" applyAlignment="0" applyProtection="0"/>
    <xf numFmtId="176" fontId="1" fillId="0" borderId="0"/>
    <xf numFmtId="176" fontId="1" fillId="0" borderId="0"/>
    <xf numFmtId="176" fontId="1" fillId="0" borderId="0"/>
    <xf numFmtId="171" fontId="1" fillId="0" borderId="0"/>
    <xf numFmtId="176" fontId="15" fillId="7" borderId="0" applyNumberFormat="0" applyBorder="0" applyAlignment="0" applyProtection="0"/>
    <xf numFmtId="176" fontId="1" fillId="0" borderId="0"/>
    <xf numFmtId="171" fontId="1" fillId="0" borderId="0"/>
    <xf numFmtId="176" fontId="23" fillId="35" borderId="0" applyNumberFormat="0" applyBorder="0" applyAlignment="0" applyProtection="0"/>
    <xf numFmtId="171" fontId="1" fillId="0" borderId="0"/>
    <xf numFmtId="176" fontId="1" fillId="0" borderId="0"/>
    <xf numFmtId="176"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9" fontId="5"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1" fillId="0" borderId="0"/>
    <xf numFmtId="166" fontId="1" fillId="0" borderId="0" applyFont="0" applyFill="0" applyBorder="0" applyAlignment="0" applyProtection="0"/>
    <xf numFmtId="164" fontId="1" fillId="0" borderId="0" applyFont="0" applyFill="0" applyBorder="0" applyAlignment="0" applyProtection="0"/>
    <xf numFmtId="169" fontId="1" fillId="0" borderId="0" applyFont="0" applyFill="0" applyBorder="0" applyAlignment="0" applyProtection="0"/>
    <xf numFmtId="167"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0" fontId="1" fillId="0" borderId="0"/>
    <xf numFmtId="0" fontId="26" fillId="0" borderId="0"/>
    <xf numFmtId="166" fontId="1" fillId="0" borderId="0" applyFont="0" applyFill="0" applyBorder="0" applyAlignment="0" applyProtection="0"/>
    <xf numFmtId="0" fontId="8" fillId="0" borderId="0"/>
    <xf numFmtId="167" fontId="5" fillId="0" borderId="0" applyFont="0" applyFill="0" applyBorder="0" applyAlignment="0" applyProtection="0"/>
    <xf numFmtId="167" fontId="1" fillId="0" borderId="0" applyFont="0" applyFill="0" applyBorder="0" applyAlignment="0" applyProtection="0"/>
    <xf numFmtId="167" fontId="5"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4" fontId="8" fillId="0" borderId="0" applyFont="0" applyFill="0" applyBorder="0" applyAlignment="0" applyProtection="0"/>
    <xf numFmtId="176" fontId="1" fillId="0" borderId="0"/>
    <xf numFmtId="0" fontId="1"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169" fontId="1" fillId="0" borderId="0" applyFont="0" applyFill="0" applyBorder="0" applyAlignment="0" applyProtection="0"/>
    <xf numFmtId="171" fontId="8"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5" fontId="1" fillId="0" borderId="0" applyFont="0" applyFill="0" applyBorder="0" applyAlignment="0" applyProtection="0"/>
    <xf numFmtId="0" fontId="1" fillId="0" borderId="0"/>
    <xf numFmtId="166"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1" fillId="0" borderId="0"/>
    <xf numFmtId="167" fontId="5" fillId="0" borderId="0" applyFont="0" applyFill="0" applyBorder="0" applyAlignment="0" applyProtection="0"/>
    <xf numFmtId="0" fontId="26" fillId="0" borderId="0"/>
    <xf numFmtId="168" fontId="1" fillId="0" borderId="0" applyFont="0" applyFill="0" applyBorder="0" applyAlignment="0" applyProtection="0"/>
    <xf numFmtId="0" fontId="1" fillId="0" borderId="0"/>
    <xf numFmtId="171" fontId="1" fillId="0" borderId="0"/>
    <xf numFmtId="176" fontId="19" fillId="0" borderId="31" applyNumberFormat="0" applyFill="0" applyAlignment="0" applyProtection="0"/>
    <xf numFmtId="171" fontId="1" fillId="0" borderId="0"/>
    <xf numFmtId="176" fontId="23" fillId="20" borderId="0" applyNumberFormat="0" applyBorder="0" applyAlignment="0" applyProtection="0"/>
    <xf numFmtId="176" fontId="1" fillId="0" borderId="0"/>
    <xf numFmtId="171" fontId="1" fillId="0" borderId="0"/>
    <xf numFmtId="176" fontId="1" fillId="0" borderId="0"/>
    <xf numFmtId="176" fontId="1" fillId="0" borderId="0"/>
    <xf numFmtId="176" fontId="1" fillId="0" borderId="0"/>
    <xf numFmtId="176" fontId="1" fillId="0" borderId="0"/>
    <xf numFmtId="176" fontId="1" fillId="0" borderId="0"/>
    <xf numFmtId="176" fontId="16" fillId="8" borderId="29" applyNumberFormat="0" applyAlignment="0" applyProtection="0"/>
    <xf numFmtId="171" fontId="1" fillId="0" borderId="0"/>
    <xf numFmtId="176" fontId="1" fillId="0" borderId="0"/>
    <xf numFmtId="176" fontId="23" fillId="16" borderId="0" applyNumberFormat="0" applyBorder="0" applyAlignment="0" applyProtection="0"/>
    <xf numFmtId="176" fontId="1" fillId="0" borderId="0"/>
    <xf numFmtId="176" fontId="1" fillId="0" borderId="0"/>
    <xf numFmtId="176" fontId="1" fillId="0" borderId="0"/>
    <xf numFmtId="176" fontId="23" fillId="24" borderId="0" applyNumberFormat="0" applyBorder="0" applyAlignment="0" applyProtection="0"/>
    <xf numFmtId="176" fontId="1" fillId="0" borderId="0"/>
    <xf numFmtId="176" fontId="13" fillId="0" borderId="28" applyNumberFormat="0" applyFill="0" applyAlignment="0" applyProtection="0"/>
    <xf numFmtId="171" fontId="1" fillId="0" borderId="0"/>
    <xf numFmtId="176" fontId="24" fillId="0" borderId="0" applyNumberFormat="0" applyFill="0" applyBorder="0" applyAlignment="0" applyProtection="0"/>
    <xf numFmtId="176" fontId="1" fillId="0" borderId="0"/>
    <xf numFmtId="176" fontId="1" fillId="0" borderId="0"/>
    <xf numFmtId="171" fontId="1" fillId="0" borderId="0"/>
    <xf numFmtId="176" fontId="1" fillId="14" borderId="0" applyNumberFormat="0" applyBorder="0" applyAlignment="0" applyProtection="0"/>
    <xf numFmtId="176" fontId="26" fillId="0" borderId="0"/>
    <xf numFmtId="176" fontId="1" fillId="0" borderId="0"/>
    <xf numFmtId="171" fontId="1" fillId="0" borderId="0"/>
    <xf numFmtId="176" fontId="1" fillId="0" borderId="0"/>
    <xf numFmtId="176" fontId="13" fillId="0" borderId="0" applyNumberFormat="0" applyFill="0" applyBorder="0" applyAlignment="0" applyProtection="0"/>
    <xf numFmtId="176" fontId="1" fillId="0" borderId="0"/>
    <xf numFmtId="176" fontId="1" fillId="11" borderId="33" applyNumberFormat="0" applyFont="0" applyAlignment="0" applyProtection="0"/>
    <xf numFmtId="176" fontId="1" fillId="0" borderId="0"/>
    <xf numFmtId="176" fontId="17" fillId="9" borderId="30" applyNumberFormat="0" applyAlignment="0" applyProtection="0"/>
    <xf numFmtId="171" fontId="1" fillId="0" borderId="0"/>
    <xf numFmtId="171" fontId="1" fillId="0" borderId="0"/>
    <xf numFmtId="176" fontId="1" fillId="0" borderId="0"/>
    <xf numFmtId="176" fontId="1" fillId="0" borderId="0"/>
    <xf numFmtId="176" fontId="1" fillId="0" borderId="0"/>
    <xf numFmtId="171" fontId="1" fillId="0" borderId="0"/>
    <xf numFmtId="176" fontId="8" fillId="0" borderId="0"/>
    <xf numFmtId="176" fontId="23" fillId="15" borderId="0" applyNumberFormat="0" applyBorder="0" applyAlignment="0" applyProtection="0"/>
    <xf numFmtId="171" fontId="1" fillId="0" borderId="0"/>
    <xf numFmtId="176" fontId="1" fillId="33" borderId="0" applyNumberFormat="0" applyBorder="0" applyAlignment="0" applyProtection="0"/>
    <xf numFmtId="176" fontId="1" fillId="0" borderId="0"/>
    <xf numFmtId="176" fontId="1" fillId="0" borderId="0"/>
    <xf numFmtId="176" fontId="1" fillId="26" borderId="0" applyNumberFormat="0" applyBorder="0" applyAlignment="0" applyProtection="0"/>
    <xf numFmtId="171" fontId="1" fillId="0" borderId="0"/>
    <xf numFmtId="176" fontId="22" fillId="0" borderId="34" applyNumberFormat="0" applyFill="0" applyAlignment="0" applyProtection="0"/>
    <xf numFmtId="176" fontId="8" fillId="0" borderId="0"/>
    <xf numFmtId="176" fontId="1" fillId="0" borderId="0"/>
    <xf numFmtId="176" fontId="1" fillId="29" borderId="0" applyNumberFormat="0" applyBorder="0" applyAlignment="0" applyProtection="0"/>
    <xf numFmtId="176" fontId="23" fillId="12" borderId="0" applyNumberFormat="0" applyBorder="0" applyAlignment="0" applyProtection="0"/>
    <xf numFmtId="176" fontId="1" fillId="0" borderId="0"/>
    <xf numFmtId="171" fontId="1" fillId="0" borderId="0"/>
    <xf numFmtId="176" fontId="1" fillId="0" borderId="0"/>
    <xf numFmtId="171" fontId="1" fillId="0" borderId="0"/>
    <xf numFmtId="171" fontId="1" fillId="0" borderId="0"/>
    <xf numFmtId="176" fontId="8" fillId="0" borderId="0"/>
    <xf numFmtId="176" fontId="25" fillId="0" borderId="0" applyNumberFormat="0" applyFill="0" applyBorder="0" applyAlignment="0" applyProtection="0"/>
    <xf numFmtId="176" fontId="1" fillId="0" borderId="0"/>
    <xf numFmtId="176" fontId="1" fillId="13" borderId="0" applyNumberFormat="0" applyBorder="0" applyAlignment="0" applyProtection="0"/>
    <xf numFmtId="176" fontId="1" fillId="0" borderId="0"/>
    <xf numFmtId="176" fontId="23" fillId="31" borderId="0" applyNumberFormat="0" applyBorder="0" applyAlignment="0" applyProtection="0"/>
    <xf numFmtId="176" fontId="1" fillId="0" borderId="0"/>
    <xf numFmtId="176" fontId="23" fillId="27" borderId="0" applyNumberFormat="0" applyBorder="0" applyAlignment="0" applyProtection="0"/>
    <xf numFmtId="176" fontId="1" fillId="0" borderId="0"/>
    <xf numFmtId="176" fontId="1" fillId="0" borderId="0"/>
    <xf numFmtId="176" fontId="1" fillId="0" borderId="0"/>
    <xf numFmtId="176" fontId="1" fillId="0" borderId="0"/>
    <xf numFmtId="176" fontId="23" fillId="19" borderId="0" applyNumberFormat="0" applyBorder="0" applyAlignment="0" applyProtection="0"/>
    <xf numFmtId="176" fontId="1" fillId="0" borderId="0"/>
    <xf numFmtId="176" fontId="8" fillId="0" borderId="0"/>
    <xf numFmtId="176" fontId="1" fillId="0" borderId="0"/>
    <xf numFmtId="176" fontId="10" fillId="0" borderId="0"/>
    <xf numFmtId="176" fontId="1" fillId="0" borderId="0"/>
    <xf numFmtId="176" fontId="23" fillId="32" borderId="0" applyNumberFormat="0" applyBorder="0" applyAlignment="0" applyProtection="0"/>
    <xf numFmtId="176" fontId="20" fillId="0" borderId="0" applyNumberFormat="0" applyFill="0" applyBorder="0" applyAlignment="0" applyProtection="0"/>
    <xf numFmtId="176" fontId="1" fillId="30" borderId="0" applyNumberFormat="0" applyBorder="0" applyAlignment="0" applyProtection="0"/>
    <xf numFmtId="176" fontId="1" fillId="18" borderId="0" applyNumberFormat="0" applyBorder="0" applyAlignment="0" applyProtection="0"/>
    <xf numFmtId="176" fontId="21" fillId="0" borderId="0" applyNumberFormat="0" applyFill="0" applyBorder="0" applyAlignment="0" applyProtection="0"/>
    <xf numFmtId="176" fontId="1" fillId="17" borderId="0" applyNumberFormat="0" applyBorder="0" applyAlignment="0" applyProtection="0"/>
    <xf numFmtId="176" fontId="14" fillId="6" borderId="0" applyNumberFormat="0" applyBorder="0" applyAlignment="0" applyProtection="0"/>
    <xf numFmtId="171" fontId="1" fillId="0" borderId="0"/>
    <xf numFmtId="171" fontId="1" fillId="0" borderId="0"/>
    <xf numFmtId="176" fontId="1" fillId="25" borderId="0" applyNumberFormat="0" applyBorder="0" applyAlignment="0" applyProtection="0"/>
    <xf numFmtId="176" fontId="1" fillId="0" borderId="0"/>
    <xf numFmtId="176" fontId="1" fillId="0" borderId="0"/>
    <xf numFmtId="176" fontId="1" fillId="22" borderId="0" applyNumberFormat="0" applyBorder="0" applyAlignment="0" applyProtection="0"/>
    <xf numFmtId="176" fontId="7" fillId="4" borderId="10">
      <alignment horizontal="center" vertical="center" wrapText="1"/>
    </xf>
    <xf numFmtId="176" fontId="1" fillId="0" borderId="0"/>
    <xf numFmtId="176" fontId="7" fillId="4" borderId="10">
      <alignment horizontal="center" vertical="center" wrapText="1"/>
    </xf>
    <xf numFmtId="176" fontId="1" fillId="0" borderId="0"/>
    <xf numFmtId="176" fontId="23" fillId="28" borderId="0" applyNumberFormat="0" applyBorder="0" applyAlignment="0" applyProtection="0"/>
    <xf numFmtId="171" fontId="1" fillId="0" borderId="0"/>
    <xf numFmtId="176" fontId="1" fillId="0" borderId="0"/>
    <xf numFmtId="176" fontId="1" fillId="0" borderId="0"/>
    <xf numFmtId="176" fontId="11" fillId="0" borderId="26" applyNumberFormat="0" applyFill="0" applyAlignment="0" applyProtection="0"/>
    <xf numFmtId="176" fontId="26" fillId="0" borderId="0"/>
    <xf numFmtId="176" fontId="1" fillId="0" borderId="0"/>
    <xf numFmtId="176" fontId="1" fillId="0" borderId="0"/>
    <xf numFmtId="176" fontId="1" fillId="0" borderId="0"/>
    <xf numFmtId="171" fontId="1" fillId="0" borderId="0"/>
    <xf numFmtId="176" fontId="1" fillId="0" borderId="0"/>
    <xf numFmtId="176" fontId="1" fillId="0" borderId="0"/>
    <xf numFmtId="0" fontId="8" fillId="0" borderId="0"/>
    <xf numFmtId="176" fontId="1" fillId="0" borderId="0"/>
    <xf numFmtId="176" fontId="1" fillId="0" borderId="0"/>
    <xf numFmtId="176" fontId="1" fillId="0" borderId="0"/>
    <xf numFmtId="171" fontId="1" fillId="0" borderId="0"/>
    <xf numFmtId="0" fontId="1" fillId="0" borderId="0"/>
    <xf numFmtId="0" fontId="8" fillId="0" borderId="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27" fillId="46" borderId="0" applyNumberFormat="0" applyBorder="0" applyAlignment="0" applyProtection="0"/>
    <xf numFmtId="0" fontId="27" fillId="43" borderId="0" applyNumberFormat="0" applyBorder="0" applyAlignment="0" applyProtection="0"/>
    <xf numFmtId="0" fontId="27" fillId="44" borderId="0" applyNumberFormat="0" applyBorder="0" applyAlignment="0" applyProtection="0"/>
    <xf numFmtId="0" fontId="27" fillId="47" borderId="0" applyNumberFormat="0" applyBorder="0" applyAlignment="0" applyProtection="0"/>
    <xf numFmtId="0" fontId="27" fillId="48" borderId="0" applyNumberFormat="0" applyBorder="0" applyAlignment="0" applyProtection="0"/>
    <xf numFmtId="0" fontId="27" fillId="49" borderId="0" applyNumberFormat="0" applyBorder="0" applyAlignment="0" applyProtection="0"/>
    <xf numFmtId="0" fontId="28" fillId="38" borderId="0" applyNumberFormat="0" applyBorder="0" applyAlignment="0" applyProtection="0"/>
    <xf numFmtId="0" fontId="29" fillId="50" borderId="35" applyNumberFormat="0" applyAlignment="0" applyProtection="0"/>
    <xf numFmtId="0" fontId="30" fillId="51" borderId="36" applyNumberFormat="0" applyAlignment="0" applyProtection="0"/>
    <xf numFmtId="0" fontId="31" fillId="0" borderId="37" applyNumberFormat="0" applyFill="0" applyAlignment="0" applyProtection="0"/>
    <xf numFmtId="0" fontId="32" fillId="0" borderId="0" applyNumberFormat="0" applyFill="0" applyBorder="0" applyAlignment="0" applyProtection="0"/>
    <xf numFmtId="0" fontId="27" fillId="52" borderId="0" applyNumberFormat="0" applyBorder="0" applyAlignment="0" applyProtection="0"/>
    <xf numFmtId="0" fontId="27" fillId="53" borderId="0" applyNumberFormat="0" applyBorder="0" applyAlignment="0" applyProtection="0"/>
    <xf numFmtId="0" fontId="27" fillId="54" borderId="0" applyNumberFormat="0" applyBorder="0" applyAlignment="0" applyProtection="0"/>
    <xf numFmtId="0" fontId="27" fillId="47" borderId="0" applyNumberFormat="0" applyBorder="0" applyAlignment="0" applyProtection="0"/>
    <xf numFmtId="0" fontId="27" fillId="48" borderId="0" applyNumberFormat="0" applyBorder="0" applyAlignment="0" applyProtection="0"/>
    <xf numFmtId="0" fontId="27" fillId="55" borderId="0" applyNumberFormat="0" applyBorder="0" applyAlignment="0" applyProtection="0"/>
    <xf numFmtId="0" fontId="33" fillId="41" borderId="35" applyNumberFormat="0" applyAlignment="0" applyProtection="0"/>
    <xf numFmtId="176" fontId="8" fillId="0" borderId="0" applyFont="0" applyFill="0" applyBorder="0" applyAlignment="0" applyProtection="0"/>
    <xf numFmtId="176" fontId="8" fillId="0" borderId="0" applyFont="0" applyFill="0" applyBorder="0" applyAlignment="0" applyProtection="0"/>
    <xf numFmtId="177" fontId="34" fillId="0" borderId="0">
      <protection locked="0"/>
    </xf>
    <xf numFmtId="177" fontId="34" fillId="0" borderId="0">
      <protection locked="0"/>
    </xf>
    <xf numFmtId="177" fontId="34" fillId="0" borderId="0">
      <protection locked="0"/>
    </xf>
    <xf numFmtId="177" fontId="35" fillId="0" borderId="0">
      <protection locked="0"/>
    </xf>
    <xf numFmtId="177" fontId="36" fillId="0" borderId="0">
      <protection locked="0"/>
    </xf>
    <xf numFmtId="177" fontId="35" fillId="0" borderId="0">
      <protection locked="0"/>
    </xf>
    <xf numFmtId="177" fontId="36" fillId="0" borderId="0">
      <protection locked="0"/>
    </xf>
    <xf numFmtId="0" fontId="37" fillId="37" borderId="0" applyNumberFormat="0" applyBorder="0" applyAlignment="0" applyProtection="0"/>
    <xf numFmtId="178" fontId="8" fillId="0" borderId="0" applyFont="0" applyFill="0" applyBorder="0" applyAlignment="0" applyProtection="0"/>
    <xf numFmtId="0" fontId="38" fillId="56" borderId="0" applyNumberFormat="0" applyBorder="0" applyAlignment="0" applyProtection="0"/>
    <xf numFmtId="0" fontId="8" fillId="0" borderId="0"/>
    <xf numFmtId="176" fontId="5" fillId="0" borderId="0"/>
    <xf numFmtId="0" fontId="8" fillId="0" borderId="0"/>
    <xf numFmtId="176" fontId="5" fillId="0" borderId="0"/>
    <xf numFmtId="0" fontId="8" fillId="0" borderId="0"/>
    <xf numFmtId="176" fontId="5" fillId="0" borderId="0"/>
    <xf numFmtId="0" fontId="8" fillId="0" borderId="0"/>
    <xf numFmtId="0" fontId="8" fillId="0" borderId="0"/>
    <xf numFmtId="176" fontId="5" fillId="0" borderId="0"/>
    <xf numFmtId="176" fontId="5" fillId="0" borderId="0"/>
    <xf numFmtId="0" fontId="8" fillId="0" borderId="0"/>
    <xf numFmtId="0" fontId="8" fillId="0" borderId="0"/>
    <xf numFmtId="0" fontId="8" fillId="0" borderId="0"/>
    <xf numFmtId="176" fontId="5" fillId="0" borderId="0"/>
    <xf numFmtId="176" fontId="5" fillId="0" borderId="0"/>
    <xf numFmtId="176" fontId="5" fillId="0" borderId="0"/>
    <xf numFmtId="0" fontId="8" fillId="0" borderId="0"/>
    <xf numFmtId="0" fontId="1" fillId="0" borderId="0"/>
    <xf numFmtId="176" fontId="5" fillId="0" borderId="0"/>
    <xf numFmtId="176" fontId="5" fillId="0" borderId="0"/>
    <xf numFmtId="0" fontId="8" fillId="0" borderId="0"/>
    <xf numFmtId="0" fontId="8" fillId="0" borderId="0"/>
    <xf numFmtId="0" fontId="8" fillId="0" borderId="0"/>
    <xf numFmtId="0" fontId="46" fillId="0" borderId="0"/>
    <xf numFmtId="0" fontId="8" fillId="0" borderId="0"/>
    <xf numFmtId="0" fontId="8" fillId="0" borderId="0"/>
    <xf numFmtId="0" fontId="8" fillId="57" borderId="39" applyNumberFormat="0" applyFont="0" applyAlignment="0" applyProtection="0"/>
    <xf numFmtId="0" fontId="8" fillId="57" borderId="39" applyNumberFormat="0" applyFont="0" applyAlignment="0" applyProtection="0"/>
    <xf numFmtId="0" fontId="39" fillId="50" borderId="40" applyNumberFormat="0" applyAlignment="0" applyProtection="0"/>
    <xf numFmtId="0" fontId="47" fillId="58" borderId="0"/>
    <xf numFmtId="0" fontId="40" fillId="0" borderId="0" applyNumberFormat="0" applyFill="0" applyBorder="0" applyAlignment="0" applyProtection="0"/>
    <xf numFmtId="0" fontId="41" fillId="0" borderId="0" applyNumberFormat="0" applyFill="0" applyBorder="0" applyAlignment="0" applyProtection="0"/>
    <xf numFmtId="0" fontId="42" fillId="0" borderId="38" applyNumberFormat="0" applyFill="0" applyAlignment="0" applyProtection="0"/>
    <xf numFmtId="0" fontId="43" fillId="0" borderId="41" applyNumberFormat="0" applyFill="0" applyAlignment="0" applyProtection="0"/>
    <xf numFmtId="0" fontId="32" fillId="0" borderId="42" applyNumberFormat="0" applyFill="0" applyAlignment="0" applyProtection="0"/>
    <xf numFmtId="0" fontId="44" fillId="0" borderId="0" applyNumberFormat="0" applyFill="0" applyBorder="0" applyAlignment="0" applyProtection="0"/>
    <xf numFmtId="0" fontId="45" fillId="0" borderId="43" applyNumberFormat="0" applyFill="0" applyAlignment="0" applyProtection="0"/>
    <xf numFmtId="0" fontId="8" fillId="0" borderId="0"/>
    <xf numFmtId="4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76" fontId="1" fillId="0" borderId="0"/>
    <xf numFmtId="0" fontId="59" fillId="0" borderId="0">
      <alignment vertical="center"/>
    </xf>
    <xf numFmtId="44" fontId="61" fillId="0" borderId="0">
      <alignment vertical="top"/>
      <protection locked="0"/>
    </xf>
    <xf numFmtId="9" fontId="62" fillId="0" borderId="0">
      <alignment vertical="top"/>
      <protection locked="0"/>
    </xf>
    <xf numFmtId="171" fontId="63" fillId="4" borderId="10">
      <protection locked="0"/>
    </xf>
    <xf numFmtId="167" fontId="61" fillId="0" borderId="0">
      <alignment vertical="top"/>
      <protection locked="0"/>
    </xf>
    <xf numFmtId="167" fontId="62" fillId="0" borderId="0">
      <alignment vertical="top"/>
      <protection locked="0"/>
    </xf>
    <xf numFmtId="9" fontId="61" fillId="0" borderId="0">
      <alignment vertical="top"/>
      <protection locked="0"/>
    </xf>
    <xf numFmtId="9" fontId="61" fillId="0" borderId="0">
      <alignment vertical="top"/>
      <protection locked="0"/>
    </xf>
    <xf numFmtId="0" fontId="60" fillId="0" borderId="0">
      <protection locked="0"/>
    </xf>
    <xf numFmtId="0" fontId="60" fillId="0" borderId="0">
      <protection locked="0"/>
    </xf>
    <xf numFmtId="167" fontId="61" fillId="0" borderId="0">
      <alignment vertical="top"/>
      <protection locked="0"/>
    </xf>
  </cellStyleXfs>
  <cellXfs count="568">
    <xf numFmtId="171" fontId="0" fillId="0" borderId="0" xfId="0"/>
    <xf numFmtId="171" fontId="2" fillId="0" borderId="0" xfId="0" applyFont="1"/>
    <xf numFmtId="171" fontId="2" fillId="2" borderId="0" xfId="0" applyFont="1" applyFill="1"/>
    <xf numFmtId="171" fontId="4" fillId="0" borderId="0" xfId="0" applyFont="1" applyAlignment="1">
      <alignment horizontal="center" vertical="center"/>
    </xf>
    <xf numFmtId="171" fontId="3" fillId="0" borderId="0" xfId="0" applyFont="1" applyAlignment="1">
      <alignment vertical="center"/>
    </xf>
    <xf numFmtId="0" fontId="2" fillId="0" borderId="0" xfId="0" applyNumberFormat="1" applyFont="1" applyAlignment="1">
      <alignment horizontal="center" vertical="center"/>
    </xf>
    <xf numFmtId="171" fontId="2" fillId="0" borderId="0" xfId="0" applyFont="1" applyAlignment="1">
      <alignment horizontal="center"/>
    </xf>
    <xf numFmtId="0" fontId="2" fillId="0" borderId="0" xfId="0" applyNumberFormat="1" applyFont="1" applyAlignment="1">
      <alignment horizontal="center" vertical="center" wrapText="1"/>
    </xf>
    <xf numFmtId="171" fontId="2" fillId="0" borderId="0" xfId="0" applyFont="1" applyAlignment="1">
      <alignment horizontal="justify" vertical="center" wrapText="1"/>
    </xf>
    <xf numFmtId="171" fontId="3" fillId="0" borderId="0" xfId="0" applyFont="1"/>
    <xf numFmtId="171" fontId="3" fillId="0" borderId="5" xfId="0" applyFont="1" applyBorder="1" applyAlignment="1">
      <alignment horizontal="center" vertical="center" wrapText="1"/>
    </xf>
    <xf numFmtId="171" fontId="3" fillId="0" borderId="6" xfId="0" applyFont="1" applyBorder="1" applyAlignment="1">
      <alignment horizontal="center" vertical="center" wrapText="1"/>
    </xf>
    <xf numFmtId="0" fontId="2" fillId="0" borderId="13" xfId="0" applyNumberFormat="1" applyFont="1" applyBorder="1" applyAlignment="1">
      <alignment horizontal="center" vertical="center" wrapText="1"/>
    </xf>
    <xf numFmtId="0" fontId="3" fillId="0" borderId="13" xfId="0" applyNumberFormat="1" applyFont="1" applyBorder="1" applyAlignment="1">
      <alignment horizontal="center" vertical="center" wrapText="1"/>
    </xf>
    <xf numFmtId="0" fontId="2" fillId="0" borderId="13" xfId="0" applyNumberFormat="1" applyFont="1" applyBorder="1" applyAlignment="1">
      <alignment horizontal="center" vertical="center"/>
    </xf>
    <xf numFmtId="0" fontId="2" fillId="0" borderId="13" xfId="5" applyFont="1" applyBorder="1" applyAlignment="1">
      <alignment horizontal="justify" vertical="center" wrapText="1"/>
    </xf>
    <xf numFmtId="0" fontId="2" fillId="0" borderId="3" xfId="0" applyNumberFormat="1" applyFont="1" applyBorder="1" applyAlignment="1">
      <alignment horizontal="center" vertical="center" wrapText="1"/>
    </xf>
    <xf numFmtId="171" fontId="2" fillId="0" borderId="3" xfId="0" applyFont="1" applyBorder="1" applyAlignment="1">
      <alignment horizontal="justify" vertical="center" wrapText="1"/>
    </xf>
    <xf numFmtId="171" fontId="2" fillId="0" borderId="0" xfId="0" applyFont="1" applyAlignment="1">
      <alignment vertical="center"/>
    </xf>
    <xf numFmtId="0" fontId="3" fillId="0" borderId="0" xfId="0" applyNumberFormat="1" applyFont="1" applyAlignment="1">
      <alignment horizontal="center" vertical="center" wrapText="1"/>
    </xf>
    <xf numFmtId="171" fontId="2" fillId="0" borderId="16" xfId="0" applyFont="1" applyBorder="1" applyAlignment="1">
      <alignment horizontal="justify" vertical="center" wrapText="1"/>
    </xf>
    <xf numFmtId="167" fontId="2" fillId="0" borderId="13" xfId="1" applyFont="1" applyFill="1" applyBorder="1" applyAlignment="1">
      <alignment vertical="center"/>
    </xf>
    <xf numFmtId="0" fontId="2" fillId="0" borderId="16" xfId="0" applyNumberFormat="1" applyFont="1" applyBorder="1" applyAlignment="1">
      <alignment horizontal="center" vertical="center" wrapText="1"/>
    </xf>
    <xf numFmtId="171" fontId="2" fillId="0" borderId="13" xfId="0" applyFont="1" applyBorder="1" applyAlignment="1">
      <alignment horizontal="justify" vertical="center" wrapText="1"/>
    </xf>
    <xf numFmtId="0" fontId="2" fillId="0" borderId="13" xfId="0" applyNumberFormat="1" applyFont="1" applyBorder="1" applyAlignment="1">
      <alignment horizontal="justify" vertical="center" wrapText="1"/>
    </xf>
    <xf numFmtId="0" fontId="3" fillId="0" borderId="44"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44" xfId="0" applyNumberFormat="1" applyFont="1" applyBorder="1" applyAlignment="1">
      <alignment horizontal="center" vertical="center" wrapText="1"/>
    </xf>
    <xf numFmtId="0" fontId="2" fillId="0" borderId="16" xfId="0" applyNumberFormat="1" applyFont="1" applyBorder="1" applyAlignment="1">
      <alignment horizontal="center" vertical="center"/>
    </xf>
    <xf numFmtId="167" fontId="2" fillId="0" borderId="13" xfId="1" applyFont="1" applyFill="1" applyBorder="1" applyAlignment="1">
      <alignment horizontal="left" vertical="center"/>
    </xf>
    <xf numFmtId="0" fontId="2" fillId="0" borderId="5" xfId="0" applyNumberFormat="1" applyFont="1" applyBorder="1" applyAlignment="1">
      <alignment horizontal="center" vertical="center" wrapText="1"/>
    </xf>
    <xf numFmtId="0" fontId="2" fillId="0" borderId="12" xfId="0" applyNumberFormat="1" applyFont="1" applyBorder="1" applyAlignment="1">
      <alignment horizontal="center" vertical="center" wrapText="1"/>
    </xf>
    <xf numFmtId="0" fontId="2" fillId="0" borderId="24" xfId="0" applyNumberFormat="1" applyFont="1" applyBorder="1" applyAlignment="1">
      <alignment horizontal="center" vertical="center"/>
    </xf>
    <xf numFmtId="171" fontId="2" fillId="0" borderId="25" xfId="0" applyFont="1" applyBorder="1" applyAlignment="1">
      <alignment horizontal="justify" vertical="center" wrapText="1"/>
    </xf>
    <xf numFmtId="167" fontId="2" fillId="0" borderId="25" xfId="1" applyFont="1" applyFill="1" applyBorder="1" applyAlignment="1">
      <alignment vertical="center"/>
    </xf>
    <xf numFmtId="0" fontId="2" fillId="0" borderId="45" xfId="0" applyNumberFormat="1" applyFont="1" applyBorder="1" applyAlignment="1">
      <alignment horizontal="center" vertical="center" wrapText="1"/>
    </xf>
    <xf numFmtId="0" fontId="2" fillId="0" borderId="47" xfId="0" applyNumberFormat="1" applyFont="1" applyBorder="1" applyAlignment="1">
      <alignment horizontal="center" vertical="center" wrapText="1"/>
    </xf>
    <xf numFmtId="0" fontId="2" fillId="0" borderId="11" xfId="0" applyNumberFormat="1" applyFont="1" applyBorder="1" applyAlignment="1">
      <alignment horizontal="center" vertical="center" wrapText="1"/>
    </xf>
    <xf numFmtId="167" fontId="2" fillId="0" borderId="0" xfId="1" applyFont="1" applyBorder="1" applyAlignment="1">
      <alignment horizontal="center"/>
    </xf>
    <xf numFmtId="171" fontId="6" fillId="0" borderId="0" xfId="0" applyFont="1"/>
    <xf numFmtId="0" fontId="3" fillId="0" borderId="45" xfId="0" applyNumberFormat="1" applyFont="1" applyBorder="1" applyAlignment="1">
      <alignment horizontal="center" vertical="center" wrapText="1"/>
    </xf>
    <xf numFmtId="0" fontId="3" fillId="0" borderId="46" xfId="0" applyNumberFormat="1" applyFont="1" applyBorder="1" applyAlignment="1">
      <alignment horizontal="center" vertical="center" wrapText="1"/>
    </xf>
    <xf numFmtId="0" fontId="2" fillId="0" borderId="46" xfId="0" applyNumberFormat="1" applyFont="1" applyBorder="1" applyAlignment="1">
      <alignment horizontal="center" vertical="center" wrapText="1"/>
    </xf>
    <xf numFmtId="0" fontId="2" fillId="2" borderId="9" xfId="0" applyNumberFormat="1" applyFont="1" applyFill="1" applyBorder="1" applyAlignment="1">
      <alignment horizontal="center" vertical="center" wrapText="1"/>
    </xf>
    <xf numFmtId="167" fontId="2" fillId="0" borderId="3" xfId="1" applyFont="1" applyFill="1" applyBorder="1" applyAlignment="1">
      <alignment horizontal="left" vertical="center"/>
    </xf>
    <xf numFmtId="0" fontId="2" fillId="0" borderId="3" xfId="0" applyNumberFormat="1" applyFont="1" applyBorder="1" applyAlignment="1">
      <alignment horizontal="center" vertical="center"/>
    </xf>
    <xf numFmtId="171" fontId="2" fillId="0" borderId="13" xfId="0" applyFont="1" applyBorder="1" applyAlignment="1">
      <alignment horizontal="justify" vertical="center"/>
    </xf>
    <xf numFmtId="0" fontId="2" fillId="0" borderId="45" xfId="0" applyNumberFormat="1" applyFont="1" applyBorder="1" applyAlignment="1">
      <alignment horizontal="center" vertical="center"/>
    </xf>
    <xf numFmtId="0" fontId="2" fillId="0" borderId="12" xfId="0" applyNumberFormat="1" applyFont="1" applyBorder="1" applyAlignment="1">
      <alignment horizontal="center" vertical="center"/>
    </xf>
    <xf numFmtId="167" fontId="2" fillId="0" borderId="13" xfId="1" applyFont="1" applyBorder="1" applyAlignment="1">
      <alignment horizontal="left" vertical="center"/>
    </xf>
    <xf numFmtId="0" fontId="2" fillId="0" borderId="13" xfId="0" applyNumberFormat="1" applyFont="1" applyBorder="1" applyAlignment="1">
      <alignment horizontal="justify" vertical="center"/>
    </xf>
    <xf numFmtId="167" fontId="2" fillId="0" borderId="0" xfId="1" applyFont="1" applyAlignment="1">
      <alignment horizontal="center"/>
    </xf>
    <xf numFmtId="0" fontId="3" fillId="0" borderId="0" xfId="0" applyNumberFormat="1" applyFont="1" applyAlignment="1">
      <alignment horizontal="center" vertical="center"/>
    </xf>
    <xf numFmtId="171" fontId="3" fillId="0" borderId="0" xfId="0" applyFont="1" applyAlignment="1">
      <alignment horizontal="center"/>
    </xf>
    <xf numFmtId="167" fontId="3" fillId="0" borderId="0" xfId="1" applyFont="1" applyFill="1" applyAlignment="1">
      <alignment horizontal="center"/>
    </xf>
    <xf numFmtId="0" fontId="2" fillId="0" borderId="3" xfId="0" applyNumberFormat="1" applyFont="1" applyBorder="1" applyAlignment="1">
      <alignment horizontal="left" vertical="center" wrapText="1"/>
    </xf>
    <xf numFmtId="0" fontId="3" fillId="61" borderId="13" xfId="0" applyNumberFormat="1" applyFont="1" applyFill="1" applyBorder="1" applyAlignment="1">
      <alignment horizontal="left" vertical="center"/>
    </xf>
    <xf numFmtId="0" fontId="2" fillId="0" borderId="22" xfId="0" applyNumberFormat="1" applyFont="1" applyBorder="1" applyAlignment="1">
      <alignment horizontal="center" vertical="center"/>
    </xf>
    <xf numFmtId="0" fontId="2" fillId="0" borderId="18" xfId="0" applyNumberFormat="1" applyFont="1" applyBorder="1" applyAlignment="1">
      <alignment horizontal="center" vertical="center" wrapText="1"/>
    </xf>
    <xf numFmtId="171" fontId="2" fillId="0" borderId="18" xfId="0" applyFont="1" applyBorder="1" applyAlignment="1">
      <alignment horizontal="justify" vertical="center" wrapText="1"/>
    </xf>
    <xf numFmtId="167" fontId="2" fillId="0" borderId="22" xfId="1" applyFont="1" applyBorder="1" applyAlignment="1">
      <alignment horizontal="center"/>
    </xf>
    <xf numFmtId="171" fontId="3" fillId="61" borderId="19" xfId="0" applyFont="1" applyFill="1" applyBorder="1" applyAlignment="1">
      <alignment horizontal="center" vertical="center"/>
    </xf>
    <xf numFmtId="0" fontId="3" fillId="61" borderId="13" xfId="0" applyNumberFormat="1" applyFont="1" applyFill="1" applyBorder="1" applyAlignment="1">
      <alignment horizontal="center" vertical="center"/>
    </xf>
    <xf numFmtId="171" fontId="3" fillId="61" borderId="13" xfId="0" applyFont="1" applyFill="1" applyBorder="1" applyAlignment="1">
      <alignment horizontal="center" vertical="center"/>
    </xf>
    <xf numFmtId="167" fontId="3" fillId="61" borderId="13" xfId="1" applyFont="1" applyFill="1" applyBorder="1" applyAlignment="1">
      <alignment horizontal="center" vertical="center"/>
    </xf>
    <xf numFmtId="0" fontId="3" fillId="61" borderId="17" xfId="0" applyNumberFormat="1" applyFont="1" applyFill="1" applyBorder="1" applyAlignment="1">
      <alignment horizontal="left" vertical="center"/>
    </xf>
    <xf numFmtId="0" fontId="3" fillId="60" borderId="3" xfId="0" applyNumberFormat="1" applyFont="1" applyFill="1" applyBorder="1" applyAlignment="1">
      <alignment horizontal="center" vertical="center" wrapText="1"/>
    </xf>
    <xf numFmtId="0" fontId="3" fillId="60" borderId="3" xfId="0" applyNumberFormat="1" applyFont="1" applyFill="1" applyBorder="1" applyAlignment="1">
      <alignment horizontal="left" vertical="center" wrapText="1"/>
    </xf>
    <xf numFmtId="171" fontId="22" fillId="0" borderId="0" xfId="0" applyFont="1"/>
    <xf numFmtId="167" fontId="3" fillId="60" borderId="3" xfId="1" applyFont="1" applyFill="1" applyBorder="1" applyAlignment="1">
      <alignment horizontal="center" vertical="center"/>
    </xf>
    <xf numFmtId="0" fontId="3" fillId="61" borderId="54" xfId="0" applyNumberFormat="1" applyFont="1" applyFill="1" applyBorder="1" applyAlignment="1">
      <alignment horizontal="left" vertical="center"/>
    </xf>
    <xf numFmtId="0" fontId="3" fillId="61" borderId="55" xfId="0" applyNumberFormat="1" applyFont="1" applyFill="1" applyBorder="1" applyAlignment="1">
      <alignment horizontal="center" vertical="center"/>
    </xf>
    <xf numFmtId="171" fontId="3" fillId="61" borderId="55" xfId="0" applyFont="1" applyFill="1" applyBorder="1" applyAlignment="1">
      <alignment horizontal="center" vertical="center"/>
    </xf>
    <xf numFmtId="167" fontId="3" fillId="61" borderId="56" xfId="1" applyFont="1" applyFill="1" applyBorder="1" applyAlignment="1">
      <alignment horizontal="center" vertical="center"/>
    </xf>
    <xf numFmtId="0" fontId="3" fillId="62" borderId="48" xfId="0" applyNumberFormat="1" applyFont="1" applyFill="1" applyBorder="1" applyAlignment="1">
      <alignment horizontal="left" vertical="center"/>
    </xf>
    <xf numFmtId="0" fontId="3" fillId="62" borderId="49" xfId="0" applyNumberFormat="1" applyFont="1" applyFill="1" applyBorder="1" applyAlignment="1">
      <alignment horizontal="center" vertical="center"/>
    </xf>
    <xf numFmtId="171" fontId="3" fillId="62" borderId="49" xfId="0" applyFont="1" applyFill="1" applyBorder="1" applyAlignment="1">
      <alignment horizontal="center"/>
    </xf>
    <xf numFmtId="167" fontId="3" fillId="62" borderId="52" xfId="1" applyFont="1" applyFill="1" applyBorder="1" applyAlignment="1">
      <alignment horizontal="center" vertical="center"/>
    </xf>
    <xf numFmtId="0" fontId="3" fillId="60" borderId="13" xfId="0" applyNumberFormat="1" applyFont="1" applyFill="1" applyBorder="1" applyAlignment="1">
      <alignment horizontal="left" vertical="center"/>
    </xf>
    <xf numFmtId="167" fontId="3" fillId="60" borderId="13" xfId="1" applyFont="1" applyFill="1" applyBorder="1" applyAlignment="1">
      <alignment horizontal="left" vertical="center"/>
    </xf>
    <xf numFmtId="0" fontId="3" fillId="60" borderId="13" xfId="0" applyNumberFormat="1" applyFont="1" applyFill="1" applyBorder="1" applyAlignment="1">
      <alignment horizontal="center" vertical="center"/>
    </xf>
    <xf numFmtId="0" fontId="3" fillId="60" borderId="13" xfId="0" applyNumberFormat="1" applyFont="1" applyFill="1" applyBorder="1" applyAlignment="1">
      <alignment horizontal="left" vertical="center" wrapText="1"/>
    </xf>
    <xf numFmtId="167" fontId="3" fillId="60" borderId="13" xfId="1" applyFont="1" applyFill="1" applyBorder="1" applyAlignment="1">
      <alignment horizontal="left" vertical="center" wrapText="1"/>
    </xf>
    <xf numFmtId="0" fontId="4" fillId="62" borderId="2" xfId="0" applyNumberFormat="1" applyFont="1" applyFill="1" applyBorder="1" applyAlignment="1">
      <alignment horizontal="center" vertical="center" wrapText="1"/>
    </xf>
    <xf numFmtId="173" fontId="4" fillId="62" borderId="3" xfId="3" applyNumberFormat="1" applyFont="1" applyFill="1" applyBorder="1" applyAlignment="1">
      <alignment horizontal="center" vertical="center" wrapText="1"/>
    </xf>
    <xf numFmtId="171" fontId="4" fillId="62" borderId="3" xfId="0" applyFont="1" applyFill="1" applyBorder="1" applyAlignment="1">
      <alignment horizontal="center" vertical="center" wrapText="1"/>
    </xf>
    <xf numFmtId="0" fontId="2" fillId="0" borderId="16" xfId="0" applyNumberFormat="1" applyFont="1" applyBorder="1" applyAlignment="1">
      <alignment vertical="center"/>
    </xf>
    <xf numFmtId="0" fontId="2" fillId="0" borderId="13" xfId="0" applyNumberFormat="1" applyFont="1" applyBorder="1" applyAlignment="1">
      <alignment vertical="center"/>
    </xf>
    <xf numFmtId="0" fontId="3" fillId="61" borderId="25" xfId="0" applyNumberFormat="1" applyFont="1" applyFill="1" applyBorder="1" applyAlignment="1">
      <alignment horizontal="left" vertical="center"/>
    </xf>
    <xf numFmtId="171" fontId="3" fillId="61" borderId="25" xfId="0" applyFont="1" applyFill="1" applyBorder="1" applyAlignment="1">
      <alignment horizontal="center" vertical="center"/>
    </xf>
    <xf numFmtId="167" fontId="3" fillId="61" borderId="25" xfId="1" applyFont="1" applyFill="1" applyBorder="1" applyAlignment="1">
      <alignment horizontal="center" vertical="center"/>
    </xf>
    <xf numFmtId="167" fontId="2" fillId="0" borderId="19" xfId="1" applyFont="1" applyFill="1" applyBorder="1" applyAlignment="1">
      <alignment horizontal="left" vertical="center"/>
    </xf>
    <xf numFmtId="0" fontId="2" fillId="0" borderId="53" xfId="0" applyNumberFormat="1" applyFont="1" applyBorder="1" applyAlignment="1">
      <alignment horizontal="center" vertical="center" wrapText="1"/>
    </xf>
    <xf numFmtId="0" fontId="2" fillId="0" borderId="3" xfId="0" applyNumberFormat="1" applyFont="1" applyBorder="1" applyAlignment="1">
      <alignment vertical="center"/>
    </xf>
    <xf numFmtId="171" fontId="2" fillId="0" borderId="16" xfId="0" applyFont="1" applyBorder="1" applyAlignment="1">
      <alignment horizontal="justify" vertical="center"/>
    </xf>
    <xf numFmtId="0" fontId="2" fillId="0" borderId="17" xfId="0" applyNumberFormat="1" applyFont="1" applyBorder="1" applyAlignment="1">
      <alignment vertical="center"/>
    </xf>
    <xf numFmtId="167" fontId="2" fillId="0" borderId="17" xfId="1" applyFont="1" applyFill="1" applyBorder="1" applyAlignment="1">
      <alignment vertical="center"/>
    </xf>
    <xf numFmtId="167" fontId="2" fillId="0" borderId="3" xfId="1" applyFont="1" applyFill="1" applyBorder="1" applyAlignment="1">
      <alignment vertical="center"/>
    </xf>
    <xf numFmtId="0" fontId="3" fillId="66" borderId="17" xfId="0" applyNumberFormat="1" applyFont="1" applyFill="1" applyBorder="1" applyAlignment="1">
      <alignment horizontal="center" vertical="center" wrapText="1"/>
    </xf>
    <xf numFmtId="0" fontId="3" fillId="66" borderId="13" xfId="0" applyNumberFormat="1" applyFont="1" applyFill="1" applyBorder="1" applyAlignment="1">
      <alignment vertical="center"/>
    </xf>
    <xf numFmtId="167" fontId="3" fillId="66" borderId="13" xfId="1" applyFont="1" applyFill="1" applyBorder="1" applyAlignment="1">
      <alignment vertical="center"/>
    </xf>
    <xf numFmtId="0" fontId="3" fillId="66" borderId="53" xfId="0" applyNumberFormat="1" applyFont="1" applyFill="1" applyBorder="1" applyAlignment="1">
      <alignment horizontal="center" vertical="center" wrapText="1"/>
    </xf>
    <xf numFmtId="0" fontId="3" fillId="66" borderId="19" xfId="0" applyNumberFormat="1" applyFont="1" applyFill="1" applyBorder="1" applyAlignment="1">
      <alignment vertical="center"/>
    </xf>
    <xf numFmtId="167" fontId="3" fillId="66" borderId="19" xfId="1" applyFont="1" applyFill="1" applyBorder="1" applyAlignment="1">
      <alignment vertical="center"/>
    </xf>
    <xf numFmtId="0" fontId="3" fillId="67" borderId="21" xfId="0" applyNumberFormat="1" applyFont="1" applyFill="1" applyBorder="1" applyAlignment="1">
      <alignment horizontal="center" vertical="center" wrapText="1"/>
    </xf>
    <xf numFmtId="0" fontId="3" fillId="67" borderId="13" xfId="0" applyNumberFormat="1" applyFont="1" applyFill="1" applyBorder="1" applyAlignment="1">
      <alignment horizontal="left" vertical="center"/>
    </xf>
    <xf numFmtId="0" fontId="3" fillId="67" borderId="16" xfId="0" applyNumberFormat="1" applyFont="1" applyFill="1" applyBorder="1" applyAlignment="1">
      <alignment vertical="center"/>
    </xf>
    <xf numFmtId="167" fontId="3" fillId="67" borderId="13" xfId="1" applyFont="1" applyFill="1" applyBorder="1" applyAlignment="1">
      <alignment vertical="center"/>
    </xf>
    <xf numFmtId="0" fontId="3" fillId="67" borderId="51" xfId="0" applyNumberFormat="1" applyFont="1" applyFill="1" applyBorder="1" applyAlignment="1">
      <alignment horizontal="center" vertical="center" wrapText="1"/>
    </xf>
    <xf numFmtId="0" fontId="3" fillId="67" borderId="16" xfId="0" applyNumberFormat="1" applyFont="1" applyFill="1" applyBorder="1" applyAlignment="1">
      <alignment horizontal="left" vertical="center"/>
    </xf>
    <xf numFmtId="0" fontId="3" fillId="67" borderId="16" xfId="0" applyNumberFormat="1" applyFont="1" applyFill="1" applyBorder="1" applyAlignment="1">
      <alignment horizontal="center" vertical="center" wrapText="1"/>
    </xf>
    <xf numFmtId="0" fontId="3" fillId="67" borderId="13" xfId="0" applyNumberFormat="1" applyFont="1" applyFill="1" applyBorder="1" applyAlignment="1">
      <alignment vertical="center"/>
    </xf>
    <xf numFmtId="0" fontId="3" fillId="67" borderId="15" xfId="0" applyNumberFormat="1" applyFont="1" applyFill="1" applyBorder="1" applyAlignment="1">
      <alignment horizontal="center" vertical="center" wrapText="1"/>
    </xf>
    <xf numFmtId="0" fontId="3" fillId="67" borderId="20" xfId="0" applyNumberFormat="1" applyFont="1" applyFill="1" applyBorder="1" applyAlignment="1">
      <alignment horizontal="center" vertical="center" wrapText="1"/>
    </xf>
    <xf numFmtId="0" fontId="3" fillId="67" borderId="50" xfId="0" applyNumberFormat="1" applyFont="1" applyFill="1" applyBorder="1" applyAlignment="1">
      <alignment horizontal="left" vertical="center" wrapText="1"/>
    </xf>
    <xf numFmtId="0" fontId="3" fillId="67" borderId="23" xfId="0" applyNumberFormat="1" applyFont="1" applyFill="1" applyBorder="1" applyAlignment="1">
      <alignment horizontal="center" vertical="center" wrapText="1"/>
    </xf>
    <xf numFmtId="0" fontId="3" fillId="67" borderId="13" xfId="0" applyNumberFormat="1" applyFont="1" applyFill="1" applyBorder="1" applyAlignment="1">
      <alignment horizontal="center" vertical="center" wrapText="1"/>
    </xf>
    <xf numFmtId="167" fontId="2" fillId="0" borderId="3" xfId="1" applyFont="1" applyFill="1" applyBorder="1" applyAlignment="1">
      <alignment horizontal="center" vertical="center" wrapText="1"/>
    </xf>
    <xf numFmtId="167" fontId="3" fillId="60" borderId="3" xfId="1" applyFont="1" applyFill="1" applyBorder="1" applyAlignment="1">
      <alignment horizontal="center" vertical="center" wrapText="1"/>
    </xf>
    <xf numFmtId="0" fontId="3" fillId="67" borderId="16" xfId="0" applyNumberFormat="1" applyFont="1" applyFill="1" applyBorder="1" applyAlignment="1">
      <alignment horizontal="justify" vertical="center"/>
    </xf>
    <xf numFmtId="171" fontId="2" fillId="0" borderId="20" xfId="0" applyFont="1" applyBorder="1" applyAlignment="1">
      <alignment horizontal="justify" vertical="center" wrapText="1"/>
    </xf>
    <xf numFmtId="167" fontId="2" fillId="0" borderId="17" xfId="1" applyFont="1" applyFill="1" applyBorder="1" applyAlignment="1">
      <alignment horizontal="left" vertical="center"/>
    </xf>
    <xf numFmtId="0" fontId="3" fillId="61" borderId="15" xfId="0" applyNumberFormat="1" applyFont="1" applyFill="1" applyBorder="1" applyAlignment="1">
      <alignment horizontal="left" vertical="center"/>
    </xf>
    <xf numFmtId="0" fontId="3" fillId="61" borderId="18" xfId="0" applyNumberFormat="1" applyFont="1" applyFill="1" applyBorder="1" applyAlignment="1">
      <alignment horizontal="center" vertical="center"/>
    </xf>
    <xf numFmtId="171" fontId="3" fillId="61" borderId="16" xfId="0" applyFont="1" applyFill="1" applyBorder="1" applyAlignment="1">
      <alignment horizontal="center" vertical="center"/>
    </xf>
    <xf numFmtId="0" fontId="3" fillId="61" borderId="15" xfId="0" applyNumberFormat="1" applyFont="1" applyFill="1" applyBorder="1" applyAlignment="1">
      <alignment horizontal="center" vertical="center"/>
    </xf>
    <xf numFmtId="0" fontId="2" fillId="0" borderId="0" xfId="0" applyNumberFormat="1" applyFont="1" applyAlignment="1">
      <alignment horizontal="justify" vertical="center" wrapText="1"/>
    </xf>
    <xf numFmtId="171" fontId="4" fillId="69" borderId="3" xfId="0" applyFont="1" applyFill="1" applyBorder="1" applyAlignment="1">
      <alignment horizontal="center" vertical="center" wrapText="1"/>
    </xf>
    <xf numFmtId="171" fontId="3" fillId="0" borderId="0" xfId="0" applyFont="1" applyAlignment="1">
      <alignment horizontal="center" vertical="center"/>
    </xf>
    <xf numFmtId="1" fontId="8" fillId="0" borderId="3" xfId="4" applyNumberFormat="1" applyFont="1" applyFill="1" applyBorder="1">
      <alignment horizontal="center" vertical="center" wrapText="1"/>
    </xf>
    <xf numFmtId="167" fontId="8" fillId="0" borderId="3" xfId="1" applyFont="1" applyFill="1" applyBorder="1" applyAlignment="1">
      <alignment horizontal="justify" vertical="center"/>
    </xf>
    <xf numFmtId="167" fontId="8" fillId="0" borderId="3" xfId="1" applyFont="1" applyFill="1" applyBorder="1" applyAlignment="1">
      <alignment horizontal="right" vertical="center"/>
    </xf>
    <xf numFmtId="0" fontId="8" fillId="0" borderId="3" xfId="7" applyFont="1" applyFill="1" applyBorder="1">
      <alignment horizontal="center" vertical="center" wrapText="1"/>
    </xf>
    <xf numFmtId="2" fontId="8" fillId="0" borderId="3" xfId="4" applyNumberFormat="1" applyFont="1" applyFill="1" applyBorder="1">
      <alignment horizontal="center" vertical="center" wrapText="1"/>
    </xf>
    <xf numFmtId="0" fontId="8" fillId="0" borderId="3" xfId="4" applyNumberFormat="1" applyFont="1" applyFill="1" applyBorder="1" applyAlignment="1">
      <alignment horizontal="justify" vertical="center" wrapText="1"/>
    </xf>
    <xf numFmtId="167" fontId="8" fillId="0" borderId="3" xfId="1" applyFont="1" applyFill="1" applyBorder="1" applyAlignment="1">
      <alignment horizontal="right" vertical="center" wrapText="1"/>
    </xf>
    <xf numFmtId="167" fontId="8" fillId="0" borderId="3" xfId="1" applyFont="1" applyFill="1" applyBorder="1" applyAlignment="1">
      <alignment horizontal="center" vertical="center" wrapText="1"/>
    </xf>
    <xf numFmtId="0" fontId="8" fillId="0" borderId="3" xfId="4" applyNumberFormat="1" applyFont="1" applyFill="1" applyBorder="1">
      <alignment horizontal="center" vertical="center" wrapText="1"/>
    </xf>
    <xf numFmtId="167" fontId="8" fillId="0" borderId="3" xfId="1" applyFont="1" applyFill="1" applyBorder="1" applyAlignment="1">
      <alignment vertical="center"/>
    </xf>
    <xf numFmtId="0" fontId="8" fillId="0" borderId="3" xfId="0" applyNumberFormat="1" applyFont="1" applyFill="1" applyBorder="1" applyAlignment="1">
      <alignment horizontal="center" vertical="center" wrapText="1"/>
    </xf>
    <xf numFmtId="0" fontId="8" fillId="0" borderId="3" xfId="0" applyNumberFormat="1" applyFont="1" applyFill="1" applyBorder="1" applyAlignment="1">
      <alignment horizontal="justify" vertical="center" wrapText="1"/>
    </xf>
    <xf numFmtId="171" fontId="8" fillId="0" borderId="3" xfId="0" applyFont="1" applyFill="1" applyBorder="1" applyAlignment="1">
      <alignment horizontal="justify" vertical="center" wrapText="1"/>
    </xf>
    <xf numFmtId="0" fontId="8" fillId="0" borderId="3" xfId="5" applyFont="1" applyFill="1" applyBorder="1" applyAlignment="1">
      <alignment horizontal="justify" vertical="center" wrapText="1"/>
    </xf>
    <xf numFmtId="171" fontId="8" fillId="0" borderId="3" xfId="0" applyFont="1" applyFill="1" applyBorder="1" applyAlignment="1">
      <alignment horizontal="center" vertical="center" wrapText="1"/>
    </xf>
    <xf numFmtId="1" fontId="8" fillId="0" borderId="3" xfId="5" applyNumberFormat="1" applyFont="1" applyFill="1" applyBorder="1" applyAlignment="1">
      <alignment horizontal="center" vertical="center" wrapText="1"/>
    </xf>
    <xf numFmtId="0" fontId="8" fillId="0" borderId="3" xfId="5" applyFont="1" applyFill="1" applyBorder="1" applyAlignment="1">
      <alignment horizontal="center" vertical="center" wrapText="1"/>
    </xf>
    <xf numFmtId="1" fontId="8" fillId="0" borderId="3" xfId="0" applyNumberFormat="1" applyFont="1" applyFill="1" applyBorder="1" applyAlignment="1">
      <alignment horizontal="center" vertical="center" wrapText="1"/>
    </xf>
    <xf numFmtId="3" fontId="8" fillId="0" borderId="3" xfId="0" applyNumberFormat="1" applyFont="1" applyFill="1" applyBorder="1" applyAlignment="1">
      <alignment horizontal="justify" vertical="center" wrapText="1"/>
    </xf>
    <xf numFmtId="167" fontId="8" fillId="0" borderId="3" xfId="1" applyFont="1" applyFill="1" applyBorder="1" applyAlignment="1">
      <alignment horizontal="center" vertical="center"/>
    </xf>
    <xf numFmtId="43" fontId="8" fillId="0" borderId="3" xfId="0" applyNumberFormat="1" applyFont="1" applyFill="1" applyBorder="1" applyAlignment="1">
      <alignment horizontal="justify" vertical="center" wrapText="1"/>
    </xf>
    <xf numFmtId="171" fontId="8" fillId="0" borderId="0" xfId="0" applyFont="1" applyFill="1" applyAlignment="1">
      <alignment vertical="center"/>
    </xf>
    <xf numFmtId="171" fontId="8" fillId="0" borderId="0" xfId="0" applyFont="1" applyFill="1"/>
    <xf numFmtId="0" fontId="8" fillId="0" borderId="44" xfId="0" applyNumberFormat="1" applyFont="1" applyFill="1" applyBorder="1" applyAlignment="1">
      <alignment horizontal="center" vertical="center" wrapText="1"/>
    </xf>
    <xf numFmtId="0" fontId="8" fillId="0" borderId="44" xfId="0" applyNumberFormat="1" applyFont="1" applyFill="1" applyBorder="1" applyAlignment="1">
      <alignment horizontal="justify" vertical="center" wrapText="1"/>
    </xf>
    <xf numFmtId="0" fontId="8" fillId="0" borderId="44" xfId="5" applyFont="1" applyFill="1" applyBorder="1" applyAlignment="1">
      <alignment horizontal="justify" vertical="center" wrapText="1"/>
    </xf>
    <xf numFmtId="0" fontId="8" fillId="0" borderId="44" xfId="5" applyFont="1" applyFill="1" applyBorder="1" applyAlignment="1">
      <alignment horizontal="center" vertical="center" wrapText="1"/>
    </xf>
    <xf numFmtId="1" fontId="8" fillId="0" borderId="44" xfId="0" applyNumberFormat="1" applyFont="1" applyFill="1" applyBorder="1" applyAlignment="1">
      <alignment horizontal="center" vertical="center" wrapText="1"/>
    </xf>
    <xf numFmtId="3" fontId="8" fillId="0" borderId="44" xfId="0" applyNumberFormat="1" applyFont="1" applyFill="1" applyBorder="1" applyAlignment="1">
      <alignment horizontal="justify" vertical="center" wrapText="1"/>
    </xf>
    <xf numFmtId="167" fontId="8" fillId="0" borderId="44" xfId="1" applyFont="1" applyFill="1" applyBorder="1" applyAlignment="1">
      <alignment horizontal="justify" vertical="center"/>
    </xf>
    <xf numFmtId="167" fontId="8" fillId="0" borderId="44" xfId="1" applyFont="1" applyFill="1" applyBorder="1" applyAlignment="1">
      <alignment horizontal="center" vertical="center"/>
    </xf>
    <xf numFmtId="167" fontId="8" fillId="0" borderId="44" xfId="1" applyFont="1" applyFill="1" applyBorder="1" applyAlignment="1">
      <alignment vertical="center"/>
    </xf>
    <xf numFmtId="43" fontId="8" fillId="0" borderId="44" xfId="0" applyNumberFormat="1" applyFont="1" applyFill="1" applyBorder="1" applyAlignment="1">
      <alignment horizontal="justify" vertical="center" wrapText="1"/>
    </xf>
    <xf numFmtId="171" fontId="4" fillId="68" borderId="15" xfId="0" applyFont="1" applyFill="1" applyBorder="1" applyAlignment="1">
      <alignment horizontal="center" vertical="center"/>
    </xf>
    <xf numFmtId="167" fontId="4" fillId="68" borderId="13" xfId="1" applyFont="1" applyFill="1" applyBorder="1" applyAlignment="1">
      <alignment vertical="center"/>
    </xf>
    <xf numFmtId="10" fontId="53" fillId="2" borderId="3" xfId="0" applyNumberFormat="1" applyFont="1" applyFill="1" applyBorder="1" applyAlignment="1" applyProtection="1">
      <alignment horizontal="center" vertical="center"/>
      <protection locked="0"/>
    </xf>
    <xf numFmtId="10" fontId="52" fillId="2" borderId="52" xfId="0" applyNumberFormat="1" applyFont="1" applyFill="1" applyBorder="1" applyAlignment="1" applyProtection="1">
      <alignment horizontal="center" vertical="center"/>
      <protection locked="0"/>
    </xf>
    <xf numFmtId="10" fontId="52" fillId="2" borderId="3" xfId="0" applyNumberFormat="1" applyFont="1" applyFill="1" applyBorder="1" applyAlignment="1" applyProtection="1">
      <alignment horizontal="center" vertical="center"/>
      <protection locked="0"/>
    </xf>
    <xf numFmtId="173" fontId="4" fillId="60" borderId="3" xfId="3" applyNumberFormat="1" applyFont="1" applyFill="1" applyBorder="1" applyAlignment="1">
      <alignment horizontal="center" vertical="center" wrapText="1"/>
    </xf>
    <xf numFmtId="0" fontId="26" fillId="0" borderId="0" xfId="92" applyFont="1"/>
    <xf numFmtId="0" fontId="26" fillId="0" borderId="0" xfId="92" applyFont="1" applyFill="1"/>
    <xf numFmtId="0" fontId="26" fillId="0" borderId="3" xfId="92" applyFont="1" applyBorder="1" applyAlignment="1">
      <alignment horizontal="left" vertical="center"/>
    </xf>
    <xf numFmtId="43" fontId="8" fillId="0" borderId="3" xfId="101" applyNumberFormat="1" applyFont="1" applyBorder="1" applyAlignment="1">
      <alignment horizontal="right" vertical="center"/>
    </xf>
    <xf numFmtId="9" fontId="8" fillId="0" borderId="3" xfId="94" applyFont="1" applyBorder="1" applyAlignment="1">
      <alignment horizontal="center" vertical="center"/>
    </xf>
    <xf numFmtId="43" fontId="8" fillId="0" borderId="3" xfId="101" applyNumberFormat="1" applyFont="1" applyFill="1" applyBorder="1" applyAlignment="1">
      <alignment horizontal="right" vertical="center"/>
    </xf>
    <xf numFmtId="9" fontId="8" fillId="0" borderId="3" xfId="94" applyNumberFormat="1" applyFont="1" applyBorder="1" applyAlignment="1">
      <alignment horizontal="center" vertical="center"/>
    </xf>
    <xf numFmtId="9" fontId="4" fillId="0" borderId="3" xfId="92" applyNumberFormat="1" applyFont="1" applyFill="1" applyBorder="1" applyAlignment="1" applyProtection="1">
      <alignment horizontal="center" vertical="center"/>
      <protection locked="0"/>
    </xf>
    <xf numFmtId="43" fontId="8" fillId="0" borderId="3" xfId="387" applyNumberFormat="1" applyFont="1" applyFill="1" applyBorder="1" applyAlignment="1">
      <alignment horizontal="right" vertical="center"/>
    </xf>
    <xf numFmtId="43" fontId="8" fillId="0" borderId="3" xfId="387" applyNumberFormat="1" applyFont="1" applyBorder="1" applyAlignment="1">
      <alignment horizontal="center" vertical="center"/>
    </xf>
    <xf numFmtId="9" fontId="8" fillId="0" borderId="3" xfId="387" applyNumberFormat="1" applyFont="1" applyBorder="1" applyAlignment="1">
      <alignment horizontal="center" vertical="center"/>
    </xf>
    <xf numFmtId="43" fontId="26" fillId="0" borderId="3" xfId="101" applyNumberFormat="1" applyFont="1" applyBorder="1" applyAlignment="1">
      <alignment vertical="center"/>
    </xf>
    <xf numFmtId="9" fontId="26" fillId="0" borderId="3" xfId="94" applyNumberFormat="1" applyFont="1" applyBorder="1" applyAlignment="1">
      <alignment horizontal="center" vertical="center"/>
    </xf>
    <xf numFmtId="0" fontId="26" fillId="0" borderId="0" xfId="92" applyFont="1" applyAlignment="1">
      <alignment vertical="center"/>
    </xf>
    <xf numFmtId="43" fontId="26" fillId="0" borderId="3" xfId="101" applyNumberFormat="1" applyFont="1" applyFill="1" applyBorder="1" applyAlignment="1">
      <alignment vertical="center"/>
    </xf>
    <xf numFmtId="0" fontId="26" fillId="0" borderId="3" xfId="92" applyFont="1" applyBorder="1" applyAlignment="1">
      <alignment horizontal="left" vertical="center" wrapText="1"/>
    </xf>
    <xf numFmtId="43" fontId="8" fillId="0" borderId="3" xfId="92" applyNumberFormat="1" applyFont="1" applyBorder="1" applyAlignment="1">
      <alignment horizontal="right" vertical="center"/>
    </xf>
    <xf numFmtId="0" fontId="8" fillId="0" borderId="0" xfId="92" applyFont="1" applyAlignment="1">
      <alignment vertical="center"/>
    </xf>
    <xf numFmtId="0" fontId="4" fillId="60" borderId="0" xfId="92" applyFont="1" applyFill="1" applyAlignment="1">
      <alignment horizontal="left" vertical="center"/>
    </xf>
    <xf numFmtId="43" fontId="4" fillId="60" borderId="3" xfId="101" applyNumberFormat="1" applyFont="1" applyFill="1" applyBorder="1" applyAlignment="1">
      <alignment vertical="center"/>
    </xf>
    <xf numFmtId="9" fontId="4" fillId="60" borderId="3" xfId="94" applyFont="1" applyFill="1" applyBorder="1" applyAlignment="1">
      <alignment horizontal="center" vertical="center"/>
    </xf>
    <xf numFmtId="9" fontId="4" fillId="60" borderId="3" xfId="94" applyNumberFormat="1" applyFont="1" applyFill="1" applyBorder="1" applyAlignment="1">
      <alignment horizontal="center" vertical="center"/>
    </xf>
    <xf numFmtId="9" fontId="4" fillId="60" borderId="3" xfId="387" applyNumberFormat="1" applyFont="1" applyFill="1" applyBorder="1" applyAlignment="1">
      <alignment horizontal="center" vertical="center"/>
    </xf>
    <xf numFmtId="0" fontId="51" fillId="0" borderId="0" xfId="92" applyFont="1" applyFill="1" applyAlignment="1">
      <alignment vertical="center"/>
    </xf>
    <xf numFmtId="43" fontId="8" fillId="0" borderId="3" xfId="94" applyNumberFormat="1" applyFont="1" applyBorder="1" applyAlignment="1">
      <alignment horizontal="center" vertical="center"/>
    </xf>
    <xf numFmtId="173" fontId="26" fillId="0" borderId="0" xfId="101" applyNumberFormat="1" applyFont="1"/>
    <xf numFmtId="0" fontId="4" fillId="60" borderId="9" xfId="92" applyFont="1" applyFill="1" applyBorder="1" applyAlignment="1">
      <alignment horizontal="left" vertical="center"/>
    </xf>
    <xf numFmtId="9" fontId="4" fillId="60" borderId="3" xfId="92" applyNumberFormat="1" applyFont="1" applyFill="1" applyBorder="1" applyAlignment="1" applyProtection="1">
      <alignment horizontal="center" vertical="center"/>
      <protection locked="0"/>
    </xf>
    <xf numFmtId="0" fontId="26" fillId="0" borderId="0" xfId="92" applyFont="1" applyAlignment="1">
      <alignment horizontal="left"/>
    </xf>
    <xf numFmtId="173" fontId="8" fillId="0" borderId="0" xfId="101" applyNumberFormat="1" applyFont="1" applyFill="1" applyBorder="1" applyAlignment="1">
      <alignment horizontal="center" vertical="center" wrapText="1"/>
    </xf>
    <xf numFmtId="173" fontId="8" fillId="0" borderId="0" xfId="101" applyNumberFormat="1" applyFont="1" applyFill="1" applyBorder="1"/>
    <xf numFmtId="9" fontId="8" fillId="0" borderId="0" xfId="101" applyNumberFormat="1" applyFont="1" applyFill="1" applyBorder="1"/>
    <xf numFmtId="9" fontId="26" fillId="0" borderId="0" xfId="101" applyNumberFormat="1" applyFont="1"/>
    <xf numFmtId="9" fontId="26" fillId="0" borderId="0" xfId="92" applyNumberFormat="1" applyFont="1"/>
    <xf numFmtId="0" fontId="53" fillId="0" borderId="0" xfId="92" applyFont="1" applyFill="1" applyBorder="1" applyAlignment="1">
      <alignment horizontal="left" vertical="center"/>
    </xf>
    <xf numFmtId="43" fontId="53" fillId="0" borderId="0" xfId="101" applyNumberFormat="1" applyFont="1" applyFill="1" applyBorder="1" applyAlignment="1">
      <alignment vertical="center"/>
    </xf>
    <xf numFmtId="9" fontId="53" fillId="0" borderId="0" xfId="94" applyFont="1" applyFill="1" applyBorder="1" applyAlignment="1">
      <alignment horizontal="center" vertical="center"/>
    </xf>
    <xf numFmtId="9" fontId="53" fillId="0" borderId="0" xfId="94" applyNumberFormat="1" applyFont="1" applyFill="1" applyBorder="1" applyAlignment="1">
      <alignment horizontal="center" vertical="center"/>
    </xf>
    <xf numFmtId="9" fontId="53" fillId="0" borderId="0" xfId="387" applyNumberFormat="1" applyFont="1" applyFill="1" applyBorder="1" applyAlignment="1">
      <alignment horizontal="center" vertical="center"/>
    </xf>
    <xf numFmtId="173" fontId="53" fillId="0" borderId="0" xfId="101" applyNumberFormat="1" applyFont="1" applyFill="1"/>
    <xf numFmtId="9" fontId="23" fillId="2" borderId="0" xfId="387" applyFont="1" applyFill="1" applyBorder="1" applyAlignment="1">
      <alignment horizontal="center"/>
    </xf>
    <xf numFmtId="43" fontId="26" fillId="0" borderId="0" xfId="101" applyNumberFormat="1" applyFont="1"/>
    <xf numFmtId="0" fontId="9" fillId="2" borderId="0" xfId="92" applyFont="1" applyFill="1" applyBorder="1"/>
    <xf numFmtId="0" fontId="9" fillId="2" borderId="0" xfId="92" applyFont="1" applyFill="1" applyBorder="1" applyAlignment="1">
      <alignment horizontal="center"/>
    </xf>
    <xf numFmtId="173" fontId="8" fillId="0" borderId="0" xfId="101" applyNumberFormat="1" applyFont="1"/>
    <xf numFmtId="9" fontId="56" fillId="2" borderId="0" xfId="387" applyFont="1" applyFill="1" applyBorder="1" applyAlignment="1">
      <alignment horizontal="center" vertical="center"/>
    </xf>
    <xf numFmtId="0" fontId="23" fillId="2" borderId="0" xfId="92" applyFont="1" applyFill="1" applyBorder="1"/>
    <xf numFmtId="173" fontId="56" fillId="2" borderId="0" xfId="101" applyNumberFormat="1" applyFont="1" applyFill="1" applyBorder="1"/>
    <xf numFmtId="10" fontId="56" fillId="2" borderId="0" xfId="387" applyNumberFormat="1" applyFont="1" applyFill="1" applyBorder="1" applyAlignment="1">
      <alignment horizontal="center" vertical="center"/>
    </xf>
    <xf numFmtId="10" fontId="56" fillId="2" borderId="0" xfId="387" applyNumberFormat="1" applyFont="1" applyFill="1" applyBorder="1" applyAlignment="1">
      <alignment horizontal="center"/>
    </xf>
    <xf numFmtId="43" fontId="23" fillId="2" borderId="0" xfId="92" applyNumberFormat="1" applyFont="1" applyFill="1" applyBorder="1" applyAlignment="1">
      <alignment horizontal="left"/>
    </xf>
    <xf numFmtId="0" fontId="8" fillId="0" borderId="0" xfId="92" applyFont="1"/>
    <xf numFmtId="10" fontId="8" fillId="0" borderId="0" xfId="387" applyNumberFormat="1" applyFont="1" applyFill="1" applyBorder="1"/>
    <xf numFmtId="0" fontId="8" fillId="0" borderId="0" xfId="92" applyFont="1" applyAlignment="1">
      <alignment horizontal="left"/>
    </xf>
    <xf numFmtId="173" fontId="55" fillId="75" borderId="9" xfId="101" applyNumberFormat="1" applyFont="1" applyFill="1" applyBorder="1" applyAlignment="1">
      <alignment vertical="center" wrapText="1"/>
    </xf>
    <xf numFmtId="173" fontId="55" fillId="75" borderId="3" xfId="101" applyNumberFormat="1" applyFont="1" applyFill="1" applyBorder="1" applyAlignment="1">
      <alignment horizontal="center" vertical="center" wrapText="1"/>
    </xf>
    <xf numFmtId="43" fontId="55" fillId="75" borderId="3" xfId="101" applyNumberFormat="1" applyFont="1" applyFill="1" applyBorder="1" applyAlignment="1">
      <alignment horizontal="center" vertical="center" wrapText="1"/>
    </xf>
    <xf numFmtId="0" fontId="55" fillId="75" borderId="9" xfId="92" applyFont="1" applyFill="1" applyBorder="1" applyAlignment="1">
      <alignment horizontal="left" vertical="center"/>
    </xf>
    <xf numFmtId="43" fontId="55" fillId="75" borderId="3" xfId="101" applyNumberFormat="1" applyFont="1" applyFill="1" applyBorder="1" applyAlignment="1">
      <alignment vertical="center"/>
    </xf>
    <xf numFmtId="9" fontId="55" fillId="75" borderId="3" xfId="94" applyFont="1" applyFill="1" applyBorder="1" applyAlignment="1">
      <alignment horizontal="center" vertical="center"/>
    </xf>
    <xf numFmtId="9" fontId="55" fillId="75" borderId="3" xfId="94" applyNumberFormat="1" applyFont="1" applyFill="1" applyBorder="1" applyAlignment="1">
      <alignment horizontal="center" vertical="center"/>
    </xf>
    <xf numFmtId="9" fontId="4" fillId="75" borderId="3" xfId="92" applyNumberFormat="1" applyFont="1" applyFill="1" applyBorder="1" applyAlignment="1" applyProtection="1">
      <alignment horizontal="center" vertical="center"/>
      <protection locked="0"/>
    </xf>
    <xf numFmtId="9" fontId="55" fillId="75" borderId="3" xfId="387" applyNumberFormat="1" applyFont="1" applyFill="1" applyBorder="1" applyAlignment="1">
      <alignment horizontal="center" vertical="center"/>
    </xf>
    <xf numFmtId="0" fontId="57" fillId="0" borderId="0" xfId="92" applyFont="1" applyFill="1" applyBorder="1"/>
    <xf numFmtId="0" fontId="57" fillId="0" borderId="0" xfId="92" applyFont="1" applyFill="1" applyBorder="1" applyAlignment="1">
      <alignment horizontal="center"/>
    </xf>
    <xf numFmtId="9" fontId="58" fillId="0" borderId="0" xfId="387" applyFont="1" applyFill="1" applyBorder="1" applyAlignment="1">
      <alignment horizontal="center"/>
    </xf>
    <xf numFmtId="9" fontId="58" fillId="2" borderId="0" xfId="387" applyFont="1" applyFill="1" applyBorder="1" applyAlignment="1">
      <alignment horizontal="center"/>
    </xf>
    <xf numFmtId="0" fontId="58" fillId="0" borderId="0" xfId="92" applyFont="1" applyFill="1" applyBorder="1"/>
    <xf numFmtId="173" fontId="2" fillId="0" borderId="0" xfId="101" applyNumberFormat="1" applyFont="1" applyFill="1" applyBorder="1"/>
    <xf numFmtId="9" fontId="2" fillId="0" borderId="0" xfId="387" applyFont="1" applyFill="1" applyBorder="1" applyAlignment="1">
      <alignment horizontal="center" vertical="center"/>
    </xf>
    <xf numFmtId="9" fontId="2" fillId="2" borderId="0" xfId="387" applyFont="1" applyFill="1" applyBorder="1" applyAlignment="1">
      <alignment horizontal="center" vertical="center"/>
    </xf>
    <xf numFmtId="9" fontId="2" fillId="0" borderId="0" xfId="387" applyNumberFormat="1" applyFont="1" applyFill="1" applyBorder="1" applyAlignment="1">
      <alignment horizontal="center" vertical="center"/>
    </xf>
    <xf numFmtId="9" fontId="2" fillId="0" borderId="0" xfId="387" applyNumberFormat="1" applyFont="1" applyFill="1" applyBorder="1" applyAlignment="1">
      <alignment horizontal="center"/>
    </xf>
    <xf numFmtId="43" fontId="58" fillId="0" borderId="0" xfId="92" applyNumberFormat="1" applyFont="1" applyFill="1" applyBorder="1" applyAlignment="1">
      <alignment horizontal="left"/>
    </xf>
    <xf numFmtId="0" fontId="8" fillId="0" borderId="0" xfId="92" applyFont="1" applyFill="1" applyAlignment="1">
      <alignment horizontal="left"/>
    </xf>
    <xf numFmtId="173" fontId="8" fillId="0" borderId="0" xfId="101" applyNumberFormat="1" applyFont="1" applyFill="1"/>
    <xf numFmtId="0" fontId="8" fillId="0" borderId="0" xfId="92" applyFont="1" applyFill="1" applyBorder="1" applyAlignment="1">
      <alignment horizontal="left"/>
    </xf>
    <xf numFmtId="0" fontId="4" fillId="60" borderId="3" xfId="92" applyFont="1" applyFill="1" applyBorder="1" applyAlignment="1">
      <alignment horizontal="left" vertical="center"/>
    </xf>
    <xf numFmtId="173" fontId="55" fillId="75" borderId="9" xfId="101" applyNumberFormat="1" applyFont="1" applyFill="1" applyBorder="1" applyAlignment="1">
      <alignment horizontal="center" vertical="center" wrapText="1"/>
    </xf>
    <xf numFmtId="0" fontId="0" fillId="0" borderId="3" xfId="0" applyNumberFormat="1" applyBorder="1" applyAlignment="1">
      <alignment horizontal="center"/>
    </xf>
    <xf numFmtId="0" fontId="0" fillId="0" borderId="3" xfId="0" applyNumberFormat="1" applyBorder="1" applyAlignment="1">
      <alignment horizontal="center" vertical="center"/>
    </xf>
    <xf numFmtId="0" fontId="22" fillId="60" borderId="3" xfId="0" applyNumberFormat="1" applyFont="1" applyFill="1" applyBorder="1" applyAlignment="1">
      <alignment horizontal="center" vertical="center"/>
    </xf>
    <xf numFmtId="43" fontId="8" fillId="0" borderId="3" xfId="92" applyNumberFormat="1" applyFont="1" applyFill="1" applyBorder="1" applyAlignment="1">
      <alignment horizontal="right" vertical="center"/>
    </xf>
    <xf numFmtId="43" fontId="8" fillId="0" borderId="3" xfId="101" applyNumberFormat="1" applyFont="1" applyFill="1" applyBorder="1" applyAlignment="1">
      <alignment vertical="center"/>
    </xf>
    <xf numFmtId="0" fontId="2" fillId="0" borderId="0" xfId="0" applyNumberFormat="1" applyFont="1" applyBorder="1" applyAlignment="1">
      <alignment horizontal="center" vertical="center"/>
    </xf>
    <xf numFmtId="2" fontId="8" fillId="0" borderId="3" xfId="5" applyNumberFormat="1" applyFont="1" applyFill="1" applyBorder="1" applyAlignment="1">
      <alignment horizontal="center" vertical="center" wrapText="1"/>
    </xf>
    <xf numFmtId="181" fontId="8" fillId="0" borderId="3" xfId="5" applyNumberFormat="1" applyFont="1" applyFill="1" applyBorder="1" applyAlignment="1">
      <alignment horizontal="center" vertical="center" wrapText="1"/>
    </xf>
    <xf numFmtId="171" fontId="3" fillId="0" borderId="5" xfId="0" applyFont="1" applyBorder="1" applyAlignment="1">
      <alignment horizontal="center" vertical="center" wrapText="1"/>
    </xf>
    <xf numFmtId="171" fontId="3" fillId="0" borderId="6" xfId="0" applyFont="1" applyBorder="1" applyAlignment="1">
      <alignment horizontal="center" vertical="center" wrapText="1"/>
    </xf>
    <xf numFmtId="171" fontId="8" fillId="0" borderId="3" xfId="0" applyFont="1" applyFill="1" applyBorder="1" applyAlignment="1">
      <alignment horizontal="left" vertical="center" wrapText="1"/>
    </xf>
    <xf numFmtId="43" fontId="8" fillId="0" borderId="3" xfId="0" applyNumberFormat="1" applyFont="1" applyFill="1" applyBorder="1" applyAlignment="1">
      <alignment vertical="center"/>
    </xf>
    <xf numFmtId="167" fontId="8" fillId="0" borderId="0" xfId="0" applyNumberFormat="1" applyFont="1" applyFill="1"/>
    <xf numFmtId="49" fontId="8" fillId="0" borderId="3" xfId="0" applyNumberFormat="1" applyFont="1" applyFill="1" applyBorder="1" applyAlignment="1">
      <alignment horizontal="justify" vertical="center" wrapText="1"/>
    </xf>
    <xf numFmtId="1" fontId="8" fillId="0" borderId="3" xfId="0" applyNumberFormat="1" applyFont="1" applyFill="1" applyBorder="1" applyAlignment="1">
      <alignment horizontal="justify" vertical="center" wrapText="1"/>
    </xf>
    <xf numFmtId="1" fontId="8" fillId="0" borderId="3" xfId="0" applyNumberFormat="1" applyFont="1" applyFill="1" applyBorder="1" applyAlignment="1">
      <alignment horizontal="center" vertical="center"/>
    </xf>
    <xf numFmtId="2" fontId="8" fillId="0" borderId="3" xfId="0" applyNumberFormat="1" applyFont="1" applyFill="1" applyBorder="1" applyAlignment="1">
      <alignment horizontal="center" vertical="center" wrapText="1"/>
    </xf>
    <xf numFmtId="171" fontId="4" fillId="0" borderId="3" xfId="0" applyFont="1" applyBorder="1" applyAlignment="1">
      <alignment horizontal="center" vertical="center"/>
    </xf>
    <xf numFmtId="172" fontId="8" fillId="0" borderId="3" xfId="0" applyNumberFormat="1" applyFont="1" applyBorder="1" applyAlignment="1">
      <alignment horizontal="center" vertical="center"/>
    </xf>
    <xf numFmtId="14" fontId="8" fillId="0" borderId="3" xfId="0" applyNumberFormat="1" applyFont="1" applyBorder="1" applyAlignment="1">
      <alignment horizontal="center" vertical="center"/>
    </xf>
    <xf numFmtId="3" fontId="4" fillId="3" borderId="3" xfId="0" applyNumberFormat="1" applyFont="1" applyFill="1" applyBorder="1" applyAlignment="1">
      <alignment horizontal="center" vertical="center" wrapText="1"/>
    </xf>
    <xf numFmtId="4" fontId="8" fillId="0" borderId="3" xfId="0" applyNumberFormat="1" applyFont="1" applyFill="1" applyBorder="1" applyAlignment="1">
      <alignment horizontal="justify" vertical="center" wrapText="1"/>
    </xf>
    <xf numFmtId="1" fontId="8" fillId="0" borderId="3" xfId="0" applyNumberFormat="1" applyFont="1" applyFill="1" applyBorder="1" applyAlignment="1">
      <alignment horizontal="justify" wrapText="1"/>
    </xf>
    <xf numFmtId="1" fontId="8" fillId="0" borderId="3" xfId="0" applyNumberFormat="1" applyFont="1" applyFill="1" applyBorder="1" applyAlignment="1">
      <alignment vertical="center" wrapText="1"/>
    </xf>
    <xf numFmtId="49" fontId="8" fillId="0" borderId="3" xfId="0" applyNumberFormat="1" applyFont="1" applyFill="1" applyBorder="1" applyAlignment="1">
      <alignment horizontal="center" vertical="center" wrapText="1"/>
    </xf>
    <xf numFmtId="1" fontId="8" fillId="0" borderId="3" xfId="0" applyNumberFormat="1" applyFont="1" applyFill="1" applyBorder="1" applyAlignment="1">
      <alignment wrapText="1"/>
    </xf>
    <xf numFmtId="167" fontId="8" fillId="0" borderId="3" xfId="1" applyFont="1" applyFill="1" applyBorder="1"/>
    <xf numFmtId="0" fontId="8" fillId="0" borderId="3" xfId="0" applyNumberFormat="1" applyFont="1" applyFill="1" applyBorder="1" applyAlignment="1" applyProtection="1">
      <alignment horizontal="justify" vertical="center" wrapText="1"/>
      <protection locked="0"/>
    </xf>
    <xf numFmtId="0" fontId="8" fillId="0" borderId="3" xfId="0" applyNumberFormat="1" applyFont="1" applyFill="1" applyBorder="1" applyAlignment="1" applyProtection="1">
      <alignment horizontal="center" vertical="center" wrapText="1"/>
      <protection locked="0"/>
    </xf>
    <xf numFmtId="167" fontId="4" fillId="0" borderId="3" xfId="1" applyFont="1" applyFill="1" applyBorder="1" applyAlignment="1">
      <alignment horizontal="left" vertical="center"/>
    </xf>
    <xf numFmtId="167" fontId="8" fillId="0" borderId="3" xfId="1" applyFont="1" applyFill="1" applyBorder="1" applyAlignment="1">
      <alignment horizontal="left" vertical="center"/>
    </xf>
    <xf numFmtId="1" fontId="8" fillId="0" borderId="3" xfId="1" applyNumberFormat="1" applyFont="1" applyFill="1" applyBorder="1" applyAlignment="1">
      <alignment horizontal="center" vertical="center" wrapText="1"/>
    </xf>
    <xf numFmtId="0" fontId="8" fillId="0" borderId="3" xfId="7" applyFont="1" applyFill="1" applyBorder="1" applyAlignment="1">
      <alignment horizontal="justify" vertical="center" wrapText="1"/>
    </xf>
    <xf numFmtId="167" fontId="4" fillId="0" borderId="3" xfId="1" applyFont="1" applyFill="1" applyBorder="1" applyAlignment="1">
      <alignment vertical="center"/>
    </xf>
    <xf numFmtId="0" fontId="8" fillId="0" borderId="3" xfId="6" applyNumberFormat="1" applyFont="1" applyFill="1" applyBorder="1" applyAlignment="1">
      <alignment horizontal="center" vertical="center" wrapText="1"/>
    </xf>
    <xf numFmtId="3" fontId="64" fillId="0" borderId="0" xfId="0" applyNumberFormat="1" applyFont="1" applyFill="1" applyAlignment="1">
      <alignment horizontal="center" vertical="center"/>
    </xf>
    <xf numFmtId="4" fontId="64" fillId="0" borderId="0" xfId="0" applyNumberFormat="1" applyFont="1" applyFill="1" applyAlignment="1">
      <alignment horizontal="center" vertical="center"/>
    </xf>
    <xf numFmtId="171" fontId="8" fillId="0" borderId="3" xfId="4" applyFont="1" applyFill="1" applyBorder="1" applyAlignment="1">
      <alignment horizontal="justify" vertical="center" wrapText="1"/>
    </xf>
    <xf numFmtId="171" fontId="8" fillId="0" borderId="13" xfId="0" applyFont="1" applyFill="1" applyBorder="1" applyAlignment="1">
      <alignment horizontal="justify" vertical="center" wrapText="1"/>
    </xf>
    <xf numFmtId="180" fontId="8" fillId="0" borderId="23" xfId="0" applyNumberFormat="1" applyFont="1" applyFill="1" applyBorder="1" applyAlignment="1">
      <alignment horizontal="center" vertical="center"/>
    </xf>
    <xf numFmtId="180" fontId="8" fillId="0" borderId="22" xfId="0" applyNumberFormat="1" applyFont="1" applyFill="1" applyBorder="1" applyAlignment="1">
      <alignment horizontal="center" vertical="center"/>
    </xf>
    <xf numFmtId="171" fontId="8" fillId="0" borderId="0" xfId="0" applyFont="1" applyFill="1" applyAlignment="1">
      <alignment horizontal="center" vertical="center"/>
    </xf>
    <xf numFmtId="3" fontId="8" fillId="0" borderId="3" xfId="0" applyNumberFormat="1" applyFont="1" applyFill="1" applyBorder="1" applyAlignment="1">
      <alignment horizontal="center" vertical="center" wrapText="1"/>
    </xf>
    <xf numFmtId="167" fontId="8" fillId="0" borderId="3" xfId="1" applyFont="1" applyFill="1" applyBorder="1" applyAlignment="1">
      <alignment horizontal="justify" vertical="center" wrapText="1"/>
    </xf>
    <xf numFmtId="167" fontId="8" fillId="0" borderId="3" xfId="1" applyFont="1" applyFill="1" applyBorder="1" applyAlignment="1">
      <alignment horizontal="left" vertical="center" wrapText="1"/>
    </xf>
    <xf numFmtId="0" fontId="8" fillId="0" borderId="3" xfId="0" applyNumberFormat="1" applyFont="1" applyFill="1" applyBorder="1" applyAlignment="1">
      <alignment horizontal="center" vertical="center"/>
    </xf>
    <xf numFmtId="1" fontId="8" fillId="0" borderId="3" xfId="11" applyNumberFormat="1" applyFont="1" applyFill="1" applyBorder="1" applyAlignment="1">
      <alignment horizontal="center" vertical="center"/>
    </xf>
    <xf numFmtId="167" fontId="8" fillId="0" borderId="3" xfId="1" applyFont="1" applyFill="1" applyBorder="1" applyAlignment="1">
      <alignment vertical="center" wrapText="1"/>
    </xf>
    <xf numFmtId="0" fontId="8" fillId="0" borderId="3" xfId="1" applyNumberFormat="1" applyFont="1" applyFill="1" applyBorder="1" applyAlignment="1">
      <alignment horizontal="center" vertical="center" wrapText="1"/>
    </xf>
    <xf numFmtId="3" fontId="8" fillId="0" borderId="3" xfId="5" applyNumberFormat="1" applyFont="1" applyFill="1" applyBorder="1" applyAlignment="1">
      <alignment horizontal="center" vertical="center" wrapText="1"/>
    </xf>
    <xf numFmtId="174" fontId="8" fillId="0" borderId="3" xfId="1" applyNumberFormat="1" applyFont="1" applyFill="1" applyBorder="1" applyAlignment="1">
      <alignment horizontal="center" vertical="center" wrapText="1"/>
    </xf>
    <xf numFmtId="175" fontId="8" fillId="0" borderId="3" xfId="2" applyNumberFormat="1" applyFont="1" applyFill="1" applyBorder="1" applyAlignment="1">
      <alignment horizontal="justify" vertical="center" wrapText="1"/>
    </xf>
    <xf numFmtId="171" fontId="8" fillId="0" borderId="3" xfId="0" applyFont="1" applyFill="1" applyBorder="1" applyAlignment="1">
      <alignment horizontal="center" vertical="center"/>
    </xf>
    <xf numFmtId="0" fontId="8" fillId="0" borderId="3" xfId="4" applyNumberFormat="1" applyFont="1" applyFill="1" applyBorder="1" applyAlignment="1">
      <alignment horizontal="center" vertical="center"/>
    </xf>
    <xf numFmtId="167" fontId="8" fillId="0" borderId="19" xfId="1" applyFont="1" applyFill="1" applyBorder="1"/>
    <xf numFmtId="167" fontId="8" fillId="0" borderId="0" xfId="1" applyFont="1" applyFill="1" applyBorder="1"/>
    <xf numFmtId="167" fontId="8" fillId="0" borderId="7" xfId="1" applyFont="1" applyFill="1" applyBorder="1" applyAlignment="1">
      <alignment horizontal="center" vertical="center"/>
    </xf>
    <xf numFmtId="0" fontId="8" fillId="0" borderId="44" xfId="4" applyNumberFormat="1" applyFont="1" applyFill="1" applyBorder="1">
      <alignment horizontal="center" vertical="center" wrapText="1"/>
    </xf>
    <xf numFmtId="0" fontId="8" fillId="0" borderId="44" xfId="7" applyFont="1" applyFill="1" applyBorder="1">
      <alignment horizontal="center" vertical="center" wrapText="1"/>
    </xf>
    <xf numFmtId="0" fontId="8" fillId="0" borderId="44" xfId="4" applyNumberFormat="1" applyFont="1" applyFill="1" applyBorder="1" applyAlignment="1">
      <alignment horizontal="justify" vertical="center" wrapText="1"/>
    </xf>
    <xf numFmtId="175" fontId="8" fillId="0" borderId="44" xfId="2" applyNumberFormat="1" applyFont="1" applyFill="1" applyBorder="1" applyAlignment="1">
      <alignment horizontal="justify" vertical="center" wrapText="1"/>
    </xf>
    <xf numFmtId="171" fontId="4" fillId="0" borderId="0" xfId="0" applyFont="1" applyFill="1" applyAlignment="1">
      <alignment vertical="center"/>
    </xf>
    <xf numFmtId="0" fontId="8" fillId="0" borderId="3" xfId="5" applyFont="1" applyFill="1" applyBorder="1" applyAlignment="1">
      <alignment horizontal="center" vertical="center"/>
    </xf>
    <xf numFmtId="2" fontId="8" fillId="0" borderId="3" xfId="5" applyNumberFormat="1" applyFont="1" applyFill="1" applyBorder="1" applyAlignment="1">
      <alignment horizontal="center" vertical="center"/>
    </xf>
    <xf numFmtId="1" fontId="8" fillId="0" borderId="13" xfId="0" applyNumberFormat="1" applyFont="1" applyFill="1" applyBorder="1" applyAlignment="1">
      <alignment horizontal="justify" vertical="center" wrapText="1"/>
    </xf>
    <xf numFmtId="2" fontId="4" fillId="0" borderId="3" xfId="1" applyNumberFormat="1" applyFont="1" applyFill="1" applyBorder="1" applyAlignment="1">
      <alignment vertical="center"/>
    </xf>
    <xf numFmtId="180" fontId="8" fillId="0" borderId="3" xfId="1" applyNumberFormat="1" applyFont="1" applyFill="1" applyBorder="1" applyAlignment="1">
      <alignment horizontal="right" vertical="center" wrapText="1"/>
    </xf>
    <xf numFmtId="2" fontId="8" fillId="0" borderId="3" xfId="1" applyNumberFormat="1" applyFont="1" applyFill="1" applyBorder="1" applyAlignment="1">
      <alignment vertical="center"/>
    </xf>
    <xf numFmtId="2" fontId="8" fillId="0" borderId="0" xfId="0" applyNumberFormat="1" applyFont="1" applyFill="1"/>
    <xf numFmtId="0" fontId="8" fillId="0" borderId="3" xfId="6" applyNumberFormat="1" applyFont="1" applyFill="1" applyBorder="1" applyAlignment="1">
      <alignment horizontal="justify" vertical="center" wrapText="1"/>
    </xf>
    <xf numFmtId="0" fontId="8" fillId="0" borderId="3" xfId="7" applyFont="1" applyFill="1" applyBorder="1" applyAlignment="1">
      <alignment horizontal="center" vertical="center" wrapText="1"/>
    </xf>
    <xf numFmtId="49" fontId="8" fillId="0" borderId="3" xfId="5" applyNumberFormat="1" applyFont="1" applyFill="1" applyBorder="1" applyAlignment="1">
      <alignment horizontal="justify" vertical="center" wrapText="1"/>
    </xf>
    <xf numFmtId="49" fontId="8" fillId="0" borderId="3" xfId="7" applyNumberFormat="1" applyFont="1" applyFill="1" applyBorder="1" applyAlignment="1">
      <alignment horizontal="justify" vertical="center" wrapText="1"/>
    </xf>
    <xf numFmtId="171" fontId="8" fillId="0" borderId="0" xfId="0" applyFont="1" applyFill="1" applyAlignment="1">
      <alignment horizontal="left" vertical="center" wrapText="1"/>
    </xf>
    <xf numFmtId="165" fontId="8" fillId="0" borderId="3" xfId="388" applyFont="1" applyFill="1" applyBorder="1" applyAlignment="1">
      <alignment horizontal="center" vertical="center" wrapText="1"/>
    </xf>
    <xf numFmtId="0" fontId="8" fillId="0" borderId="9" xfId="0" applyNumberFormat="1" applyFont="1" applyFill="1" applyBorder="1" applyAlignment="1">
      <alignment horizontal="justify" vertical="center" wrapText="1"/>
    </xf>
    <xf numFmtId="0" fontId="8" fillId="0" borderId="9" xfId="0" applyNumberFormat="1" applyFont="1" applyFill="1" applyBorder="1" applyAlignment="1">
      <alignment horizontal="center" vertical="center" wrapText="1"/>
    </xf>
    <xf numFmtId="0" fontId="8" fillId="0" borderId="9" xfId="5" applyFont="1" applyFill="1" applyBorder="1" applyAlignment="1">
      <alignment horizontal="center" vertical="center" wrapText="1"/>
    </xf>
    <xf numFmtId="0" fontId="8" fillId="0" borderId="9" xfId="5" applyFont="1" applyFill="1" applyBorder="1" applyAlignment="1">
      <alignment horizontal="justify" vertical="center" wrapText="1"/>
    </xf>
    <xf numFmtId="171" fontId="8" fillId="0" borderId="9" xfId="0" applyFont="1" applyFill="1" applyBorder="1" applyAlignment="1">
      <alignment horizontal="center" vertical="center" wrapText="1"/>
    </xf>
    <xf numFmtId="1" fontId="8" fillId="0" borderId="9" xfId="0" applyNumberFormat="1" applyFont="1" applyFill="1" applyBorder="1" applyAlignment="1">
      <alignment horizontal="center" vertical="center" wrapText="1"/>
    </xf>
    <xf numFmtId="3" fontId="8" fillId="0" borderId="9" xfId="0" applyNumberFormat="1" applyFont="1" applyFill="1" applyBorder="1" applyAlignment="1">
      <alignment horizontal="justify" vertical="center" wrapText="1"/>
    </xf>
    <xf numFmtId="167" fontId="8" fillId="0" borderId="9" xfId="1" applyFont="1" applyFill="1" applyBorder="1" applyAlignment="1">
      <alignment horizontal="justify" vertical="center"/>
    </xf>
    <xf numFmtId="167" fontId="8" fillId="0" borderId="9" xfId="1" applyFont="1" applyFill="1" applyBorder="1" applyAlignment="1">
      <alignment vertical="center"/>
    </xf>
    <xf numFmtId="43" fontId="8" fillId="0" borderId="9" xfId="0" applyNumberFormat="1" applyFont="1" applyFill="1" applyBorder="1" applyAlignment="1">
      <alignment horizontal="justify" vertical="center" wrapText="1"/>
    </xf>
    <xf numFmtId="0" fontId="8" fillId="0" borderId="12" xfId="0" applyNumberFormat="1" applyFont="1" applyFill="1" applyBorder="1" applyAlignment="1">
      <alignment horizontal="center" vertical="center" wrapText="1"/>
    </xf>
    <xf numFmtId="0" fontId="8" fillId="0" borderId="11" xfId="0" applyNumberFormat="1" applyFont="1" applyFill="1" applyBorder="1" applyAlignment="1">
      <alignment horizontal="justify" vertical="center" wrapText="1"/>
    </xf>
    <xf numFmtId="0" fontId="8" fillId="0" borderId="11" xfId="0" applyNumberFormat="1" applyFont="1" applyFill="1" applyBorder="1" applyAlignment="1">
      <alignment horizontal="center" vertical="center" wrapText="1"/>
    </xf>
    <xf numFmtId="0" fontId="8" fillId="0" borderId="11" xfId="5" applyFont="1" applyFill="1" applyBorder="1" applyAlignment="1">
      <alignment horizontal="center" vertical="center" wrapText="1"/>
    </xf>
    <xf numFmtId="0" fontId="8" fillId="0" borderId="11" xfId="5" applyFont="1" applyFill="1" applyBorder="1" applyAlignment="1">
      <alignment horizontal="justify" vertical="center" wrapText="1"/>
    </xf>
    <xf numFmtId="171" fontId="8" fillId="0" borderId="11" xfId="0" applyFont="1" applyFill="1" applyBorder="1" applyAlignment="1">
      <alignment horizontal="center" vertical="center" wrapText="1"/>
    </xf>
    <xf numFmtId="1" fontId="8" fillId="0" borderId="11" xfId="0" applyNumberFormat="1" applyFont="1" applyFill="1" applyBorder="1" applyAlignment="1">
      <alignment horizontal="center" vertical="center" wrapText="1"/>
    </xf>
    <xf numFmtId="3" fontId="8" fillId="0" borderId="11" xfId="0" applyNumberFormat="1" applyFont="1" applyFill="1" applyBorder="1" applyAlignment="1">
      <alignment horizontal="justify" vertical="center" wrapText="1"/>
    </xf>
    <xf numFmtId="167" fontId="8" fillId="0" borderId="11" xfId="1" applyFont="1" applyFill="1" applyBorder="1" applyAlignment="1">
      <alignment horizontal="justify" vertical="center"/>
    </xf>
    <xf numFmtId="167" fontId="8" fillId="0" borderId="11" xfId="1" applyFont="1" applyFill="1" applyBorder="1" applyAlignment="1">
      <alignment vertical="center"/>
    </xf>
    <xf numFmtId="43" fontId="8" fillId="0" borderId="11" xfId="0" applyNumberFormat="1" applyFont="1" applyFill="1" applyBorder="1" applyAlignment="1">
      <alignment horizontal="justify" vertical="center" wrapText="1"/>
    </xf>
    <xf numFmtId="0" fontId="8" fillId="0" borderId="11" xfId="7" applyFont="1" applyFill="1" applyBorder="1">
      <alignment horizontal="center" vertical="center" wrapText="1"/>
    </xf>
    <xf numFmtId="171" fontId="8" fillId="0" borderId="11" xfId="0" applyFont="1" applyFill="1" applyBorder="1" applyAlignment="1">
      <alignment horizontal="justify" vertical="center" wrapText="1"/>
    </xf>
    <xf numFmtId="167" fontId="8" fillId="0" borderId="22" xfId="1" applyFont="1" applyFill="1" applyBorder="1" applyAlignment="1">
      <alignment vertical="center"/>
    </xf>
    <xf numFmtId="167" fontId="8" fillId="0" borderId="6" xfId="1" applyFont="1" applyFill="1" applyBorder="1" applyAlignment="1">
      <alignment vertical="center"/>
    </xf>
    <xf numFmtId="171" fontId="8" fillId="0" borderId="0" xfId="0" applyFont="1" applyFill="1" applyAlignment="1">
      <alignment vertical="center" wrapText="1"/>
    </xf>
    <xf numFmtId="167" fontId="8" fillId="0" borderId="46" xfId="1" applyFont="1" applyFill="1" applyBorder="1" applyAlignment="1">
      <alignment horizontal="justify" vertical="center"/>
    </xf>
    <xf numFmtId="167" fontId="8" fillId="0" borderId="46" xfId="1" applyFont="1" applyFill="1" applyBorder="1" applyAlignment="1">
      <alignment vertical="center"/>
    </xf>
    <xf numFmtId="43" fontId="8" fillId="0" borderId="46" xfId="0" applyNumberFormat="1" applyFont="1" applyFill="1" applyBorder="1" applyAlignment="1">
      <alignment horizontal="justify" vertical="center" wrapText="1"/>
    </xf>
    <xf numFmtId="0" fontId="8" fillId="0" borderId="3" xfId="10" applyNumberFormat="1" applyFont="1" applyFill="1" applyBorder="1" applyAlignment="1">
      <alignment horizontal="center" vertical="center" wrapText="1"/>
    </xf>
    <xf numFmtId="0" fontId="8" fillId="0" borderId="3" xfId="0" applyNumberFormat="1" applyFont="1" applyFill="1" applyBorder="1" applyAlignment="1" applyProtection="1">
      <alignment horizontal="center" vertical="center"/>
      <protection locked="0"/>
    </xf>
    <xf numFmtId="171" fontId="8" fillId="68" borderId="18" xfId="0" applyFont="1" applyFill="1" applyBorder="1" applyAlignment="1">
      <alignment horizontal="justify" vertical="center" wrapText="1"/>
    </xf>
    <xf numFmtId="0" fontId="8" fillId="68" borderId="18" xfId="0" applyNumberFormat="1" applyFont="1" applyFill="1" applyBorder="1" applyAlignment="1">
      <alignment horizontal="left" vertical="center"/>
    </xf>
    <xf numFmtId="0" fontId="8" fillId="68" borderId="18" xfId="0" applyNumberFormat="1" applyFont="1" applyFill="1" applyBorder="1" applyAlignment="1">
      <alignment horizontal="justify" vertical="center" wrapText="1"/>
    </xf>
    <xf numFmtId="0" fontId="8" fillId="68" borderId="18" xfId="0" applyNumberFormat="1" applyFont="1" applyFill="1" applyBorder="1" applyAlignment="1">
      <alignment horizontal="center" vertical="center" wrapText="1"/>
    </xf>
    <xf numFmtId="0" fontId="8" fillId="68" borderId="18" xfId="0" applyNumberFormat="1" applyFont="1" applyFill="1" applyBorder="1" applyAlignment="1">
      <alignment horizontal="center" vertical="center"/>
    </xf>
    <xf numFmtId="171" fontId="8" fillId="68" borderId="18" xfId="0" applyFont="1" applyFill="1" applyBorder="1" applyAlignment="1">
      <alignment horizontal="center" vertical="center"/>
    </xf>
    <xf numFmtId="179" fontId="8" fillId="68" borderId="18" xfId="1" applyNumberFormat="1" applyFont="1" applyFill="1" applyBorder="1" applyAlignment="1">
      <alignment horizontal="center" vertical="center"/>
    </xf>
    <xf numFmtId="171" fontId="8" fillId="68" borderId="13" xfId="0" applyFont="1" applyFill="1" applyBorder="1" applyAlignment="1">
      <alignment horizontal="center" vertical="center"/>
    </xf>
    <xf numFmtId="171" fontId="2" fillId="0" borderId="0" xfId="0" applyFont="1" applyAlignment="1">
      <alignment horizontal="center" vertical="center" wrapText="1"/>
    </xf>
    <xf numFmtId="0" fontId="2" fillId="0" borderId="0" xfId="0" applyNumberFormat="1" applyFont="1" applyAlignment="1">
      <alignment horizontal="left" vertical="center"/>
    </xf>
    <xf numFmtId="171" fontId="2" fillId="0" borderId="0" xfId="0" applyFont="1" applyAlignment="1">
      <alignment horizontal="center" vertical="center"/>
    </xf>
    <xf numFmtId="179" fontId="2" fillId="0" borderId="0" xfId="1" applyNumberFormat="1" applyFont="1" applyFill="1" applyAlignment="1">
      <alignment horizontal="center" vertical="center"/>
    </xf>
    <xf numFmtId="174" fontId="2" fillId="0" borderId="0" xfId="6" applyNumberFormat="1" applyFont="1" applyAlignment="1">
      <alignment horizontal="center"/>
    </xf>
    <xf numFmtId="171" fontId="2" fillId="2" borderId="0" xfId="0" applyFont="1" applyFill="1" applyAlignment="1">
      <alignment horizontal="center" vertical="center"/>
    </xf>
    <xf numFmtId="171" fontId="4" fillId="0" borderId="9" xfId="0" applyFont="1" applyBorder="1" applyAlignment="1">
      <alignment vertical="center"/>
    </xf>
    <xf numFmtId="171" fontId="8" fillId="0" borderId="9" xfId="0" applyFont="1" applyBorder="1" applyAlignment="1">
      <alignment horizontal="left" vertical="center"/>
    </xf>
    <xf numFmtId="171" fontId="8" fillId="0" borderId="9" xfId="0" applyFont="1" applyBorder="1" applyAlignment="1">
      <alignment vertical="center"/>
    </xf>
    <xf numFmtId="171" fontId="8" fillId="0" borderId="0" xfId="0" applyFont="1" applyBorder="1" applyAlignment="1">
      <alignment vertical="center"/>
    </xf>
    <xf numFmtId="171" fontId="4" fillId="0" borderId="8" xfId="0" applyFont="1" applyBorder="1" applyAlignment="1">
      <alignment vertical="center"/>
    </xf>
    <xf numFmtId="171" fontId="3" fillId="62" borderId="11" xfId="0" applyFont="1" applyFill="1" applyBorder="1" applyAlignment="1">
      <alignment horizontal="center" vertical="center" wrapText="1"/>
    </xf>
    <xf numFmtId="171" fontId="8" fillId="0" borderId="2" xfId="0" applyFont="1" applyBorder="1" applyAlignment="1">
      <alignment horizontal="left" vertical="center"/>
    </xf>
    <xf numFmtId="171" fontId="8" fillId="0" borderId="47" xfId="0" applyFont="1" applyBorder="1" applyAlignment="1">
      <alignment horizontal="left" vertical="center"/>
    </xf>
    <xf numFmtId="171" fontId="8" fillId="0" borderId="46" xfId="0" applyFont="1" applyBorder="1" applyAlignment="1">
      <alignment vertical="center"/>
    </xf>
    <xf numFmtId="171" fontId="4" fillId="0" borderId="6" xfId="0" applyFont="1" applyBorder="1" applyAlignment="1">
      <alignment vertical="center"/>
    </xf>
    <xf numFmtId="171" fontId="4" fillId="0" borderId="11" xfId="0" applyFont="1" applyBorder="1" applyAlignment="1">
      <alignment vertical="center"/>
    </xf>
    <xf numFmtId="0" fontId="3" fillId="62" borderId="2" xfId="0" applyNumberFormat="1" applyFont="1" applyFill="1" applyBorder="1" applyAlignment="1">
      <alignment horizontal="center" vertical="center" wrapText="1"/>
    </xf>
    <xf numFmtId="0" fontId="3" fillId="62" borderId="3" xfId="0" applyNumberFormat="1" applyFont="1" applyFill="1" applyBorder="1" applyAlignment="1">
      <alignment horizontal="center" vertical="center" wrapText="1"/>
    </xf>
    <xf numFmtId="173" fontId="3" fillId="62" borderId="3" xfId="3" applyNumberFormat="1" applyFont="1" applyFill="1" applyBorder="1" applyAlignment="1">
      <alignment horizontal="center" vertical="center" wrapText="1"/>
    </xf>
    <xf numFmtId="10" fontId="2" fillId="2" borderId="3" xfId="0" applyNumberFormat="1" applyFont="1" applyFill="1" applyBorder="1" applyAlignment="1" applyProtection="1">
      <alignment horizontal="center" vertical="center"/>
      <protection locked="0"/>
    </xf>
    <xf numFmtId="10" fontId="3" fillId="2" borderId="52" xfId="0" applyNumberFormat="1" applyFont="1" applyFill="1" applyBorder="1" applyAlignment="1" applyProtection="1">
      <alignment horizontal="center" vertical="center"/>
      <protection locked="0"/>
    </xf>
    <xf numFmtId="171" fontId="65" fillId="62" borderId="52" xfId="0" applyFont="1" applyFill="1" applyBorder="1" applyAlignment="1">
      <alignment horizontal="center" vertical="center" wrapText="1"/>
    </xf>
    <xf numFmtId="171" fontId="65" fillId="62" borderId="57" xfId="0" applyFont="1" applyFill="1" applyBorder="1" applyAlignment="1">
      <alignment horizontal="center" vertical="center" wrapText="1"/>
    </xf>
    <xf numFmtId="171" fontId="65" fillId="62" borderId="49" xfId="0" applyFont="1" applyFill="1" applyBorder="1" applyAlignment="1">
      <alignment horizontal="center" vertical="center" wrapText="1"/>
    </xf>
    <xf numFmtId="173" fontId="3" fillId="62" borderId="52" xfId="3" applyNumberFormat="1" applyFont="1" applyFill="1" applyBorder="1" applyAlignment="1">
      <alignment horizontal="center" vertical="center" wrapText="1"/>
    </xf>
    <xf numFmtId="171" fontId="65" fillId="62" borderId="59" xfId="0" applyFont="1" applyFill="1" applyBorder="1" applyAlignment="1">
      <alignment horizontal="center" vertical="center" wrapText="1"/>
    </xf>
    <xf numFmtId="167" fontId="65" fillId="63" borderId="48" xfId="1" applyFont="1" applyFill="1" applyBorder="1" applyAlignment="1">
      <alignment vertical="center" wrapText="1"/>
    </xf>
    <xf numFmtId="167" fontId="65" fillId="63" borderId="52" xfId="1" applyFont="1" applyFill="1" applyBorder="1" applyAlignment="1">
      <alignment vertical="center" wrapText="1"/>
    </xf>
    <xf numFmtId="10" fontId="2" fillId="2" borderId="52" xfId="0" applyNumberFormat="1" applyFont="1" applyFill="1" applyBorder="1" applyAlignment="1" applyProtection="1">
      <alignment horizontal="center" vertical="center"/>
      <protection locked="0"/>
    </xf>
    <xf numFmtId="167" fontId="65" fillId="63" borderId="59" xfId="1" applyFont="1" applyFill="1" applyBorder="1" applyAlignment="1">
      <alignment vertical="center" wrapText="1"/>
    </xf>
    <xf numFmtId="0" fontId="65" fillId="67" borderId="70" xfId="0" applyNumberFormat="1" applyFont="1" applyFill="1" applyBorder="1" applyAlignment="1">
      <alignment horizontal="center" vertical="center" wrapText="1"/>
    </xf>
    <xf numFmtId="167" fontId="65" fillId="67" borderId="11" xfId="1" applyFont="1" applyFill="1" applyBorder="1" applyAlignment="1">
      <alignment vertical="center" wrapText="1"/>
    </xf>
    <xf numFmtId="167" fontId="65" fillId="67" borderId="12" xfId="1" applyFont="1" applyFill="1" applyBorder="1" applyAlignment="1">
      <alignment vertical="center" wrapText="1"/>
    </xf>
    <xf numFmtId="10" fontId="2" fillId="2" borderId="12" xfId="0" applyNumberFormat="1" applyFont="1" applyFill="1" applyBorder="1" applyAlignment="1" applyProtection="1">
      <alignment horizontal="center" vertical="center"/>
      <protection locked="0"/>
    </xf>
    <xf numFmtId="167" fontId="65" fillId="67" borderId="69" xfId="1" applyFont="1" applyFill="1" applyBorder="1" applyAlignment="1">
      <alignment vertical="center" wrapText="1"/>
    </xf>
    <xf numFmtId="0" fontId="6" fillId="0" borderId="70" xfId="0" applyNumberFormat="1" applyFont="1" applyBorder="1" applyAlignment="1">
      <alignment horizontal="center" vertical="center"/>
    </xf>
    <xf numFmtId="1" fontId="66" fillId="64" borderId="12" xfId="1" applyNumberFormat="1" applyFont="1" applyFill="1" applyBorder="1" applyAlignment="1">
      <alignment horizontal="center" vertical="center" wrapText="1"/>
    </xf>
    <xf numFmtId="171" fontId="66" fillId="64" borderId="12" xfId="0" applyFont="1" applyFill="1" applyBorder="1" applyAlignment="1">
      <alignment horizontal="justify" vertical="center" wrapText="1"/>
    </xf>
    <xf numFmtId="167" fontId="66" fillId="0" borderId="9" xfId="1" applyFont="1" applyBorder="1" applyAlignment="1">
      <alignment vertical="center"/>
    </xf>
    <xf numFmtId="167" fontId="66" fillId="0" borderId="3" xfId="1" applyFont="1" applyBorder="1" applyAlignment="1">
      <alignment vertical="center"/>
    </xf>
    <xf numFmtId="167" fontId="66" fillId="0" borderId="71" xfId="1" applyFont="1" applyBorder="1" applyAlignment="1">
      <alignment vertical="center"/>
    </xf>
    <xf numFmtId="0" fontId="6" fillId="0" borderId="72" xfId="0" applyNumberFormat="1" applyFont="1" applyBorder="1" applyAlignment="1">
      <alignment horizontal="center" vertical="center"/>
    </xf>
    <xf numFmtId="1" fontId="66" fillId="64" borderId="3" xfId="1" applyNumberFormat="1" applyFont="1" applyFill="1" applyBorder="1" applyAlignment="1">
      <alignment horizontal="center" vertical="center" wrapText="1"/>
    </xf>
    <xf numFmtId="171" fontId="66" fillId="64" borderId="3" xfId="0" applyFont="1" applyFill="1" applyBorder="1" applyAlignment="1">
      <alignment horizontal="justify" vertical="center" wrapText="1"/>
    </xf>
    <xf numFmtId="1" fontId="66" fillId="0" borderId="3" xfId="1" applyNumberFormat="1" applyFont="1" applyBorder="1" applyAlignment="1">
      <alignment horizontal="center" vertical="center" wrapText="1"/>
    </xf>
    <xf numFmtId="171" fontId="66" fillId="0" borderId="3" xfId="0" applyFont="1" applyBorder="1" applyAlignment="1">
      <alignment horizontal="justify" vertical="center" wrapText="1"/>
    </xf>
    <xf numFmtId="167" fontId="66" fillId="0" borderId="69" xfId="1" applyFont="1" applyBorder="1" applyAlignment="1">
      <alignment vertical="center"/>
    </xf>
    <xf numFmtId="0" fontId="6" fillId="0" borderId="73" xfId="0" applyNumberFormat="1" applyFont="1" applyBorder="1" applyAlignment="1">
      <alignment horizontal="center" vertical="center"/>
    </xf>
    <xf numFmtId="1" fontId="66" fillId="0" borderId="45" xfId="1" applyNumberFormat="1" applyFont="1" applyBorder="1" applyAlignment="1">
      <alignment horizontal="center" vertical="center" wrapText="1"/>
    </xf>
    <xf numFmtId="171" fontId="66" fillId="0" borderId="65" xfId="0" applyFont="1" applyBorder="1" applyAlignment="1">
      <alignment horizontal="justify" vertical="center" wrapText="1"/>
    </xf>
    <xf numFmtId="167" fontId="66" fillId="0" borderId="47" xfId="1" applyFont="1" applyBorder="1" applyAlignment="1">
      <alignment vertical="center"/>
    </xf>
    <xf numFmtId="167" fontId="66" fillId="0" borderId="44" xfId="1" applyFont="1" applyBorder="1" applyAlignment="1">
      <alignment vertical="center"/>
    </xf>
    <xf numFmtId="10" fontId="2" fillId="2" borderId="44" xfId="0" applyNumberFormat="1" applyFont="1" applyFill="1" applyBorder="1" applyAlignment="1" applyProtection="1">
      <alignment horizontal="center" vertical="center"/>
      <protection locked="0"/>
    </xf>
    <xf numFmtId="167" fontId="66" fillId="0" borderId="74" xfId="1" applyFont="1" applyBorder="1" applyAlignment="1">
      <alignment vertical="center"/>
    </xf>
    <xf numFmtId="167" fontId="65" fillId="63" borderId="48" xfId="1" applyFont="1" applyFill="1" applyBorder="1" applyAlignment="1">
      <alignment vertical="center"/>
    </xf>
    <xf numFmtId="167" fontId="65" fillId="63" borderId="52" xfId="1" applyFont="1" applyFill="1" applyBorder="1" applyAlignment="1">
      <alignment vertical="center"/>
    </xf>
    <xf numFmtId="167" fontId="65" fillId="63" borderId="59" xfId="1" applyFont="1" applyFill="1" applyBorder="1" applyAlignment="1">
      <alignment vertical="center"/>
    </xf>
    <xf numFmtId="0" fontId="65" fillId="67" borderId="68" xfId="0" applyNumberFormat="1" applyFont="1" applyFill="1" applyBorder="1" applyAlignment="1">
      <alignment horizontal="center" vertical="center" wrapText="1"/>
    </xf>
    <xf numFmtId="1" fontId="66" fillId="0" borderId="12" xfId="1" applyNumberFormat="1" applyFont="1" applyBorder="1" applyAlignment="1">
      <alignment horizontal="center" vertical="center" wrapText="1"/>
    </xf>
    <xf numFmtId="1" fontId="66" fillId="0" borderId="44" xfId="1" applyNumberFormat="1" applyFont="1" applyBorder="1" applyAlignment="1">
      <alignment horizontal="center" vertical="center" wrapText="1"/>
    </xf>
    <xf numFmtId="171" fontId="66" fillId="64" borderId="44" xfId="0" applyFont="1" applyFill="1" applyBorder="1" applyAlignment="1">
      <alignment horizontal="justify" vertical="center" wrapText="1"/>
    </xf>
    <xf numFmtId="167" fontId="65" fillId="63" borderId="75" xfId="1" applyFont="1" applyFill="1" applyBorder="1" applyAlignment="1">
      <alignment vertical="center"/>
    </xf>
    <xf numFmtId="171" fontId="66" fillId="0" borderId="12" xfId="0" applyFont="1" applyBorder="1" applyAlignment="1">
      <alignment horizontal="justify" vertical="center" wrapText="1"/>
    </xf>
    <xf numFmtId="0" fontId="6" fillId="0" borderId="76" xfId="0" applyNumberFormat="1" applyFont="1" applyBorder="1" applyAlignment="1">
      <alignment horizontal="center" vertical="center"/>
    </xf>
    <xf numFmtId="171" fontId="66" fillId="0" borderId="44" xfId="0" applyFont="1" applyBorder="1" applyAlignment="1">
      <alignment horizontal="justify" vertical="center" wrapText="1"/>
    </xf>
    <xf numFmtId="167" fontId="66" fillId="0" borderId="9" xfId="1" applyFont="1" applyFill="1" applyBorder="1" applyAlignment="1">
      <alignment vertical="center"/>
    </xf>
    <xf numFmtId="0" fontId="65" fillId="67" borderId="72" xfId="0" applyNumberFormat="1" applyFont="1" applyFill="1" applyBorder="1" applyAlignment="1">
      <alignment horizontal="center" vertical="center" wrapText="1"/>
    </xf>
    <xf numFmtId="167" fontId="65" fillId="67" borderId="3" xfId="1" applyFont="1" applyFill="1" applyBorder="1" applyAlignment="1">
      <alignment vertical="center" wrapText="1"/>
    </xf>
    <xf numFmtId="167" fontId="65" fillId="67" borderId="80" xfId="1" applyFont="1" applyFill="1" applyBorder="1" applyAlignment="1">
      <alignment vertical="center" wrapText="1"/>
    </xf>
    <xf numFmtId="167" fontId="66" fillId="0" borderId="47" xfId="1" applyFont="1" applyFill="1" applyBorder="1" applyAlignment="1">
      <alignment vertical="center"/>
    </xf>
    <xf numFmtId="167" fontId="66" fillId="0" borderId="3" xfId="1" applyFont="1" applyFill="1" applyBorder="1" applyAlignment="1">
      <alignment vertical="center"/>
    </xf>
    <xf numFmtId="167" fontId="66" fillId="0" borderId="71" xfId="1" applyFont="1" applyFill="1" applyBorder="1" applyAlignment="1">
      <alignment vertical="center"/>
    </xf>
    <xf numFmtId="167" fontId="66" fillId="0" borderId="44" xfId="1" applyFont="1" applyFill="1" applyBorder="1" applyAlignment="1">
      <alignment vertical="center"/>
    </xf>
    <xf numFmtId="49" fontId="66" fillId="64" borderId="12" xfId="0" applyNumberFormat="1" applyFont="1" applyFill="1" applyBorder="1" applyAlignment="1">
      <alignment horizontal="justify" vertical="center" wrapText="1"/>
    </xf>
    <xf numFmtId="167" fontId="66" fillId="0" borderId="78" xfId="1" applyFont="1" applyBorder="1" applyAlignment="1">
      <alignment vertical="center"/>
    </xf>
    <xf numFmtId="1" fontId="66" fillId="0" borderId="23" xfId="1" applyNumberFormat="1" applyFont="1" applyBorder="1" applyAlignment="1">
      <alignment horizontal="center" vertical="center" wrapText="1"/>
    </xf>
    <xf numFmtId="171" fontId="66" fillId="64" borderId="19" xfId="0" applyFont="1" applyFill="1" applyBorder="1" applyAlignment="1">
      <alignment horizontal="justify" vertical="center" wrapText="1"/>
    </xf>
    <xf numFmtId="167" fontId="66" fillId="0" borderId="56" xfId="1" applyFont="1" applyFill="1" applyBorder="1" applyAlignment="1">
      <alignment vertical="center"/>
    </xf>
    <xf numFmtId="1" fontId="66" fillId="0" borderId="16" xfId="1" applyNumberFormat="1" applyFont="1" applyBorder="1" applyAlignment="1">
      <alignment horizontal="center" vertical="center" wrapText="1"/>
    </xf>
    <xf numFmtId="171" fontId="66" fillId="0" borderId="13" xfId="0" applyFont="1" applyBorder="1" applyAlignment="1">
      <alignment horizontal="justify" vertical="center" wrapText="1"/>
    </xf>
    <xf numFmtId="171" fontId="66" fillId="64" borderId="13" xfId="0" applyFont="1" applyFill="1" applyBorder="1" applyAlignment="1">
      <alignment horizontal="justify" vertical="center" wrapText="1"/>
    </xf>
    <xf numFmtId="167" fontId="66" fillId="0" borderId="56" xfId="1" applyFont="1" applyBorder="1" applyAlignment="1">
      <alignment vertical="center"/>
    </xf>
    <xf numFmtId="1" fontId="66" fillId="0" borderId="20" xfId="1" applyNumberFormat="1" applyFont="1" applyBorder="1" applyAlignment="1">
      <alignment horizontal="center" vertical="center" wrapText="1"/>
    </xf>
    <xf numFmtId="171" fontId="66" fillId="64" borderId="17" xfId="0" applyFont="1" applyFill="1" applyBorder="1" applyAlignment="1">
      <alignment horizontal="justify" vertical="center" wrapText="1"/>
    </xf>
    <xf numFmtId="167" fontId="66" fillId="0" borderId="81" xfId="1" applyFont="1" applyBorder="1" applyAlignment="1">
      <alignment vertical="center"/>
    </xf>
    <xf numFmtId="171" fontId="66" fillId="0" borderId="19" xfId="0" applyFont="1" applyBorder="1" applyAlignment="1">
      <alignment horizontal="justify" vertical="center" wrapText="1"/>
    </xf>
    <xf numFmtId="171" fontId="66" fillId="0" borderId="17" xfId="0" applyFont="1" applyBorder="1" applyAlignment="1">
      <alignment horizontal="justify" vertical="center" wrapText="1"/>
    </xf>
    <xf numFmtId="0" fontId="6" fillId="0" borderId="77" xfId="0" applyNumberFormat="1" applyFont="1" applyBorder="1" applyAlignment="1">
      <alignment horizontal="center" vertical="center"/>
    </xf>
    <xf numFmtId="1" fontId="66" fillId="0" borderId="58" xfId="1" applyNumberFormat="1" applyFont="1" applyBorder="1" applyAlignment="1">
      <alignment horizontal="center" vertical="center" wrapText="1"/>
    </xf>
    <xf numFmtId="171" fontId="66" fillId="0" borderId="16" xfId="0" applyFont="1" applyBorder="1" applyAlignment="1">
      <alignment horizontal="justify" vertical="center" wrapText="1"/>
    </xf>
    <xf numFmtId="0" fontId="6" fillId="0" borderId="3" xfId="0" applyNumberFormat="1" applyFont="1" applyBorder="1" applyAlignment="1">
      <alignment horizontal="center" vertical="center"/>
    </xf>
    <xf numFmtId="171" fontId="66" fillId="0" borderId="20" xfId="0" applyFont="1" applyBorder="1" applyAlignment="1">
      <alignment horizontal="justify" vertical="center" wrapText="1"/>
    </xf>
    <xf numFmtId="171" fontId="66" fillId="0" borderId="53" xfId="0" applyFont="1" applyBorder="1" applyAlignment="1">
      <alignment horizontal="justify" vertical="center" wrapText="1"/>
    </xf>
    <xf numFmtId="167" fontId="66" fillId="0" borderId="79" xfId="1" applyFont="1" applyBorder="1" applyAlignment="1">
      <alignment vertical="center"/>
    </xf>
    <xf numFmtId="167" fontId="66" fillId="0" borderId="65" xfId="1" applyFont="1" applyBorder="1" applyAlignment="1">
      <alignment vertical="center"/>
    </xf>
    <xf numFmtId="167" fontId="65" fillId="65" borderId="61" xfId="1" applyFont="1" applyFill="1" applyBorder="1" applyAlignment="1">
      <alignment vertical="center"/>
    </xf>
    <xf numFmtId="167" fontId="65" fillId="65" borderId="52" xfId="1" applyFont="1" applyFill="1" applyBorder="1" applyAlignment="1">
      <alignment vertical="center"/>
    </xf>
    <xf numFmtId="167" fontId="65" fillId="65" borderId="59" xfId="1" applyFont="1" applyFill="1" applyBorder="1" applyAlignment="1">
      <alignment vertical="center"/>
    </xf>
    <xf numFmtId="0" fontId="6" fillId="0" borderId="0" xfId="0" applyNumberFormat="1" applyFont="1" applyBorder="1" applyAlignment="1">
      <alignment horizontal="center" vertical="center"/>
    </xf>
    <xf numFmtId="171" fontId="6" fillId="0" borderId="0" xfId="0" applyFont="1" applyAlignment="1">
      <alignment horizontal="right"/>
    </xf>
    <xf numFmtId="167" fontId="6" fillId="0" borderId="0" xfId="1" applyFont="1"/>
    <xf numFmtId="171" fontId="6" fillId="0" borderId="0" xfId="0" applyFont="1" applyAlignment="1">
      <alignment horizontal="center"/>
    </xf>
    <xf numFmtId="171" fontId="54" fillId="0" borderId="0" xfId="0" applyFont="1" applyAlignment="1">
      <alignment horizontal="center"/>
    </xf>
    <xf numFmtId="167" fontId="6" fillId="0" borderId="0" xfId="1" applyFont="1" applyAlignment="1">
      <alignment horizontal="center"/>
    </xf>
    <xf numFmtId="171" fontId="6" fillId="0" borderId="0" xfId="0" applyFont="1" applyAlignment="1">
      <alignment horizontal="center" vertical="top"/>
    </xf>
    <xf numFmtId="171" fontId="67" fillId="0" borderId="0" xfId="0" applyFont="1"/>
    <xf numFmtId="0" fontId="4" fillId="60" borderId="47" xfId="0" applyNumberFormat="1" applyFont="1" applyFill="1" applyBorder="1" applyAlignment="1">
      <alignment horizontal="center" vertical="center" wrapText="1"/>
    </xf>
    <xf numFmtId="0" fontId="4" fillId="60" borderId="11" xfId="0" applyNumberFormat="1" applyFont="1" applyFill="1" applyBorder="1" applyAlignment="1">
      <alignment horizontal="center" vertical="center" wrapText="1"/>
    </xf>
    <xf numFmtId="171" fontId="4" fillId="60" borderId="44" xfId="0" applyFont="1" applyFill="1" applyBorder="1" applyAlignment="1">
      <alignment horizontal="center" vertical="center" wrapText="1"/>
    </xf>
    <xf numFmtId="171" fontId="4" fillId="60" borderId="12" xfId="0" applyFont="1" applyFill="1" applyBorder="1" applyAlignment="1">
      <alignment horizontal="center" vertical="center" wrapText="1"/>
    </xf>
    <xf numFmtId="0" fontId="4" fillId="59" borderId="44" xfId="0" applyNumberFormat="1" applyFont="1" applyFill="1" applyBorder="1" applyAlignment="1">
      <alignment horizontal="center" vertical="center" wrapText="1"/>
    </xf>
    <xf numFmtId="0" fontId="4" fillId="59" borderId="12" xfId="0" applyNumberFormat="1" applyFont="1" applyFill="1" applyBorder="1" applyAlignment="1">
      <alignment horizontal="center" vertical="center" wrapText="1"/>
    </xf>
    <xf numFmtId="0" fontId="4" fillId="60" borderId="44" xfId="0" applyNumberFormat="1" applyFont="1" applyFill="1" applyBorder="1" applyAlignment="1">
      <alignment horizontal="center" vertical="center" wrapText="1"/>
    </xf>
    <xf numFmtId="0" fontId="4" fillId="60" borderId="12" xfId="0" applyNumberFormat="1" applyFont="1" applyFill="1" applyBorder="1" applyAlignment="1">
      <alignment horizontal="center" vertical="center" wrapText="1"/>
    </xf>
    <xf numFmtId="171" fontId="4" fillId="60" borderId="3" xfId="0" applyFont="1" applyFill="1" applyBorder="1" applyAlignment="1">
      <alignment horizontal="center" vertical="center" wrapText="1"/>
    </xf>
    <xf numFmtId="171" fontId="3" fillId="0" borderId="7" xfId="0" applyFont="1" applyBorder="1" applyAlignment="1">
      <alignment horizontal="center" vertical="center"/>
    </xf>
    <xf numFmtId="171" fontId="3" fillId="0" borderId="8" xfId="0" applyFont="1" applyBorder="1" applyAlignment="1">
      <alignment horizontal="center" vertical="center"/>
    </xf>
    <xf numFmtId="0" fontId="3" fillId="62" borderId="7" xfId="0" applyNumberFormat="1" applyFont="1" applyFill="1" applyBorder="1" applyAlignment="1">
      <alignment horizontal="center" vertical="center" wrapText="1"/>
    </xf>
    <xf numFmtId="0" fontId="3" fillId="62" borderId="9" xfId="0" applyNumberFormat="1" applyFont="1" applyFill="1" applyBorder="1" applyAlignment="1">
      <alignment horizontal="center" vertical="center" wrapText="1"/>
    </xf>
    <xf numFmtId="171" fontId="3" fillId="62" borderId="12" xfId="0" applyFont="1" applyFill="1" applyBorder="1" applyAlignment="1">
      <alignment horizontal="center" vertical="center" wrapText="1"/>
    </xf>
    <xf numFmtId="171" fontId="3" fillId="62" borderId="5" xfId="0" applyFont="1" applyFill="1" applyBorder="1" applyAlignment="1">
      <alignment horizontal="center" vertical="center" wrapText="1"/>
    </xf>
    <xf numFmtId="171" fontId="3" fillId="62" borderId="6" xfId="0" applyFont="1" applyFill="1" applyBorder="1" applyAlignment="1">
      <alignment horizontal="center" vertical="center" wrapText="1"/>
    </xf>
    <xf numFmtId="171" fontId="3" fillId="62" borderId="11" xfId="0" applyFont="1" applyFill="1" applyBorder="1" applyAlignment="1">
      <alignment horizontal="center" vertical="center" wrapText="1"/>
    </xf>
    <xf numFmtId="173" fontId="3" fillId="62" borderId="4" xfId="3" applyNumberFormat="1" applyFont="1" applyFill="1" applyBorder="1" applyAlignment="1">
      <alignment horizontal="center" vertical="center" wrapText="1"/>
    </xf>
    <xf numFmtId="173" fontId="3" fillId="62" borderId="0" xfId="3" applyNumberFormat="1" applyFont="1" applyFill="1" applyBorder="1" applyAlignment="1">
      <alignment horizontal="center" vertical="center" wrapText="1"/>
    </xf>
    <xf numFmtId="173" fontId="3" fillId="62" borderId="46" xfId="3" applyNumberFormat="1" applyFont="1" applyFill="1" applyBorder="1" applyAlignment="1">
      <alignment horizontal="center" vertical="center" wrapText="1"/>
    </xf>
    <xf numFmtId="171" fontId="3" fillId="0" borderId="5" xfId="0" applyFont="1" applyBorder="1" applyAlignment="1">
      <alignment horizontal="center" vertical="center" wrapText="1"/>
    </xf>
    <xf numFmtId="171" fontId="3" fillId="0" borderId="6" xfId="0" applyFont="1" applyBorder="1" applyAlignment="1">
      <alignment horizontal="center" vertical="center" wrapText="1"/>
    </xf>
    <xf numFmtId="171" fontId="50" fillId="0" borderId="1" xfId="0" applyFont="1" applyBorder="1" applyAlignment="1">
      <alignment horizontal="center" vertical="center" wrapText="1"/>
    </xf>
    <xf numFmtId="171" fontId="50" fillId="0" borderId="2" xfId="0" applyFont="1" applyBorder="1" applyAlignment="1">
      <alignment horizontal="center" vertical="center" wrapText="1"/>
    </xf>
    <xf numFmtId="171" fontId="50" fillId="0" borderId="4" xfId="0" applyFont="1" applyBorder="1" applyAlignment="1">
      <alignment horizontal="center" vertical="center" wrapText="1"/>
    </xf>
    <xf numFmtId="171" fontId="50" fillId="0" borderId="0" xfId="0" applyFont="1" applyBorder="1" applyAlignment="1">
      <alignment horizontal="center" vertical="center" wrapText="1"/>
    </xf>
    <xf numFmtId="0" fontId="4" fillId="59" borderId="45" xfId="0" applyNumberFormat="1" applyFont="1" applyFill="1" applyBorder="1" applyAlignment="1">
      <alignment horizontal="center" vertical="center" wrapText="1"/>
    </xf>
    <xf numFmtId="171" fontId="4" fillId="62" borderId="1" xfId="0" applyFont="1" applyFill="1" applyBorder="1" applyAlignment="1">
      <alignment horizontal="center" vertical="center" wrapText="1"/>
    </xf>
    <xf numFmtId="171" fontId="4" fillId="62" borderId="2" xfId="0" applyFont="1" applyFill="1" applyBorder="1" applyAlignment="1">
      <alignment horizontal="center" vertical="center" wrapText="1"/>
    </xf>
    <xf numFmtId="171" fontId="4" fillId="62" borderId="47" xfId="0" applyFont="1" applyFill="1" applyBorder="1" applyAlignment="1">
      <alignment horizontal="center" vertical="center" wrapText="1"/>
    </xf>
    <xf numFmtId="171" fontId="4" fillId="62" borderId="5" xfId="0" applyFont="1" applyFill="1" applyBorder="1" applyAlignment="1">
      <alignment horizontal="center" vertical="center" wrapText="1"/>
    </xf>
    <xf numFmtId="171" fontId="4" fillId="62" borderId="6" xfId="0" applyFont="1" applyFill="1" applyBorder="1" applyAlignment="1">
      <alignment horizontal="center" vertical="center" wrapText="1"/>
    </xf>
    <xf numFmtId="171" fontId="4" fillId="62" borderId="11" xfId="0" applyFont="1" applyFill="1" applyBorder="1" applyAlignment="1">
      <alignment horizontal="center" vertical="center" wrapText="1"/>
    </xf>
    <xf numFmtId="179" fontId="4" fillId="60" borderId="44" xfId="0" applyNumberFormat="1" applyFont="1" applyFill="1" applyBorder="1" applyAlignment="1">
      <alignment horizontal="center" vertical="center" wrapText="1"/>
    </xf>
    <xf numFmtId="179" fontId="4" fillId="60" borderId="12" xfId="0" applyNumberFormat="1" applyFont="1" applyFill="1" applyBorder="1" applyAlignment="1">
      <alignment horizontal="center" vertical="center" wrapText="1"/>
    </xf>
    <xf numFmtId="0" fontId="2" fillId="73" borderId="72" xfId="389" applyNumberFormat="1" applyFont="1" applyFill="1" applyBorder="1" applyAlignment="1">
      <alignment horizontal="left" vertical="center" wrapText="1"/>
    </xf>
    <xf numFmtId="0" fontId="2" fillId="73" borderId="3" xfId="389" applyNumberFormat="1" applyFont="1" applyFill="1" applyBorder="1" applyAlignment="1">
      <alignment horizontal="left" vertical="center" wrapText="1"/>
    </xf>
    <xf numFmtId="0" fontId="2" fillId="74" borderId="72" xfId="389" applyNumberFormat="1" applyFont="1" applyFill="1" applyBorder="1" applyAlignment="1">
      <alignment horizontal="left" vertical="center" wrapText="1"/>
    </xf>
    <xf numFmtId="0" fontId="2" fillId="74" borderId="3" xfId="389" applyNumberFormat="1" applyFont="1" applyFill="1" applyBorder="1" applyAlignment="1">
      <alignment horizontal="left" vertical="center" wrapText="1"/>
    </xf>
    <xf numFmtId="0" fontId="2" fillId="70" borderId="72" xfId="389" applyNumberFormat="1" applyFont="1" applyFill="1" applyBorder="1" applyAlignment="1">
      <alignment horizontal="left" vertical="center" wrapText="1"/>
    </xf>
    <xf numFmtId="0" fontId="2" fillId="70" borderId="3" xfId="389" applyNumberFormat="1" applyFont="1" applyFill="1" applyBorder="1" applyAlignment="1">
      <alignment horizontal="left" vertical="center" wrapText="1"/>
    </xf>
    <xf numFmtId="171" fontId="3" fillId="62" borderId="7" xfId="0" applyFont="1" applyFill="1" applyBorder="1" applyAlignment="1">
      <alignment horizontal="center" vertical="center" wrapText="1"/>
    </xf>
    <xf numFmtId="171" fontId="3" fillId="62" borderId="9" xfId="0" applyFont="1" applyFill="1" applyBorder="1" applyAlignment="1">
      <alignment horizontal="center" vertical="center" wrapText="1"/>
    </xf>
    <xf numFmtId="171" fontId="3" fillId="0" borderId="1" xfId="0" applyFont="1" applyBorder="1" applyAlignment="1">
      <alignment horizontal="center" vertical="center" wrapText="1"/>
    </xf>
    <xf numFmtId="171" fontId="3" fillId="0" borderId="2" xfId="0" applyFont="1" applyBorder="1" applyAlignment="1">
      <alignment horizontal="center" vertical="center" wrapText="1"/>
    </xf>
    <xf numFmtId="171" fontId="3" fillId="0" borderId="47" xfId="0" applyFont="1" applyBorder="1" applyAlignment="1">
      <alignment horizontal="center" vertical="center" wrapText="1"/>
    </xf>
    <xf numFmtId="171" fontId="3" fillId="0" borderId="4" xfId="0" applyFont="1" applyBorder="1" applyAlignment="1">
      <alignment horizontal="center" vertical="center" wrapText="1"/>
    </xf>
    <xf numFmtId="171" fontId="3" fillId="0" borderId="0" xfId="0" applyFont="1" applyBorder="1" applyAlignment="1">
      <alignment horizontal="center" vertical="center" wrapText="1"/>
    </xf>
    <xf numFmtId="171" fontId="3" fillId="0" borderId="46" xfId="0" applyFont="1" applyBorder="1" applyAlignment="1">
      <alignment horizontal="center" vertical="center" wrapText="1"/>
    </xf>
    <xf numFmtId="171" fontId="3" fillId="0" borderId="11" xfId="0" applyFont="1" applyBorder="1" applyAlignment="1">
      <alignment horizontal="center" vertical="center" wrapText="1"/>
    </xf>
    <xf numFmtId="0" fontId="3" fillId="0" borderId="68" xfId="389" applyNumberFormat="1" applyFont="1" applyBorder="1" applyAlignment="1">
      <alignment horizontal="center" vertical="center" wrapText="1"/>
    </xf>
    <xf numFmtId="0" fontId="3" fillId="0" borderId="82" xfId="389" applyNumberFormat="1" applyFont="1" applyBorder="1" applyAlignment="1">
      <alignment horizontal="center" vertical="center" wrapText="1"/>
    </xf>
    <xf numFmtId="0" fontId="2" fillId="71" borderId="72" xfId="389" applyNumberFormat="1" applyFont="1" applyFill="1" applyBorder="1" applyAlignment="1">
      <alignment horizontal="left" vertical="center" wrapText="1"/>
    </xf>
    <xf numFmtId="0" fontId="2" fillId="71" borderId="3" xfId="389" applyNumberFormat="1" applyFont="1" applyFill="1" applyBorder="1" applyAlignment="1">
      <alignment horizontal="left" vertical="center" wrapText="1"/>
    </xf>
    <xf numFmtId="0" fontId="2" fillId="72" borderId="72" xfId="389" applyNumberFormat="1" applyFont="1" applyFill="1" applyBorder="1" applyAlignment="1">
      <alignment horizontal="left" vertical="center" wrapText="1"/>
    </xf>
    <xf numFmtId="0" fontId="2" fillId="72" borderId="3" xfId="389" applyNumberFormat="1" applyFont="1" applyFill="1" applyBorder="1" applyAlignment="1">
      <alignment horizontal="left" vertical="center" wrapText="1"/>
    </xf>
    <xf numFmtId="0" fontId="2" fillId="74" borderId="4" xfId="389" applyNumberFormat="1" applyFont="1" applyFill="1" applyBorder="1" applyAlignment="1">
      <alignment horizontal="left" vertical="center" wrapText="1"/>
    </xf>
    <xf numFmtId="0" fontId="2" fillId="74" borderId="46" xfId="389" applyNumberFormat="1" applyFont="1" applyFill="1" applyBorder="1" applyAlignment="1">
      <alignment horizontal="left" vertical="center" wrapText="1"/>
    </xf>
    <xf numFmtId="0" fontId="2" fillId="70" borderId="5" xfId="389" applyNumberFormat="1" applyFont="1" applyFill="1" applyBorder="1" applyAlignment="1">
      <alignment horizontal="left" vertical="center" wrapText="1"/>
    </xf>
    <xf numFmtId="0" fontId="2" fillId="70" borderId="11" xfId="389" applyNumberFormat="1" applyFont="1" applyFill="1" applyBorder="1" applyAlignment="1">
      <alignment horizontal="left" vertical="center" wrapText="1"/>
    </xf>
    <xf numFmtId="171" fontId="3" fillId="0" borderId="1" xfId="0" applyFont="1" applyFill="1" applyBorder="1" applyAlignment="1">
      <alignment horizontal="center" vertical="center" wrapText="1"/>
    </xf>
    <xf numFmtId="171" fontId="3" fillId="0" borderId="2" xfId="0" applyFont="1" applyFill="1" applyBorder="1" applyAlignment="1">
      <alignment horizontal="center" vertical="center" wrapText="1"/>
    </xf>
    <xf numFmtId="171" fontId="3" fillId="0" borderId="47" xfId="0" applyFont="1" applyFill="1" applyBorder="1" applyAlignment="1">
      <alignment horizontal="center" vertical="center" wrapText="1"/>
    </xf>
    <xf numFmtId="171" fontId="3" fillId="0" borderId="4" xfId="0" applyFont="1" applyFill="1" applyBorder="1" applyAlignment="1">
      <alignment horizontal="center" vertical="center" wrapText="1"/>
    </xf>
    <xf numFmtId="171" fontId="3" fillId="0" borderId="0" xfId="0" applyFont="1" applyFill="1" applyBorder="1" applyAlignment="1">
      <alignment horizontal="center" vertical="center" wrapText="1"/>
    </xf>
    <xf numFmtId="171" fontId="3" fillId="0" borderId="46" xfId="0" applyFont="1" applyFill="1" applyBorder="1" applyAlignment="1">
      <alignment horizontal="center" vertical="center" wrapText="1"/>
    </xf>
    <xf numFmtId="171" fontId="3" fillId="0" borderId="5" xfId="0" applyFont="1" applyFill="1" applyBorder="1" applyAlignment="1">
      <alignment horizontal="center" vertical="center" wrapText="1"/>
    </xf>
    <xf numFmtId="171" fontId="3" fillId="0" borderId="6" xfId="0" applyFont="1" applyFill="1" applyBorder="1" applyAlignment="1">
      <alignment horizontal="center" vertical="center" wrapText="1"/>
    </xf>
    <xf numFmtId="171" fontId="3" fillId="0" borderId="11" xfId="0" applyFont="1" applyFill="1" applyBorder="1" applyAlignment="1">
      <alignment horizontal="center" vertical="center" wrapText="1"/>
    </xf>
    <xf numFmtId="0" fontId="3" fillId="0" borderId="1" xfId="389" applyNumberFormat="1" applyFont="1" applyBorder="1" applyAlignment="1">
      <alignment horizontal="left" vertical="center" wrapText="1"/>
    </xf>
    <xf numFmtId="0" fontId="3" fillId="0" borderId="47" xfId="389" applyNumberFormat="1" applyFont="1" applyBorder="1" applyAlignment="1">
      <alignment horizontal="left" vertical="center" wrapText="1"/>
    </xf>
    <xf numFmtId="0" fontId="2" fillId="71" borderId="4" xfId="389" applyNumberFormat="1" applyFont="1" applyFill="1" applyBorder="1" applyAlignment="1">
      <alignment horizontal="left" vertical="center" wrapText="1"/>
    </xf>
    <xf numFmtId="0" fontId="2" fillId="71" borderId="46" xfId="389" applyNumberFormat="1" applyFont="1" applyFill="1" applyBorder="1" applyAlignment="1">
      <alignment horizontal="left" vertical="center" wrapText="1"/>
    </xf>
    <xf numFmtId="0" fontId="2" fillId="72" borderId="4" xfId="389" applyNumberFormat="1" applyFont="1" applyFill="1" applyBorder="1" applyAlignment="1">
      <alignment horizontal="left" vertical="center" wrapText="1"/>
    </xf>
    <xf numFmtId="0" fontId="2" fillId="72" borderId="46" xfId="389" applyNumberFormat="1" applyFont="1" applyFill="1" applyBorder="1" applyAlignment="1">
      <alignment horizontal="left" vertical="center" wrapText="1"/>
    </xf>
    <xf numFmtId="0" fontId="2" fillId="73" borderId="4" xfId="389" applyNumberFormat="1" applyFont="1" applyFill="1" applyBorder="1" applyAlignment="1">
      <alignment horizontal="left" vertical="center" wrapText="1"/>
    </xf>
    <xf numFmtId="0" fontId="2" fillId="73" borderId="46" xfId="389" applyNumberFormat="1" applyFont="1" applyFill="1" applyBorder="1" applyAlignment="1">
      <alignment horizontal="left" vertical="center" wrapText="1"/>
    </xf>
    <xf numFmtId="171" fontId="65" fillId="67" borderId="3" xfId="0" applyFont="1" applyFill="1" applyBorder="1" applyAlignment="1">
      <alignment horizontal="left" vertical="center" wrapText="1"/>
    </xf>
    <xf numFmtId="171" fontId="65" fillId="67" borderId="67" xfId="0" applyFont="1" applyFill="1" applyBorder="1" applyAlignment="1">
      <alignment horizontal="left" vertical="center" wrapText="1"/>
    </xf>
    <xf numFmtId="171" fontId="65" fillId="67" borderId="66" xfId="0" applyFont="1" applyFill="1" applyBorder="1" applyAlignment="1">
      <alignment horizontal="left" vertical="center" wrapText="1"/>
    </xf>
    <xf numFmtId="171" fontId="65" fillId="63" borderId="60" xfId="0" applyFont="1" applyFill="1" applyBorder="1" applyAlignment="1">
      <alignment horizontal="center" vertical="center" wrapText="1"/>
    </xf>
    <xf numFmtId="171" fontId="65" fillId="63" borderId="63" xfId="0" applyFont="1" applyFill="1" applyBorder="1" applyAlignment="1">
      <alignment horizontal="center" vertical="center" wrapText="1"/>
    </xf>
    <xf numFmtId="171" fontId="65" fillId="63" borderId="64" xfId="0" applyFont="1" applyFill="1" applyBorder="1" applyAlignment="1">
      <alignment horizontal="center" vertical="center" wrapText="1"/>
    </xf>
    <xf numFmtId="171" fontId="65" fillId="63" borderId="48" xfId="0" applyFont="1" applyFill="1" applyBorder="1" applyAlignment="1">
      <alignment horizontal="center" vertical="center" wrapText="1"/>
    </xf>
    <xf numFmtId="171" fontId="65" fillId="63" borderId="49" xfId="0" applyFont="1" applyFill="1" applyBorder="1" applyAlignment="1">
      <alignment horizontal="center" vertical="center" wrapText="1"/>
    </xf>
    <xf numFmtId="171" fontId="65" fillId="63" borderId="59" xfId="0" applyFont="1" applyFill="1" applyBorder="1" applyAlignment="1">
      <alignment horizontal="center" vertical="center" wrapText="1"/>
    </xf>
    <xf numFmtId="171" fontId="6" fillId="0" borderId="0" xfId="0" applyFont="1" applyAlignment="1">
      <alignment horizontal="center"/>
    </xf>
    <xf numFmtId="171" fontId="65" fillId="67" borderId="12" xfId="0" applyFont="1" applyFill="1" applyBorder="1" applyAlignment="1">
      <alignment horizontal="left" vertical="center" wrapText="1"/>
    </xf>
    <xf numFmtId="171" fontId="6" fillId="0" borderId="0" xfId="0" applyFont="1" applyAlignment="1">
      <alignment horizontal="left" vertical="center" wrapText="1"/>
    </xf>
    <xf numFmtId="171" fontId="6" fillId="0" borderId="0" xfId="0" applyFont="1" applyAlignment="1">
      <alignment horizontal="left" vertical="center"/>
    </xf>
    <xf numFmtId="171" fontId="65" fillId="62" borderId="48" xfId="0" applyFont="1" applyFill="1" applyBorder="1" applyAlignment="1">
      <alignment horizontal="center" vertical="center" wrapText="1"/>
    </xf>
    <xf numFmtId="171" fontId="65" fillId="62" borderId="49" xfId="0" applyFont="1" applyFill="1" applyBorder="1" applyAlignment="1">
      <alignment horizontal="center" vertical="center" wrapText="1"/>
    </xf>
    <xf numFmtId="171" fontId="65" fillId="62" borderId="62" xfId="0" applyFont="1" applyFill="1" applyBorder="1" applyAlignment="1">
      <alignment horizontal="center" vertical="center" wrapText="1"/>
    </xf>
    <xf numFmtId="171" fontId="66" fillId="0" borderId="0" xfId="0" applyFont="1" applyAlignment="1">
      <alignment horizontal="left" vertical="center" wrapText="1"/>
    </xf>
    <xf numFmtId="171" fontId="65" fillId="0" borderId="83" xfId="0" applyFont="1" applyBorder="1" applyAlignment="1">
      <alignment horizontal="center" vertical="center" wrapText="1"/>
    </xf>
    <xf numFmtId="171" fontId="65" fillId="0" borderId="84" xfId="0" applyFont="1" applyBorder="1" applyAlignment="1">
      <alignment horizontal="center" vertical="center" wrapText="1"/>
    </xf>
    <xf numFmtId="0" fontId="54" fillId="0" borderId="8" xfId="92" applyFont="1" applyBorder="1" applyAlignment="1">
      <alignment horizontal="center" vertical="center" wrapText="1"/>
    </xf>
    <xf numFmtId="0" fontId="54" fillId="0" borderId="9" xfId="92" applyFont="1" applyBorder="1" applyAlignment="1">
      <alignment horizontal="center" vertical="center" wrapText="1"/>
    </xf>
    <xf numFmtId="171" fontId="22" fillId="0" borderId="3" xfId="0" applyFont="1" applyBorder="1" applyAlignment="1">
      <alignment horizontal="center" wrapText="1"/>
    </xf>
    <xf numFmtId="171" fontId="22" fillId="0" borderId="3" xfId="0" applyFont="1" applyBorder="1" applyAlignment="1">
      <alignment horizontal="center"/>
    </xf>
  </cellXfs>
  <cellStyles count="401">
    <cellStyle name="20% - Énfasis1" xfId="34" builtinId="30" customBuiltin="1"/>
    <cellStyle name="20% - Énfasis1 2" xfId="231"/>
    <cellStyle name="20% - Énfasis1 2 2" xfId="283"/>
    <cellStyle name="20% - Énfasis1 2 3" xfId="284"/>
    <cellStyle name="20% - Énfasis1 2 4" xfId="282"/>
    <cellStyle name="20% - Énfasis2" xfId="38" builtinId="34" customBuiltin="1"/>
    <cellStyle name="20% - Énfasis2 2" xfId="251"/>
    <cellStyle name="20% - Énfasis2 2 2" xfId="286"/>
    <cellStyle name="20% - Énfasis2 2 3" xfId="287"/>
    <cellStyle name="20% - Énfasis2 2 4" xfId="285"/>
    <cellStyle name="20% - Énfasis3" xfId="42" builtinId="38" customBuiltin="1"/>
    <cellStyle name="20% - Énfasis3 2" xfId="59"/>
    <cellStyle name="20% - Énfasis3 2 2" xfId="289"/>
    <cellStyle name="20% - Énfasis3 2 3" xfId="290"/>
    <cellStyle name="20% - Énfasis3 2 4" xfId="288"/>
    <cellStyle name="20% - Énfasis4" xfId="46" builtinId="42" customBuiltin="1"/>
    <cellStyle name="20% - Énfasis4 2" xfId="255"/>
    <cellStyle name="20% - Énfasis4 2 2" xfId="292"/>
    <cellStyle name="20% - Énfasis4 2 3" xfId="293"/>
    <cellStyle name="20% - Énfasis4 2 4" xfId="291"/>
    <cellStyle name="20% - Énfasis5" xfId="50" builtinId="46" customBuiltin="1"/>
    <cellStyle name="20% - Énfasis5 2" xfId="221"/>
    <cellStyle name="20% - Énfasis5 2 2" xfId="295"/>
    <cellStyle name="20% - Énfasis5 2 3" xfId="296"/>
    <cellStyle name="20% - Énfasis5 2 4" xfId="294"/>
    <cellStyle name="20% - Énfasis6" xfId="54" builtinId="50" customBuiltin="1"/>
    <cellStyle name="20% - Énfasis6 2" xfId="213"/>
    <cellStyle name="20% - Énfasis6 2 2" xfId="298"/>
    <cellStyle name="20% - Énfasis6 2 3" xfId="299"/>
    <cellStyle name="20% - Énfasis6 2 4" xfId="297"/>
    <cellStyle name="40% - Énfasis1" xfId="35" builtinId="31" customBuiltin="1"/>
    <cellStyle name="40% - Énfasis1 2" xfId="194"/>
    <cellStyle name="40% - Énfasis1 2 2" xfId="301"/>
    <cellStyle name="40% - Énfasis1 2 3" xfId="302"/>
    <cellStyle name="40% - Énfasis1 2 4" xfId="300"/>
    <cellStyle name="40% - Énfasis2" xfId="39" builtinId="35" customBuiltin="1"/>
    <cellStyle name="40% - Énfasis2 2" xfId="249"/>
    <cellStyle name="40% - Énfasis2 2 2" xfId="304"/>
    <cellStyle name="40% - Énfasis2 2 3" xfId="305"/>
    <cellStyle name="40% - Énfasis2 2 4" xfId="303"/>
    <cellStyle name="40% - Énfasis3" xfId="43" builtinId="39" customBuiltin="1"/>
    <cellStyle name="40% - Énfasis3 2" xfId="258"/>
    <cellStyle name="40% - Énfasis3 2 2" xfId="307"/>
    <cellStyle name="40% - Énfasis3 2 3" xfId="308"/>
    <cellStyle name="40% - Énfasis3 2 4" xfId="306"/>
    <cellStyle name="40% - Énfasis4" xfId="47" builtinId="43" customBuiltin="1"/>
    <cellStyle name="40% - Énfasis4 2" xfId="216"/>
    <cellStyle name="40% - Énfasis4 2 2" xfId="310"/>
    <cellStyle name="40% - Énfasis4 2 3" xfId="311"/>
    <cellStyle name="40% - Énfasis4 2 4" xfId="309"/>
    <cellStyle name="40% - Énfasis5" xfId="51" builtinId="47" customBuiltin="1"/>
    <cellStyle name="40% - Énfasis5 2" xfId="248"/>
    <cellStyle name="40% - Énfasis5 2 2" xfId="313"/>
    <cellStyle name="40% - Énfasis5 2 3" xfId="314"/>
    <cellStyle name="40% - Énfasis5 2 4" xfId="312"/>
    <cellStyle name="40% - Énfasis6" xfId="55" builtinId="51" customBuiltin="1"/>
    <cellStyle name="40% - Énfasis6 2" xfId="65"/>
    <cellStyle name="40% - Énfasis6 2 2" xfId="316"/>
    <cellStyle name="40% - Énfasis6 2 3" xfId="317"/>
    <cellStyle name="40% - Énfasis6 2 4" xfId="315"/>
    <cellStyle name="60% - Énfasis1" xfId="36" builtinId="32" customBuiltin="1"/>
    <cellStyle name="60% - Énfasis1 2" xfId="211"/>
    <cellStyle name="60% - Énfasis1 2 2" xfId="318"/>
    <cellStyle name="60% - Énfasis2" xfId="40" builtinId="36" customBuiltin="1"/>
    <cellStyle name="60% - Énfasis2 2" xfId="240"/>
    <cellStyle name="60% - Énfasis2 2 2" xfId="319"/>
    <cellStyle name="60% - Énfasis3" xfId="44" builtinId="40" customBuiltin="1"/>
    <cellStyle name="60% - Énfasis3 2" xfId="70"/>
    <cellStyle name="60% - Énfasis3 2 2" xfId="320"/>
    <cellStyle name="60% - Énfasis4" xfId="48" builtinId="44" customBuiltin="1"/>
    <cellStyle name="60% - Énfasis4 2" xfId="235"/>
    <cellStyle name="60% - Énfasis4 2 2" xfId="321"/>
    <cellStyle name="60% - Énfasis5" xfId="52" builtinId="48" customBuiltin="1"/>
    <cellStyle name="60% - Énfasis5 2" xfId="233"/>
    <cellStyle name="60% - Énfasis5 2 2" xfId="322"/>
    <cellStyle name="60% - Énfasis6" xfId="56" builtinId="52" customBuiltin="1"/>
    <cellStyle name="60% - Énfasis6 2" xfId="78"/>
    <cellStyle name="60% - Énfasis6 2 2" xfId="323"/>
    <cellStyle name="Buena 2" xfId="324"/>
    <cellStyle name="Cálculo" xfId="26" builtinId="22" customBuiltin="1"/>
    <cellStyle name="Cálculo 2" xfId="67"/>
    <cellStyle name="Cálculo 2 2" xfId="325"/>
    <cellStyle name="Celda de comprobación" xfId="28" builtinId="23" customBuiltin="1"/>
    <cellStyle name="Celda de comprobación 2" xfId="66"/>
    <cellStyle name="Celda de comprobación 2 2" xfId="326"/>
    <cellStyle name="Celda vinculada" xfId="27" builtinId="24" customBuiltin="1"/>
    <cellStyle name="Celda vinculada 2" xfId="169"/>
    <cellStyle name="Celda vinculada 2 2" xfId="327"/>
    <cellStyle name="Encabezado 1" xfId="18" builtinId="16" customBuiltin="1"/>
    <cellStyle name="Encabezado 4" xfId="21" builtinId="19" customBuiltin="1"/>
    <cellStyle name="Encabezado 4 2" xfId="199"/>
    <cellStyle name="Encabezado 4 2 2" xfId="328"/>
    <cellStyle name="Énfasis1" xfId="33" builtinId="29" customBuiltin="1"/>
    <cellStyle name="Énfasis1 2" xfId="222"/>
    <cellStyle name="Énfasis1 2 2" xfId="329"/>
    <cellStyle name="Énfasis2" xfId="37" builtinId="33" customBuiltin="1"/>
    <cellStyle name="Énfasis2 2" xfId="182"/>
    <cellStyle name="Énfasis2 2 2" xfId="330"/>
    <cellStyle name="Énfasis3" xfId="41" builtinId="37" customBuiltin="1"/>
    <cellStyle name="Énfasis3 2" xfId="171"/>
    <cellStyle name="Énfasis3 2 2" xfId="331"/>
    <cellStyle name="Énfasis4" xfId="45" builtinId="41" customBuiltin="1"/>
    <cellStyle name="Énfasis4 2" xfId="186"/>
    <cellStyle name="Énfasis4 2 2" xfId="332"/>
    <cellStyle name="Énfasis5" xfId="49" builtinId="45" customBuiltin="1"/>
    <cellStyle name="Énfasis5 2" xfId="263"/>
    <cellStyle name="Énfasis5 2 2" xfId="333"/>
    <cellStyle name="Énfasis6" xfId="53" builtinId="49" customBuiltin="1"/>
    <cellStyle name="Énfasis6 2" xfId="246"/>
    <cellStyle name="Énfasis6 2 2" xfId="334"/>
    <cellStyle name="Entrada" xfId="24" builtinId="20" customBuiltin="1"/>
    <cellStyle name="Entrada 2" xfId="179"/>
    <cellStyle name="Entrada 2 2" xfId="335"/>
    <cellStyle name="Euro" xfId="336"/>
    <cellStyle name="Euro 2" xfId="337"/>
    <cellStyle name="Excel Built-in Normal 2" xfId="117"/>
    <cellStyle name="Excel Built-in Normal 2 2" xfId="242"/>
    <cellStyle name="F2" xfId="338"/>
    <cellStyle name="F3" xfId="339"/>
    <cellStyle name="F4" xfId="340"/>
    <cellStyle name="F5" xfId="341"/>
    <cellStyle name="F6" xfId="342"/>
    <cellStyle name="F7" xfId="343"/>
    <cellStyle name="F8" xfId="344"/>
    <cellStyle name="Hipervínculo 2" xfId="190"/>
    <cellStyle name="Incorrecto" xfId="22" builtinId="27" customBuiltin="1"/>
    <cellStyle name="Incorrecto 2" xfId="252"/>
    <cellStyle name="Incorrecto 2 2" xfId="345"/>
    <cellStyle name="KPT04" xfId="4"/>
    <cellStyle name="KPT04 2" xfId="7"/>
    <cellStyle name="KPT04 2 2" xfId="259"/>
    <cellStyle name="KPT04 3" xfId="261"/>
    <cellStyle name="KPT04 4" xfId="393"/>
    <cellStyle name="KPT04_Main" xfId="12"/>
    <cellStyle name="Millares" xfId="1" builtinId="3"/>
    <cellStyle name="Millares [0]" xfId="388" builtinId="6"/>
    <cellStyle name="Millares [0] 2" xfId="95"/>
    <cellStyle name="Millares [0] 2 2" xfId="158"/>
    <cellStyle name="Millares [0] 3" xfId="121"/>
    <cellStyle name="Millares [0] 4" xfId="162"/>
    <cellStyle name="Millares 2" xfId="3"/>
    <cellStyle name="Millares 2 2" xfId="6"/>
    <cellStyle name="Millares 2 2 2" xfId="10"/>
    <cellStyle name="Millares 2 2 2 2" xfId="93"/>
    <cellStyle name="Millares 2 2 2 2 2" xfId="157"/>
    <cellStyle name="Millares 2 2 2 2 3" xfId="394"/>
    <cellStyle name="Millares 2 2 3" xfId="395"/>
    <cellStyle name="Millares 2 3" xfId="346"/>
    <cellStyle name="Millares 2 4" xfId="101"/>
    <cellStyle name="Millares 2 4 2" xfId="164"/>
    <cellStyle name="Millares 3" xfId="113"/>
    <cellStyle name="Millares 3 2" xfId="122"/>
    <cellStyle name="Millares 3 3" xfId="119"/>
    <cellStyle name="Millares 4" xfId="118"/>
    <cellStyle name="Millares 5" xfId="400"/>
    <cellStyle name="Millares 6" xfId="120"/>
    <cellStyle name="Moneda [0]" xfId="2" builtinId="7"/>
    <cellStyle name="Moneda [0] 2" xfId="99"/>
    <cellStyle name="Moneda [0] 2 2" xfId="123"/>
    <cellStyle name="Moneda [0] 2 2 2" xfId="166"/>
    <cellStyle name="Moneda [0] 2 3" xfId="161"/>
    <cellStyle name="Moneda 10" xfId="137"/>
    <cellStyle name="Moneda 11" xfId="142"/>
    <cellStyle name="Moneda 12" xfId="143"/>
    <cellStyle name="Moneda 13" xfId="144"/>
    <cellStyle name="Moneda 14" xfId="145"/>
    <cellStyle name="Moneda 15" xfId="146"/>
    <cellStyle name="Moneda 16" xfId="147"/>
    <cellStyle name="Moneda 17" xfId="391"/>
    <cellStyle name="Moneda 2" xfId="9"/>
    <cellStyle name="Moneda 2 2" xfId="100"/>
    <cellStyle name="Moneda 2 3" xfId="98"/>
    <cellStyle name="Moneda 2 4" xfId="129"/>
    <cellStyle name="Moneda 2 5" xfId="160"/>
    <cellStyle name="Moneda 3" xfId="11"/>
    <cellStyle name="Moneda 3 2" xfId="116"/>
    <cellStyle name="Moneda 3 3" xfId="386"/>
    <cellStyle name="Moneda 4" xfId="128"/>
    <cellStyle name="Moneda 5" xfId="132"/>
    <cellStyle name="Moneda 6" xfId="133"/>
    <cellStyle name="Moneda 7" xfId="134"/>
    <cellStyle name="Moneda 8" xfId="136"/>
    <cellStyle name="Moneda 9" xfId="135"/>
    <cellStyle name="Neutral" xfId="23" builtinId="28" customBuiltin="1"/>
    <cellStyle name="Neutral 2" xfId="75"/>
    <cellStyle name="Neutral 2 2" xfId="347"/>
    <cellStyle name="Normal" xfId="0" builtinId="0"/>
    <cellStyle name="Normal 10" xfId="92"/>
    <cellStyle name="Normal 10 2" xfId="192"/>
    <cellStyle name="Normal 10 3" xfId="385"/>
    <cellStyle name="Normal 11" xfId="105"/>
    <cellStyle name="Normal 11 2" xfId="245"/>
    <cellStyle name="Normal 12" xfId="102"/>
    <cellStyle name="Normal 12 2" xfId="206"/>
    <cellStyle name="Normal 13" xfId="88"/>
    <cellStyle name="Normal 13 2" xfId="225"/>
    <cellStyle name="Normal 14" xfId="90"/>
    <cellStyle name="Normal 14 2" xfId="236"/>
    <cellStyle name="Normal 14 3" xfId="348"/>
    <cellStyle name="Normal 15" xfId="103"/>
    <cellStyle name="Normal 15 2" xfId="214"/>
    <cellStyle name="Normal 16" xfId="86"/>
    <cellStyle name="Normal 16 2" xfId="72"/>
    <cellStyle name="Normal 17" xfId="104"/>
    <cellStyle name="Normal 17 2" xfId="176"/>
    <cellStyle name="Normal 18" xfId="85"/>
    <cellStyle name="Normal 18 2" xfId="185"/>
    <cellStyle name="Normal 19" xfId="106"/>
    <cellStyle name="Normal 19 2" xfId="202"/>
    <cellStyle name="Normal 2" xfId="5"/>
    <cellStyle name="Normal 2 2" xfId="8"/>
    <cellStyle name="Normal 2 2 10" xfId="350"/>
    <cellStyle name="Normal 2 2 2" xfId="13"/>
    <cellStyle name="Normal 2 2 2 2" xfId="130"/>
    <cellStyle name="Normal 2 2 2 2 2" xfId="228"/>
    <cellStyle name="Normal 2 2 2 2 2 2" xfId="354"/>
    <cellStyle name="Normal 2 2 2 2 2 3" xfId="353"/>
    <cellStyle name="Normal 2 2 2 2 3" xfId="352"/>
    <cellStyle name="Normal 2 2 2 3" xfId="210"/>
    <cellStyle name="Normal 2 2 2 3 2" xfId="355"/>
    <cellStyle name="Normal 2 2 2 4" xfId="356"/>
    <cellStyle name="Normal 2 2 2 5" xfId="351"/>
    <cellStyle name="Normal 2 2 3" xfId="219"/>
    <cellStyle name="Normal 2 2 3 2" xfId="357"/>
    <cellStyle name="Normal 2 2 7" xfId="358"/>
    <cellStyle name="Normal 2 2 8" xfId="359"/>
    <cellStyle name="Normal 2 2 9" xfId="360"/>
    <cellStyle name="Normal 2 3" xfId="14"/>
    <cellStyle name="Normal 2 3 2" xfId="124"/>
    <cellStyle name="Normal 2 3 2 2" xfId="362"/>
    <cellStyle name="Normal 2 3 3" xfId="165"/>
    <cellStyle name="Normal 2 3 3 2" xfId="268"/>
    <cellStyle name="Normal 2 3 3 3" xfId="363"/>
    <cellStyle name="Normal 2 3 3 4" xfId="389"/>
    <cellStyle name="Normal 2 3 4" xfId="244"/>
    <cellStyle name="Normal 2 3 5" xfId="361"/>
    <cellStyle name="Normal 2 4" xfId="115"/>
    <cellStyle name="Normal 2 4 2" xfId="195"/>
    <cellStyle name="Normal 2 4 3" xfId="364"/>
    <cellStyle name="Normal 2 5" xfId="365"/>
    <cellStyle name="Normal 2 6" xfId="366"/>
    <cellStyle name="Normal 2 7" xfId="349"/>
    <cellStyle name="Normal 2_FUT INGRESOS 2010 Y FLS Y TESORERIA FLS AGOSTO 26" xfId="367"/>
    <cellStyle name="Normal 20" xfId="84"/>
    <cellStyle name="Normal 20 2" xfId="232"/>
    <cellStyle name="Normal 21" xfId="89"/>
    <cellStyle name="Normal 21 2" xfId="207"/>
    <cellStyle name="Normal 22" xfId="87"/>
    <cellStyle name="Normal 22 2" xfId="191"/>
    <cellStyle name="Normal 23" xfId="107"/>
    <cellStyle name="Normal 23 2" xfId="237"/>
    <cellStyle name="Normal 24" xfId="108"/>
    <cellStyle name="Normal 24 2" xfId="266"/>
    <cellStyle name="Normal 25" xfId="109"/>
    <cellStyle name="Normal 25 2" xfId="238"/>
    <cellStyle name="Normal 26" xfId="110"/>
    <cellStyle name="Normal 26 2" xfId="256"/>
    <cellStyle name="Normal 27" xfId="111"/>
    <cellStyle name="Normal 27 2" xfId="239"/>
    <cellStyle name="Normal 28" xfId="112"/>
    <cellStyle name="Normal 28 2" xfId="76"/>
    <cellStyle name="Normal 29" xfId="114"/>
    <cellStyle name="Normal 29 2" xfId="73"/>
    <cellStyle name="Normal 3" xfId="15"/>
    <cellStyle name="Normal 3 2" xfId="125"/>
    <cellStyle name="Normal 3 2 2" xfId="208"/>
    <cellStyle name="Normal 3 2 3" xfId="368"/>
    <cellStyle name="Normal 3 3" xfId="262"/>
    <cellStyle name="Normal 3 4" xfId="275"/>
    <cellStyle name="Normal 3 5" xfId="61"/>
    <cellStyle name="Normal 30" xfId="126"/>
    <cellStyle name="Normal 30 2" xfId="174"/>
    <cellStyle name="Normal 31" xfId="140"/>
    <cellStyle name="Normal 31 2" xfId="80"/>
    <cellStyle name="Normal 32" xfId="138"/>
    <cellStyle name="Normal 32 2" xfId="71"/>
    <cellStyle name="Normal 33" xfId="139"/>
    <cellStyle name="Normal 33 2" xfId="198"/>
    <cellStyle name="Normal 34" xfId="131"/>
    <cellStyle name="Normal 34 2" xfId="178"/>
    <cellStyle name="Normal 35" xfId="141"/>
    <cellStyle name="Normal 35 2" xfId="172"/>
    <cellStyle name="Normal 36" xfId="148"/>
    <cellStyle name="Normal 36 2" xfId="196"/>
    <cellStyle name="Normal 37" xfId="156"/>
    <cellStyle name="Normal 37 2" xfId="215"/>
    <cellStyle name="Normal 38" xfId="151"/>
    <cellStyle name="Normal 38 2" xfId="241"/>
    <cellStyle name="Normal 39" xfId="159"/>
    <cellStyle name="Normal 39 2" xfId="187"/>
    <cellStyle name="Normal 4" xfId="82"/>
    <cellStyle name="Normal 4 2" xfId="260"/>
    <cellStyle name="Normal 4 2 2" xfId="370"/>
    <cellStyle name="Normal 4 3" xfId="369"/>
    <cellStyle name="Normal 40" xfId="149"/>
    <cellStyle name="Normal 40 2" xfId="177"/>
    <cellStyle name="Normal 41" xfId="163"/>
    <cellStyle name="Normal 41 2" xfId="220"/>
    <cellStyle name="Normal 42" xfId="167"/>
    <cellStyle name="Normal 42 2" xfId="270"/>
    <cellStyle name="Normal 43" xfId="155"/>
    <cellStyle name="Normal 43 2" xfId="181"/>
    <cellStyle name="Normal 44" xfId="152"/>
    <cellStyle name="Normal 44 2" xfId="183"/>
    <cellStyle name="Normal 45" xfId="153"/>
    <cellStyle name="Normal 45 2" xfId="257"/>
    <cellStyle name="Normal 46" xfId="150"/>
    <cellStyle name="Normal 46 2" xfId="234"/>
    <cellStyle name="Normal 47" xfId="154"/>
    <cellStyle name="Normal 47 2" xfId="230"/>
    <cellStyle name="Normal 48" xfId="58"/>
    <cellStyle name="Normal 49" xfId="69"/>
    <cellStyle name="Normal 5" xfId="91"/>
    <cellStyle name="Normal 5 2" xfId="184"/>
    <cellStyle name="Normal 5 3" xfId="371"/>
    <cellStyle name="Normal 50" xfId="77"/>
    <cellStyle name="Normal 51" xfId="209"/>
    <cellStyle name="Normal 52" xfId="217"/>
    <cellStyle name="Normal 53" xfId="173"/>
    <cellStyle name="Normal 54" xfId="189"/>
    <cellStyle name="Normal 55" xfId="212"/>
    <cellStyle name="Normal 56" xfId="168"/>
    <cellStyle name="Normal 57" xfId="224"/>
    <cellStyle name="Normal 58" xfId="74"/>
    <cellStyle name="Normal 59" xfId="205"/>
    <cellStyle name="Normal 6" xfId="17"/>
    <cellStyle name="Normal 6 2" xfId="68"/>
    <cellStyle name="Normal 60" xfId="226"/>
    <cellStyle name="Normal 61" xfId="193"/>
    <cellStyle name="Normal 62" xfId="180"/>
    <cellStyle name="Normal 63" xfId="79"/>
    <cellStyle name="Normal 64" xfId="170"/>
    <cellStyle name="Normal 65" xfId="197"/>
    <cellStyle name="Normal 66" xfId="204"/>
    <cellStyle name="Normal 67" xfId="227"/>
    <cellStyle name="Normal 68" xfId="254"/>
    <cellStyle name="Normal 69" xfId="264"/>
    <cellStyle name="Normal 7" xfId="16"/>
    <cellStyle name="Normal 7 2" xfId="223"/>
    <cellStyle name="Normal 7 3" xfId="372"/>
    <cellStyle name="Normal 70" xfId="265"/>
    <cellStyle name="Normal 71" xfId="243"/>
    <cellStyle name="Normal 72" xfId="200"/>
    <cellStyle name="Normal 73" xfId="276"/>
    <cellStyle name="Normal 74" xfId="269"/>
    <cellStyle name="Normal 75" xfId="278"/>
    <cellStyle name="Normal 76" xfId="64"/>
    <cellStyle name="Normal 77" xfId="273"/>
    <cellStyle name="Normal 78" xfId="274"/>
    <cellStyle name="Normal 79" xfId="271"/>
    <cellStyle name="Normal 8" xfId="83"/>
    <cellStyle name="Normal 8 2" xfId="81"/>
    <cellStyle name="Normal 8 3" xfId="373"/>
    <cellStyle name="Normal 80" xfId="277"/>
    <cellStyle name="Normal 81" xfId="175"/>
    <cellStyle name="Normal 82" xfId="272"/>
    <cellStyle name="Normal 83" xfId="253"/>
    <cellStyle name="Normal 84" xfId="279"/>
    <cellStyle name="Normal 85" xfId="57"/>
    <cellStyle name="Normal 86" xfId="280"/>
    <cellStyle name="Normal 87" xfId="398"/>
    <cellStyle name="Normal 88" xfId="390"/>
    <cellStyle name="Normal 9" xfId="97"/>
    <cellStyle name="Normal 9 2" xfId="60"/>
    <cellStyle name="Normal 9 3" xfId="281"/>
    <cellStyle name="Normal 90" xfId="399"/>
    <cellStyle name="Notas" xfId="30" builtinId="10" customBuiltin="1"/>
    <cellStyle name="Notas 2" xfId="201"/>
    <cellStyle name="Notas 2 2" xfId="374"/>
    <cellStyle name="Notas 3" xfId="375"/>
    <cellStyle name="Porcentaje" xfId="387" builtinId="5"/>
    <cellStyle name="Porcentaje 2" xfId="396"/>
    <cellStyle name="Porcentaje 2 2" xfId="94"/>
    <cellStyle name="Porcentaje 2 2 2" xfId="96"/>
    <cellStyle name="Porcentaje 2 2 2 2" xfId="397"/>
    <cellStyle name="Porcentaje 2 2 3" xfId="392"/>
    <cellStyle name="Porcentaje 2 3" xfId="127"/>
    <cellStyle name="Salida" xfId="25" builtinId="21" customBuiltin="1"/>
    <cellStyle name="Salida 2" xfId="203"/>
    <cellStyle name="Salida 2 2" xfId="376"/>
    <cellStyle name="TableStyleLight1" xfId="377"/>
    <cellStyle name="Texto de advertencia" xfId="29" builtinId="11" customBuiltin="1"/>
    <cellStyle name="Texto de advertencia 2" xfId="247"/>
    <cellStyle name="Texto de advertencia 2 2" xfId="378"/>
    <cellStyle name="Texto explicativo" xfId="31" builtinId="53" customBuiltin="1"/>
    <cellStyle name="Texto explicativo 2" xfId="250"/>
    <cellStyle name="Texto explicativo 2 2" xfId="379"/>
    <cellStyle name="Título 1 2" xfId="267"/>
    <cellStyle name="Título 1 2 2" xfId="380"/>
    <cellStyle name="Título 2" xfId="19" builtinId="17" customBuiltin="1"/>
    <cellStyle name="Título 2 2" xfId="63"/>
    <cellStyle name="Título 2 2 2" xfId="381"/>
    <cellStyle name="Título 3" xfId="20" builtinId="18" customBuiltin="1"/>
    <cellStyle name="Título 3 2" xfId="188"/>
    <cellStyle name="Título 3 2 2" xfId="382"/>
    <cellStyle name="Título 4" xfId="62"/>
    <cellStyle name="Título 4 2" xfId="383"/>
    <cellStyle name="Título 5" xfId="229"/>
    <cellStyle name="Total" xfId="32" builtinId="25" customBuiltin="1"/>
    <cellStyle name="Total 2" xfId="218"/>
    <cellStyle name="Total 2 2" xfId="384"/>
  </cellStyles>
  <dxfs count="548">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120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baseline="0">
                <a:latin typeface="Arial" panose="020B0604020202020204" pitchFamily="34" charset="0"/>
                <a:cs typeface="Arial" panose="020B0604020202020204" pitchFamily="34" charset="0"/>
              </a:rPr>
              <a:t>Estado de Ejecución  Sector Central</a:t>
            </a:r>
          </a:p>
          <a:p>
            <a:pPr>
              <a:defRPr sz="1200" b="1">
                <a:latin typeface="Arial" panose="020B0604020202020204" pitchFamily="34" charset="0"/>
                <a:cs typeface="Arial" panose="020B0604020202020204" pitchFamily="34" charset="0"/>
              </a:defRPr>
            </a:pPr>
            <a:r>
              <a:rPr lang="es-CO" sz="1200" b="1" baseline="0">
                <a:latin typeface="Arial" panose="020B0604020202020204" pitchFamily="34" charset="0"/>
                <a:cs typeface="Arial" panose="020B0604020202020204" pitchFamily="34" charset="0"/>
              </a:rPr>
              <a:t>Gastos de Inversión con corte al 31 de marzo de 2023</a:t>
            </a:r>
            <a:endParaRPr lang="es-CO" sz="1200" b="1">
              <a:latin typeface="Arial" panose="020B0604020202020204" pitchFamily="34" charset="0"/>
              <a:cs typeface="Arial" panose="020B0604020202020204" pitchFamily="34" charset="0"/>
            </a:endParaRPr>
          </a:p>
        </c:rich>
      </c:tx>
      <c:layout>
        <c:manualLayout>
          <c:xMode val="edge"/>
          <c:yMode val="edge"/>
          <c:x val="0.30090106814323747"/>
          <c:y val="8.664423424037955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0.13410779548565621"/>
          <c:y val="0.15784037952389388"/>
          <c:w val="0.85302418680714087"/>
          <c:h val="0.71588350508700771"/>
        </c:manualLayout>
      </c:layout>
      <c:barChart>
        <c:barDir val="col"/>
        <c:grouping val="clustered"/>
        <c:varyColors val="0"/>
        <c:ser>
          <c:idx val="0"/>
          <c:order val="0"/>
          <c:tx>
            <c:strRef>
              <c:f>'CONSOLIDADO UNIDADES'!$B$24</c:f>
              <c:strCache>
                <c:ptCount val="1"/>
                <c:pt idx="0">
                  <c:v>Recurso </c:v>
                </c:pt>
              </c:strCache>
            </c:strRef>
          </c:tx>
          <c:spPr>
            <a:solidFill>
              <a:srgbClr val="002060"/>
            </a:solidFill>
            <a:ln>
              <a:noFill/>
            </a:ln>
            <a:effectLst/>
          </c:spPr>
          <c:invertIfNegative val="0"/>
          <c:dPt>
            <c:idx val="1"/>
            <c:invertIfNegative val="0"/>
            <c:bubble3D val="0"/>
            <c:spPr>
              <a:solidFill>
                <a:srgbClr val="C00000"/>
              </a:solidFill>
              <a:ln>
                <a:noFill/>
              </a:ln>
              <a:effectLst/>
            </c:spPr>
            <c:extLst xmlns:c16r2="http://schemas.microsoft.com/office/drawing/2015/06/chart">
              <c:ext xmlns:c16="http://schemas.microsoft.com/office/drawing/2014/chart" uri="{C3380CC4-5D6E-409C-BE32-E72D297353CC}">
                <c16:uniqueId val="{00000001-2A34-4330-A785-656337F18964}"/>
              </c:ext>
            </c:extLst>
          </c:dPt>
          <c:dPt>
            <c:idx val="2"/>
            <c:invertIfNegative val="0"/>
            <c:bubble3D val="0"/>
            <c:spPr>
              <a:solidFill>
                <a:srgbClr val="00B0F0"/>
              </a:solidFill>
              <a:ln>
                <a:noFill/>
              </a:ln>
              <a:effectLst/>
            </c:spPr>
            <c:extLst xmlns:c16r2="http://schemas.microsoft.com/office/drawing/2015/06/chart">
              <c:ext xmlns:c16="http://schemas.microsoft.com/office/drawing/2014/chart" uri="{C3380CC4-5D6E-409C-BE32-E72D297353CC}">
                <c16:uniqueId val="{00000003-2A34-4330-A785-656337F18964}"/>
              </c:ext>
            </c:extLst>
          </c:dPt>
          <c:dPt>
            <c:idx val="3"/>
            <c:invertIfNegative val="0"/>
            <c:bubble3D val="0"/>
            <c:spPr>
              <a:solidFill>
                <a:schemeClr val="accent4">
                  <a:lumMod val="75000"/>
                </a:schemeClr>
              </a:solidFill>
              <a:ln>
                <a:noFill/>
              </a:ln>
              <a:effectLst/>
            </c:spPr>
            <c:extLst xmlns:c16r2="http://schemas.microsoft.com/office/drawing/2015/06/chart">
              <c:ext xmlns:c16="http://schemas.microsoft.com/office/drawing/2014/chart" uri="{C3380CC4-5D6E-409C-BE32-E72D297353CC}">
                <c16:uniqueId val="{00000005-2A34-4330-A785-656337F18964}"/>
              </c:ext>
            </c:extLst>
          </c:dPt>
          <c:dPt>
            <c:idx val="4"/>
            <c:invertIfNegative val="0"/>
            <c:bubble3D val="0"/>
            <c:spPr>
              <a:solidFill>
                <a:srgbClr val="92D050"/>
              </a:solidFill>
              <a:ln>
                <a:noFill/>
              </a:ln>
              <a:effectLst/>
            </c:spPr>
            <c:extLst xmlns:c16r2="http://schemas.microsoft.com/office/drawing/2015/06/chart">
              <c:ext xmlns:c16="http://schemas.microsoft.com/office/drawing/2014/chart" uri="{C3380CC4-5D6E-409C-BE32-E72D297353CC}">
                <c16:uniqueId val="{00000007-2A34-4330-A785-656337F18964}"/>
              </c:ext>
            </c:extLst>
          </c:dPt>
          <c:dPt>
            <c:idx val="5"/>
            <c:invertIfNegative val="0"/>
            <c:bubble3D val="0"/>
            <c:spPr>
              <a:solidFill>
                <a:srgbClr val="FFFF00"/>
              </a:solidFill>
              <a:ln>
                <a:noFill/>
              </a:ln>
              <a:effectLst/>
            </c:spPr>
            <c:extLst xmlns:c16r2="http://schemas.microsoft.com/office/drawing/2015/06/chart">
              <c:ext xmlns:c16="http://schemas.microsoft.com/office/drawing/2014/chart" uri="{C3380CC4-5D6E-409C-BE32-E72D297353CC}">
                <c16:uniqueId val="{00000009-2A34-4330-A785-656337F18964}"/>
              </c:ext>
            </c:extLst>
          </c:dPt>
          <c:cat>
            <c:strRef>
              <c:f>'CONSOLIDADO UNIDADES'!$A$25:$A$30</c:f>
              <c:strCache>
                <c:ptCount val="6"/>
                <c:pt idx="0">
                  <c:v>Apropiación Definitiva</c:v>
                </c:pt>
                <c:pt idx="1">
                  <c:v>Disponibilidades </c:v>
                </c:pt>
                <c:pt idx="2">
                  <c:v>Compromisos</c:v>
                </c:pt>
                <c:pt idx="3">
                  <c:v>Obligaciones</c:v>
                </c:pt>
                <c:pt idx="4">
                  <c:v>Pagos </c:v>
                </c:pt>
                <c:pt idx="5">
                  <c:v>Disponible</c:v>
                </c:pt>
              </c:strCache>
            </c:strRef>
          </c:cat>
          <c:val>
            <c:numRef>
              <c:f>'CONSOLIDADO UNIDADES'!$B$25:$B$30</c:f>
              <c:numCache>
                <c:formatCode>_(* #,##0_);_(* \(#,##0\);_(* "-"??_);_(@_)</c:formatCode>
                <c:ptCount val="6"/>
                <c:pt idx="0">
                  <c:v>406043234113.46997</c:v>
                </c:pt>
                <c:pt idx="1">
                  <c:v>165279247807.48999</c:v>
                </c:pt>
                <c:pt idx="2">
                  <c:v>116985631153.91</c:v>
                </c:pt>
                <c:pt idx="3">
                  <c:v>53381739244.400002</c:v>
                </c:pt>
                <c:pt idx="4">
                  <c:v>53381739244.400002</c:v>
                </c:pt>
                <c:pt idx="5">
                  <c:v>240763986305.97998</c:v>
                </c:pt>
              </c:numCache>
            </c:numRef>
          </c:val>
          <c:extLst xmlns:c16r2="http://schemas.microsoft.com/office/drawing/2015/06/chart">
            <c:ext xmlns:c16="http://schemas.microsoft.com/office/drawing/2014/chart" uri="{C3380CC4-5D6E-409C-BE32-E72D297353CC}">
              <c16:uniqueId val="{0000000A-2A34-4330-A785-656337F18964}"/>
            </c:ext>
          </c:extLst>
        </c:ser>
        <c:ser>
          <c:idx val="1"/>
          <c:order val="1"/>
          <c:tx>
            <c:strRef>
              <c:f>'CONSOLIDADO UNIDADES'!$C$24</c:f>
              <c:strCache>
                <c:ptCount val="1"/>
                <c:pt idx="0">
                  <c:v>%</c:v>
                </c:pt>
              </c:strCache>
            </c:strRef>
          </c:tx>
          <c:spPr>
            <a:solidFill>
              <a:schemeClr val="accent2"/>
            </a:solidFill>
            <a:ln>
              <a:noFill/>
            </a:ln>
            <a:effectLst/>
          </c:spPr>
          <c:invertIfNegative val="0"/>
          <c:cat>
            <c:strRef>
              <c:f>'CONSOLIDADO UNIDADES'!$A$25:$A$30</c:f>
              <c:strCache>
                <c:ptCount val="6"/>
                <c:pt idx="0">
                  <c:v>Apropiación Definitiva</c:v>
                </c:pt>
                <c:pt idx="1">
                  <c:v>Disponibilidades </c:v>
                </c:pt>
                <c:pt idx="2">
                  <c:v>Compromisos</c:v>
                </c:pt>
                <c:pt idx="3">
                  <c:v>Obligaciones</c:v>
                </c:pt>
                <c:pt idx="4">
                  <c:v>Pagos </c:v>
                </c:pt>
                <c:pt idx="5">
                  <c:v>Disponible</c:v>
                </c:pt>
              </c:strCache>
            </c:strRef>
          </c:cat>
          <c:val>
            <c:numRef>
              <c:f>'CONSOLIDADO UNIDADES'!$C$25:$C$30</c:f>
              <c:numCache>
                <c:formatCode>0%</c:formatCode>
                <c:ptCount val="6"/>
                <c:pt idx="0">
                  <c:v>1</c:v>
                </c:pt>
                <c:pt idx="1">
                  <c:v>0.40704839761300449</c:v>
                </c:pt>
                <c:pt idx="2">
                  <c:v>0.28811126827252592</c:v>
                </c:pt>
                <c:pt idx="3">
                  <c:v>0.13146811659342245</c:v>
                </c:pt>
                <c:pt idx="4">
                  <c:v>0.13146811659342245</c:v>
                </c:pt>
                <c:pt idx="5">
                  <c:v>0.59295160238699551</c:v>
                </c:pt>
              </c:numCache>
            </c:numRef>
          </c:val>
          <c:extLst xmlns:c16r2="http://schemas.microsoft.com/office/drawing/2015/06/chart">
            <c:ext xmlns:c16="http://schemas.microsoft.com/office/drawing/2014/chart" uri="{C3380CC4-5D6E-409C-BE32-E72D297353CC}">
              <c16:uniqueId val="{0000000B-2A34-4330-A785-656337F18964}"/>
            </c:ext>
          </c:extLst>
        </c:ser>
        <c:dLbls>
          <c:showLegendKey val="0"/>
          <c:showVal val="0"/>
          <c:showCatName val="0"/>
          <c:showSerName val="0"/>
          <c:showPercent val="0"/>
          <c:showBubbleSize val="0"/>
        </c:dLbls>
        <c:gapWidth val="219"/>
        <c:overlap val="-27"/>
        <c:axId val="344934384"/>
        <c:axId val="344933824"/>
      </c:barChart>
      <c:catAx>
        <c:axId val="344934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44933824"/>
        <c:crosses val="autoZero"/>
        <c:auto val="1"/>
        <c:lblAlgn val="ctr"/>
        <c:lblOffset val="100"/>
        <c:noMultiLvlLbl val="0"/>
      </c:catAx>
      <c:valAx>
        <c:axId val="344933824"/>
        <c:scaling>
          <c:orientation val="minMax"/>
        </c:scaling>
        <c:delete val="0"/>
        <c:axPos val="l"/>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4493438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a:latin typeface="Arial" panose="020B0604020202020204" pitchFamily="34" charset="0"/>
                <a:cs typeface="Arial" panose="020B0604020202020204" pitchFamily="34" charset="0"/>
              </a:rPr>
              <a:t>Estado de Ejecución Entes</a:t>
            </a:r>
            <a:r>
              <a:rPr lang="es-CO" sz="1200" b="1" baseline="0">
                <a:latin typeface="Arial" panose="020B0604020202020204" pitchFamily="34" charset="0"/>
                <a:cs typeface="Arial" panose="020B0604020202020204" pitchFamily="34" charset="0"/>
              </a:rPr>
              <a:t> Descentralizados</a:t>
            </a:r>
          </a:p>
          <a:p>
            <a:pPr>
              <a:defRPr sz="1200" b="1">
                <a:latin typeface="Arial" panose="020B0604020202020204" pitchFamily="34" charset="0"/>
                <a:cs typeface="Arial" panose="020B0604020202020204" pitchFamily="34" charset="0"/>
              </a:defRPr>
            </a:pPr>
            <a:r>
              <a:rPr lang="es-CO" sz="1200" b="1" baseline="0">
                <a:latin typeface="Arial" panose="020B0604020202020204" pitchFamily="34" charset="0"/>
                <a:cs typeface="Arial" panose="020B0604020202020204" pitchFamily="34" charset="0"/>
              </a:rPr>
              <a:t>Gastos de Inversión con corte al 31 de marzo 2023</a:t>
            </a:r>
            <a:endParaRPr lang="es-CO" sz="1200"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0"/>
          <c:order val="0"/>
          <c:tx>
            <c:strRef>
              <c:f>'CONSOLIDADO UNIDADES'!$B$33</c:f>
              <c:strCache>
                <c:ptCount val="1"/>
                <c:pt idx="0">
                  <c:v>Recurso </c:v>
                </c:pt>
              </c:strCache>
            </c:strRef>
          </c:tx>
          <c:spPr>
            <a:solidFill>
              <a:schemeClr val="accent1"/>
            </a:solidFill>
            <a:ln>
              <a:noFill/>
            </a:ln>
            <a:effectLst/>
          </c:spPr>
          <c:invertIfNegative val="0"/>
          <c:dPt>
            <c:idx val="0"/>
            <c:invertIfNegative val="0"/>
            <c:bubble3D val="0"/>
            <c:spPr>
              <a:solidFill>
                <a:srgbClr val="002060"/>
              </a:solidFill>
              <a:ln>
                <a:noFill/>
              </a:ln>
              <a:effectLst/>
            </c:spPr>
            <c:extLst xmlns:c16r2="http://schemas.microsoft.com/office/drawing/2015/06/chart">
              <c:ext xmlns:c16="http://schemas.microsoft.com/office/drawing/2014/chart" uri="{C3380CC4-5D6E-409C-BE32-E72D297353CC}">
                <c16:uniqueId val="{00000001-ADCE-4021-8630-82965FDA27B9}"/>
              </c:ext>
            </c:extLst>
          </c:dPt>
          <c:dPt>
            <c:idx val="5"/>
            <c:invertIfNegative val="0"/>
            <c:bubble3D val="0"/>
            <c:spPr>
              <a:solidFill>
                <a:srgbClr val="FFFF00"/>
              </a:solidFill>
              <a:ln>
                <a:noFill/>
              </a:ln>
              <a:effectLst/>
            </c:spPr>
            <c:extLst xmlns:c16r2="http://schemas.microsoft.com/office/drawing/2015/06/chart">
              <c:ext xmlns:c16="http://schemas.microsoft.com/office/drawing/2014/chart" uri="{C3380CC4-5D6E-409C-BE32-E72D297353CC}">
                <c16:uniqueId val="{00000003-ADCE-4021-8630-82965FDA27B9}"/>
              </c:ext>
            </c:extLst>
          </c:dPt>
          <c:cat>
            <c:strRef>
              <c:f>'CONSOLIDADO UNIDADES'!$A$34:$A$39</c:f>
              <c:strCache>
                <c:ptCount val="6"/>
                <c:pt idx="0">
                  <c:v>Apropiación Definitiva</c:v>
                </c:pt>
                <c:pt idx="1">
                  <c:v>Disponibilidades </c:v>
                </c:pt>
                <c:pt idx="2">
                  <c:v>Compromisos</c:v>
                </c:pt>
                <c:pt idx="3">
                  <c:v>Obligaciones</c:v>
                </c:pt>
                <c:pt idx="4">
                  <c:v>Pagos </c:v>
                </c:pt>
                <c:pt idx="5">
                  <c:v>Disponible</c:v>
                </c:pt>
              </c:strCache>
            </c:strRef>
          </c:cat>
          <c:val>
            <c:numRef>
              <c:f>'CONSOLIDADO UNIDADES'!$B$34:$B$39</c:f>
              <c:numCache>
                <c:formatCode>_(* #,##0_);_(* \(#,##0\);_(* "-"??_);_(@_)</c:formatCode>
                <c:ptCount val="6"/>
                <c:pt idx="0">
                  <c:v>13883917200.619999</c:v>
                </c:pt>
                <c:pt idx="1">
                  <c:v>4553333846.75</c:v>
                </c:pt>
                <c:pt idx="2">
                  <c:v>3197807628</c:v>
                </c:pt>
                <c:pt idx="3">
                  <c:v>660691718</c:v>
                </c:pt>
                <c:pt idx="4">
                  <c:v>660691718</c:v>
                </c:pt>
                <c:pt idx="5">
                  <c:v>9330583353.8699989</c:v>
                </c:pt>
              </c:numCache>
            </c:numRef>
          </c:val>
          <c:extLst xmlns:c16r2="http://schemas.microsoft.com/office/drawing/2015/06/chart">
            <c:ext xmlns:c16="http://schemas.microsoft.com/office/drawing/2014/chart" uri="{C3380CC4-5D6E-409C-BE32-E72D297353CC}">
              <c16:uniqueId val="{00000004-ADCE-4021-8630-82965FDA27B9}"/>
            </c:ext>
          </c:extLst>
        </c:ser>
        <c:ser>
          <c:idx val="1"/>
          <c:order val="1"/>
          <c:tx>
            <c:strRef>
              <c:f>'CONSOLIDADO UNIDADES'!$C$33</c:f>
              <c:strCache>
                <c:ptCount val="1"/>
                <c:pt idx="0">
                  <c:v>%</c:v>
                </c:pt>
              </c:strCache>
            </c:strRef>
          </c:tx>
          <c:spPr>
            <a:solidFill>
              <a:schemeClr val="accent2"/>
            </a:solidFill>
            <a:ln>
              <a:noFill/>
            </a:ln>
            <a:effectLst/>
          </c:spPr>
          <c:invertIfNegative val="0"/>
          <c:cat>
            <c:strRef>
              <c:f>'CONSOLIDADO UNIDADES'!$A$34:$A$39</c:f>
              <c:strCache>
                <c:ptCount val="6"/>
                <c:pt idx="0">
                  <c:v>Apropiación Definitiva</c:v>
                </c:pt>
                <c:pt idx="1">
                  <c:v>Disponibilidades </c:v>
                </c:pt>
                <c:pt idx="2">
                  <c:v>Compromisos</c:v>
                </c:pt>
                <c:pt idx="3">
                  <c:v>Obligaciones</c:v>
                </c:pt>
                <c:pt idx="4">
                  <c:v>Pagos </c:v>
                </c:pt>
                <c:pt idx="5">
                  <c:v>Disponible</c:v>
                </c:pt>
              </c:strCache>
            </c:strRef>
          </c:cat>
          <c:val>
            <c:numRef>
              <c:f>'CONSOLIDADO UNIDADES'!$C$34:$C$39</c:f>
              <c:numCache>
                <c:formatCode>0%</c:formatCode>
                <c:ptCount val="6"/>
                <c:pt idx="0">
                  <c:v>1</c:v>
                </c:pt>
                <c:pt idx="1">
                  <c:v>0.32795743311885112</c:v>
                </c:pt>
                <c:pt idx="2">
                  <c:v>0.23032459656682475</c:v>
                </c:pt>
                <c:pt idx="3">
                  <c:v>4.7586837954528872E-2</c:v>
                </c:pt>
                <c:pt idx="4">
                  <c:v>4.7586837954528872E-2</c:v>
                </c:pt>
                <c:pt idx="5">
                  <c:v>0.67204256688114883</c:v>
                </c:pt>
              </c:numCache>
            </c:numRef>
          </c:val>
          <c:extLst xmlns:c16r2="http://schemas.microsoft.com/office/drawing/2015/06/chart">
            <c:ext xmlns:c16="http://schemas.microsoft.com/office/drawing/2014/chart" uri="{C3380CC4-5D6E-409C-BE32-E72D297353CC}">
              <c16:uniqueId val="{00000005-ADCE-4021-8630-82965FDA27B9}"/>
            </c:ext>
          </c:extLst>
        </c:ser>
        <c:dLbls>
          <c:showLegendKey val="0"/>
          <c:showVal val="0"/>
          <c:showCatName val="0"/>
          <c:showSerName val="0"/>
          <c:showPercent val="0"/>
          <c:showBubbleSize val="0"/>
        </c:dLbls>
        <c:gapWidth val="219"/>
        <c:overlap val="-27"/>
        <c:axId val="359596016"/>
        <c:axId val="359596576"/>
      </c:barChart>
      <c:catAx>
        <c:axId val="359596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59596576"/>
        <c:crosses val="autoZero"/>
        <c:auto val="1"/>
        <c:lblAlgn val="ctr"/>
        <c:lblOffset val="100"/>
        <c:noMultiLvlLbl val="0"/>
      </c:catAx>
      <c:valAx>
        <c:axId val="359596576"/>
        <c:scaling>
          <c:orientation val="minMax"/>
        </c:scaling>
        <c:delete val="0"/>
        <c:axPos val="l"/>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5959601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i="0" baseline="0">
                <a:effectLst/>
                <a:latin typeface="Arial" panose="020B0604020202020204" pitchFamily="34" charset="0"/>
                <a:cs typeface="Arial" panose="020B0604020202020204" pitchFamily="34" charset="0"/>
              </a:rPr>
              <a:t>Estado de Ejecución Departamento Quindio</a:t>
            </a:r>
            <a:endParaRPr lang="es-CO" sz="1200" b="1">
              <a:effectLst/>
              <a:latin typeface="Arial" panose="020B0604020202020204" pitchFamily="34" charset="0"/>
              <a:cs typeface="Arial" panose="020B0604020202020204" pitchFamily="34" charset="0"/>
            </a:endParaRPr>
          </a:p>
          <a:p>
            <a:pPr>
              <a:defRPr sz="1200" b="1">
                <a:latin typeface="Arial" panose="020B0604020202020204" pitchFamily="34" charset="0"/>
                <a:cs typeface="Arial" panose="020B0604020202020204" pitchFamily="34" charset="0"/>
              </a:defRPr>
            </a:pPr>
            <a:r>
              <a:rPr lang="es-CO" sz="1200" b="1" i="0" baseline="0">
                <a:effectLst/>
                <a:latin typeface="Arial" panose="020B0604020202020204" pitchFamily="34" charset="0"/>
                <a:cs typeface="Arial" panose="020B0604020202020204" pitchFamily="34" charset="0"/>
              </a:rPr>
              <a:t>Gastos de Inversión con corte al 31 de marzo de 2023</a:t>
            </a:r>
            <a:endParaRPr lang="es-CO" sz="1200" b="1">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0"/>
          <c:order val="0"/>
          <c:tx>
            <c:strRef>
              <c:f>'CONSOLIDADO UNIDADES'!$B$47</c:f>
              <c:strCache>
                <c:ptCount val="1"/>
                <c:pt idx="0">
                  <c:v>Recurso </c:v>
                </c:pt>
              </c:strCache>
            </c:strRef>
          </c:tx>
          <c:spPr>
            <a:solidFill>
              <a:schemeClr val="accent1"/>
            </a:solidFill>
            <a:ln>
              <a:noFill/>
            </a:ln>
            <a:effectLst/>
          </c:spPr>
          <c:invertIfNegative val="0"/>
          <c:dPt>
            <c:idx val="0"/>
            <c:invertIfNegative val="0"/>
            <c:bubble3D val="0"/>
            <c:spPr>
              <a:solidFill>
                <a:srgbClr val="002060"/>
              </a:solidFill>
              <a:ln>
                <a:noFill/>
              </a:ln>
              <a:effectLst/>
            </c:spPr>
            <c:extLst xmlns:c16r2="http://schemas.microsoft.com/office/drawing/2015/06/chart">
              <c:ext xmlns:c16="http://schemas.microsoft.com/office/drawing/2014/chart" uri="{C3380CC4-5D6E-409C-BE32-E72D297353CC}">
                <c16:uniqueId val="{00000001-C9A8-4FE7-ACBF-7223D1864A1A}"/>
              </c:ext>
            </c:extLst>
          </c:dPt>
          <c:dPt>
            <c:idx val="1"/>
            <c:invertIfNegative val="0"/>
            <c:bubble3D val="0"/>
            <c:spPr>
              <a:solidFill>
                <a:srgbClr val="C00000"/>
              </a:solidFill>
              <a:ln>
                <a:noFill/>
              </a:ln>
              <a:effectLst/>
            </c:spPr>
            <c:extLst xmlns:c16r2="http://schemas.microsoft.com/office/drawing/2015/06/chart">
              <c:ext xmlns:c16="http://schemas.microsoft.com/office/drawing/2014/chart" uri="{C3380CC4-5D6E-409C-BE32-E72D297353CC}">
                <c16:uniqueId val="{00000003-C9A8-4FE7-ACBF-7223D1864A1A}"/>
              </c:ext>
            </c:extLst>
          </c:dPt>
          <c:dPt>
            <c:idx val="2"/>
            <c:invertIfNegative val="0"/>
            <c:bubble3D val="0"/>
            <c:spPr>
              <a:solidFill>
                <a:srgbClr val="00B0F0"/>
              </a:solidFill>
              <a:ln>
                <a:noFill/>
              </a:ln>
              <a:effectLst/>
            </c:spPr>
            <c:extLst xmlns:c16r2="http://schemas.microsoft.com/office/drawing/2015/06/chart">
              <c:ext xmlns:c16="http://schemas.microsoft.com/office/drawing/2014/chart" uri="{C3380CC4-5D6E-409C-BE32-E72D297353CC}">
                <c16:uniqueId val="{00000005-C9A8-4FE7-ACBF-7223D1864A1A}"/>
              </c:ext>
            </c:extLst>
          </c:dPt>
          <c:dPt>
            <c:idx val="3"/>
            <c:invertIfNegative val="0"/>
            <c:bubble3D val="0"/>
            <c:spPr>
              <a:solidFill>
                <a:schemeClr val="accent4">
                  <a:lumMod val="75000"/>
                </a:schemeClr>
              </a:solidFill>
              <a:ln>
                <a:noFill/>
              </a:ln>
              <a:effectLst/>
            </c:spPr>
            <c:extLst xmlns:c16r2="http://schemas.microsoft.com/office/drawing/2015/06/chart">
              <c:ext xmlns:c16="http://schemas.microsoft.com/office/drawing/2014/chart" uri="{C3380CC4-5D6E-409C-BE32-E72D297353CC}">
                <c16:uniqueId val="{00000007-C9A8-4FE7-ACBF-7223D1864A1A}"/>
              </c:ext>
            </c:extLst>
          </c:dPt>
          <c:dPt>
            <c:idx val="4"/>
            <c:invertIfNegative val="0"/>
            <c:bubble3D val="0"/>
            <c:spPr>
              <a:solidFill>
                <a:srgbClr val="92D050"/>
              </a:solidFill>
              <a:ln>
                <a:noFill/>
              </a:ln>
              <a:effectLst/>
            </c:spPr>
            <c:extLst xmlns:c16r2="http://schemas.microsoft.com/office/drawing/2015/06/chart">
              <c:ext xmlns:c16="http://schemas.microsoft.com/office/drawing/2014/chart" uri="{C3380CC4-5D6E-409C-BE32-E72D297353CC}">
                <c16:uniqueId val="{00000009-C9A8-4FE7-ACBF-7223D1864A1A}"/>
              </c:ext>
            </c:extLst>
          </c:dPt>
          <c:dPt>
            <c:idx val="5"/>
            <c:invertIfNegative val="0"/>
            <c:bubble3D val="0"/>
            <c:spPr>
              <a:solidFill>
                <a:srgbClr val="FFFF00"/>
              </a:solidFill>
              <a:ln>
                <a:noFill/>
              </a:ln>
              <a:effectLst/>
            </c:spPr>
            <c:extLst xmlns:c16r2="http://schemas.microsoft.com/office/drawing/2015/06/chart">
              <c:ext xmlns:c16="http://schemas.microsoft.com/office/drawing/2014/chart" uri="{C3380CC4-5D6E-409C-BE32-E72D297353CC}">
                <c16:uniqueId val="{0000000B-C9A8-4FE7-ACBF-7223D1864A1A}"/>
              </c:ext>
            </c:extLst>
          </c:dPt>
          <c:cat>
            <c:strRef>
              <c:f>'CONSOLIDADO UNIDADES'!$A$48:$A$53</c:f>
              <c:strCache>
                <c:ptCount val="6"/>
                <c:pt idx="0">
                  <c:v>Apropiación Definitiva</c:v>
                </c:pt>
                <c:pt idx="1">
                  <c:v>Disponibilidades </c:v>
                </c:pt>
                <c:pt idx="2">
                  <c:v>Compromisos</c:v>
                </c:pt>
                <c:pt idx="3">
                  <c:v>Obligaciones</c:v>
                </c:pt>
                <c:pt idx="4">
                  <c:v>Pagos </c:v>
                </c:pt>
                <c:pt idx="5">
                  <c:v>Disponible</c:v>
                </c:pt>
              </c:strCache>
            </c:strRef>
          </c:cat>
          <c:val>
            <c:numRef>
              <c:f>'CONSOLIDADO UNIDADES'!$B$48:$B$53</c:f>
              <c:numCache>
                <c:formatCode>_(* #,##0_);_(* \(#,##0\);_(* "-"??_);_(@_)</c:formatCode>
                <c:ptCount val="6"/>
                <c:pt idx="0">
                  <c:v>419927151314.08997</c:v>
                </c:pt>
                <c:pt idx="1">
                  <c:v>169832581654.23999</c:v>
                </c:pt>
                <c:pt idx="2">
                  <c:v>120183438781.91</c:v>
                </c:pt>
                <c:pt idx="3">
                  <c:v>54042430962.400002</c:v>
                </c:pt>
                <c:pt idx="4">
                  <c:v>54042430962.400002</c:v>
                </c:pt>
                <c:pt idx="5">
                  <c:v>250094569659.84998</c:v>
                </c:pt>
              </c:numCache>
            </c:numRef>
          </c:val>
          <c:extLst xmlns:c16r2="http://schemas.microsoft.com/office/drawing/2015/06/chart">
            <c:ext xmlns:c16="http://schemas.microsoft.com/office/drawing/2014/chart" uri="{C3380CC4-5D6E-409C-BE32-E72D297353CC}">
              <c16:uniqueId val="{0000000C-C9A8-4FE7-ACBF-7223D1864A1A}"/>
            </c:ext>
          </c:extLst>
        </c:ser>
        <c:ser>
          <c:idx val="1"/>
          <c:order val="1"/>
          <c:tx>
            <c:strRef>
              <c:f>'CONSOLIDADO UNIDADES'!$C$47</c:f>
              <c:strCache>
                <c:ptCount val="1"/>
                <c:pt idx="0">
                  <c:v>%</c:v>
                </c:pt>
              </c:strCache>
            </c:strRef>
          </c:tx>
          <c:spPr>
            <a:solidFill>
              <a:schemeClr val="accent2"/>
            </a:solidFill>
            <a:ln>
              <a:noFill/>
            </a:ln>
            <a:effectLst/>
          </c:spPr>
          <c:invertIfNegative val="0"/>
          <c:cat>
            <c:strRef>
              <c:f>'CONSOLIDADO UNIDADES'!$A$48:$A$53</c:f>
              <c:strCache>
                <c:ptCount val="6"/>
                <c:pt idx="0">
                  <c:v>Apropiación Definitiva</c:v>
                </c:pt>
                <c:pt idx="1">
                  <c:v>Disponibilidades </c:v>
                </c:pt>
                <c:pt idx="2">
                  <c:v>Compromisos</c:v>
                </c:pt>
                <c:pt idx="3">
                  <c:v>Obligaciones</c:v>
                </c:pt>
                <c:pt idx="4">
                  <c:v>Pagos </c:v>
                </c:pt>
                <c:pt idx="5">
                  <c:v>Disponible</c:v>
                </c:pt>
              </c:strCache>
            </c:strRef>
          </c:cat>
          <c:val>
            <c:numRef>
              <c:f>'CONSOLIDADO UNIDADES'!$C$48:$C$53</c:f>
              <c:numCache>
                <c:formatCode>0%</c:formatCode>
                <c:ptCount val="6"/>
                <c:pt idx="0">
                  <c:v>1</c:v>
                </c:pt>
                <c:pt idx="1">
                  <c:v>0.40443343833038198</c:v>
                </c:pt>
                <c:pt idx="2">
                  <c:v>0.28620068601379206</c:v>
                </c:pt>
                <c:pt idx="3">
                  <c:v>0.12869477668515475</c:v>
                </c:pt>
                <c:pt idx="4">
                  <c:v>0.12869477668515475</c:v>
                </c:pt>
                <c:pt idx="5">
                  <c:v>0.59556656166961797</c:v>
                </c:pt>
              </c:numCache>
            </c:numRef>
          </c:val>
          <c:extLst xmlns:c16r2="http://schemas.microsoft.com/office/drawing/2015/06/chart">
            <c:ext xmlns:c16="http://schemas.microsoft.com/office/drawing/2014/chart" uri="{C3380CC4-5D6E-409C-BE32-E72D297353CC}">
              <c16:uniqueId val="{0000000D-C9A8-4FE7-ACBF-7223D1864A1A}"/>
            </c:ext>
          </c:extLst>
        </c:ser>
        <c:dLbls>
          <c:showLegendKey val="0"/>
          <c:showVal val="0"/>
          <c:showCatName val="0"/>
          <c:showSerName val="0"/>
          <c:showPercent val="0"/>
          <c:showBubbleSize val="0"/>
        </c:dLbls>
        <c:gapWidth val="219"/>
        <c:overlap val="-27"/>
        <c:axId val="846300432"/>
        <c:axId val="846299312"/>
      </c:barChart>
      <c:catAx>
        <c:axId val="846300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46299312"/>
        <c:crosses val="autoZero"/>
        <c:auto val="1"/>
        <c:lblAlgn val="ctr"/>
        <c:lblOffset val="100"/>
        <c:noMultiLvlLbl val="0"/>
      </c:catAx>
      <c:valAx>
        <c:axId val="846299312"/>
        <c:scaling>
          <c:orientation val="minMax"/>
        </c:scaling>
        <c:delete val="0"/>
        <c:axPos val="l"/>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4630043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800" b="1">
                <a:effectLst/>
              </a:rPr>
              <a:t>COMPARATIVO  PRESUPUESTO Vs. REGISTROS PRESUPUESTALES </a:t>
            </a:r>
            <a:endParaRPr lang="es-CO">
              <a:effectLst/>
            </a:endParaRPr>
          </a:p>
          <a:p>
            <a:pPr>
              <a:defRPr/>
            </a:pPr>
            <a:r>
              <a:rPr lang="es-CO" sz="1800" b="1">
                <a:effectLst/>
              </a:rPr>
              <a:t>PLAN OPERATIVO ANUAL DE INVERSIONES POAI   CON CORTE AL 31 DE MARZO DE 2023 </a:t>
            </a:r>
          </a:p>
          <a:p>
            <a:pPr>
              <a:defRPr/>
            </a:pPr>
            <a:r>
              <a:rPr lang="es-CO" sz="1800" b="1">
                <a:effectLst/>
              </a:rPr>
              <a:t>POR UNIDADES EJECUTORAS</a:t>
            </a:r>
            <a:endParaRPr lang="es-CO">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'CONSOLIDADO UNIDADES'!$C$2</c:f>
              <c:strCache>
                <c:ptCount val="1"/>
                <c:pt idx="0">
                  <c:v>% AP</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'CONSOLIDADO UNIDADES'!$A$3:$A$22</c15:sqref>
                  </c15:fullRef>
                </c:ext>
              </c:extLst>
              <c:f>('CONSOLIDADO UNIDADES'!$A$3:$A$15,'CONSOLIDADO UNIDADES'!$A$17:$A$19,'CONSOLIDADO UNIDADES'!$A$22)</c:f>
              <c:strCache>
                <c:ptCount val="17"/>
                <c:pt idx="0">
                  <c:v>Administrativa</c:v>
                </c:pt>
                <c:pt idx="1">
                  <c:v>Planeación</c:v>
                </c:pt>
                <c:pt idx="2">
                  <c:v>Hacienda</c:v>
                </c:pt>
                <c:pt idx="3">
                  <c:v>Aguas e Infraestructura</c:v>
                </c:pt>
                <c:pt idx="4">
                  <c:v>Interior</c:v>
                </c:pt>
                <c:pt idx="5">
                  <c:v>Cultura</c:v>
                </c:pt>
                <c:pt idx="6">
                  <c:v>Turismo Industria y Comercio</c:v>
                </c:pt>
                <c:pt idx="7">
                  <c:v>Agricultura, Desarrollo Rural y Medio Ambiente</c:v>
                </c:pt>
                <c:pt idx="8">
                  <c:v>Privada</c:v>
                </c:pt>
                <c:pt idx="9">
                  <c:v>Educación</c:v>
                </c:pt>
                <c:pt idx="10">
                  <c:v>Familia</c:v>
                </c:pt>
                <c:pt idx="11">
                  <c:v>Salud</c:v>
                </c:pt>
                <c:pt idx="12">
                  <c:v>Tecnología de la Información y las Comunicaciones</c:v>
                </c:pt>
                <c:pt idx="13">
                  <c:v>Indeportes</c:v>
                </c:pt>
                <c:pt idx="14">
                  <c:v>Proyecta</c:v>
                </c:pt>
                <c:pt idx="15">
                  <c:v>Instituto Departamental de Transito</c:v>
                </c:pt>
                <c:pt idx="16">
                  <c:v>TOTAL DEPARTAMENTO</c:v>
                </c:pt>
              </c:strCache>
            </c:strRef>
          </c:cat>
          <c:val>
            <c:numRef>
              <c:extLst>
                <c:ext xmlns:c15="http://schemas.microsoft.com/office/drawing/2012/chart" uri="{02D57815-91ED-43cb-92C2-25804820EDAC}">
                  <c15:fullRef>
                    <c15:sqref>'CONSOLIDADO UNIDADES'!$C$3:$C$22</c15:sqref>
                  </c15:fullRef>
                </c:ext>
              </c:extLst>
              <c:f>('CONSOLIDADO UNIDADES'!$C$3:$C$15,'CONSOLIDADO UNIDADES'!$C$17:$C$19,'CONSOLIDADO UNIDADES'!$C$22)</c:f>
              <c:numCache>
                <c:formatCode>0%</c:formatCode>
                <c:ptCount val="17"/>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numCache>
            </c:numRef>
          </c:val>
          <c:extLst xmlns:c16r2="http://schemas.microsoft.com/office/drawing/2015/06/chart">
            <c:ext xmlns:c16="http://schemas.microsoft.com/office/drawing/2014/chart" uri="{C3380CC4-5D6E-409C-BE32-E72D297353CC}">
              <c16:uniqueId val="{00000000-C3E7-4F40-9D5B-AF38B62F11A9}"/>
            </c:ext>
          </c:extLst>
        </c:ser>
        <c:ser>
          <c:idx val="2"/>
          <c:order val="2"/>
          <c:tx>
            <c:strRef>
              <c:f>'CONSOLIDADO UNIDADES'!$G$2</c:f>
              <c:strCache>
                <c:ptCount val="1"/>
                <c:pt idx="0">
                  <c:v>% RP
COMPROM
APROP DEF</c:v>
                </c:pt>
              </c:strCache>
            </c:strRef>
          </c:tx>
          <c:spPr>
            <a:solidFill>
              <a:srgbClr val="FFC000"/>
            </a:solidFill>
            <a:ln>
              <a:noFill/>
            </a:ln>
            <a:effectLst/>
          </c:spPr>
          <c:invertIfNegative val="0"/>
          <c:dLbls>
            <c:dLbl>
              <c:idx val="0"/>
              <c:layout>
                <c:manualLayout>
                  <c:x val="3.3096929178304886E-3"/>
                  <c:y val="-4.20136445099827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C3E7-4F40-9D5B-AF38B62F11A9}"/>
                </c:ext>
                <c:ext xmlns:c15="http://schemas.microsoft.com/office/drawing/2012/chart" uri="{CE6537A1-D6FC-4f65-9D91-7224C49458BB}">
                  <c15:layout/>
                </c:ext>
              </c:extLst>
            </c:dLbl>
            <c:dLbl>
              <c:idx val="9"/>
              <c:layout>
                <c:manualLayout>
                  <c:x val="3.3096929178304886E-3"/>
                  <c:y val="-3.57115978334854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C3E7-4F40-9D5B-AF38B62F11A9}"/>
                </c:ext>
                <c:ext xmlns:c15="http://schemas.microsoft.com/office/drawing/2012/chart" uri="{CE6537A1-D6FC-4f65-9D91-7224C49458BB}">
                  <c15:layout/>
                </c:ext>
              </c:extLst>
            </c:dLbl>
            <c:dLbl>
              <c:idx val="13"/>
              <c:layout>
                <c:manualLayout>
                  <c:x val="6.6193858356610579E-3"/>
                  <c:y val="-3.781228005898458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C3E7-4F40-9D5B-AF38B62F11A9}"/>
                </c:ext>
                <c:ext xmlns:c15="http://schemas.microsoft.com/office/drawing/2012/chart" uri="{CE6537A1-D6FC-4f65-9D91-7224C49458BB}">
                  <c15:layout/>
                </c:ext>
              </c:extLst>
            </c:dLbl>
            <c:dLbl>
              <c:idx val="14"/>
              <c:layout>
                <c:manualLayout>
                  <c:x val="1.1032309726101627E-3"/>
                  <c:y val="-3.361091560798630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C3E7-4F40-9D5B-AF38B62F11A9}"/>
                </c:ext>
                <c:ext xmlns:c15="http://schemas.microsoft.com/office/drawing/2012/chart" uri="{CE6537A1-D6FC-4f65-9D91-7224C49458BB}">
                  <c15:layout/>
                </c:ext>
              </c:extLst>
            </c:dLbl>
            <c:dLbl>
              <c:idx val="15"/>
              <c:layout>
                <c:manualLayout>
                  <c:x val="1.1032309726101629E-2"/>
                  <c:y val="-4.20136445099827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C3E7-4F40-9D5B-AF38B62F11A9}"/>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'CONSOLIDADO UNIDADES'!$A$3:$A$22</c15:sqref>
                  </c15:fullRef>
                </c:ext>
              </c:extLst>
              <c:f>('CONSOLIDADO UNIDADES'!$A$3:$A$15,'CONSOLIDADO UNIDADES'!$A$17:$A$19,'CONSOLIDADO UNIDADES'!$A$22)</c:f>
              <c:strCache>
                <c:ptCount val="17"/>
                <c:pt idx="0">
                  <c:v>Administrativa</c:v>
                </c:pt>
                <c:pt idx="1">
                  <c:v>Planeación</c:v>
                </c:pt>
                <c:pt idx="2">
                  <c:v>Hacienda</c:v>
                </c:pt>
                <c:pt idx="3">
                  <c:v>Aguas e Infraestructura</c:v>
                </c:pt>
                <c:pt idx="4">
                  <c:v>Interior</c:v>
                </c:pt>
                <c:pt idx="5">
                  <c:v>Cultura</c:v>
                </c:pt>
                <c:pt idx="6">
                  <c:v>Turismo Industria y Comercio</c:v>
                </c:pt>
                <c:pt idx="7">
                  <c:v>Agricultura, Desarrollo Rural y Medio Ambiente</c:v>
                </c:pt>
                <c:pt idx="8">
                  <c:v>Privada</c:v>
                </c:pt>
                <c:pt idx="9">
                  <c:v>Educación</c:v>
                </c:pt>
                <c:pt idx="10">
                  <c:v>Familia</c:v>
                </c:pt>
                <c:pt idx="11">
                  <c:v>Salud</c:v>
                </c:pt>
                <c:pt idx="12">
                  <c:v>Tecnología de la Información y las Comunicaciones</c:v>
                </c:pt>
                <c:pt idx="13">
                  <c:v>Indeportes</c:v>
                </c:pt>
                <c:pt idx="14">
                  <c:v>Proyecta</c:v>
                </c:pt>
                <c:pt idx="15">
                  <c:v>Instituto Departamental de Transito</c:v>
                </c:pt>
                <c:pt idx="16">
                  <c:v>TOTAL DEPARTAMENTO</c:v>
                </c:pt>
              </c:strCache>
            </c:strRef>
          </c:cat>
          <c:val>
            <c:numRef>
              <c:extLst>
                <c:ext xmlns:c15="http://schemas.microsoft.com/office/drawing/2012/chart" uri="{02D57815-91ED-43cb-92C2-25804820EDAC}">
                  <c15:fullRef>
                    <c15:sqref>'CONSOLIDADO UNIDADES'!$G$3:$G$22</c15:sqref>
                  </c15:fullRef>
                </c:ext>
              </c:extLst>
              <c:f>('CONSOLIDADO UNIDADES'!$G$3:$G$15,'CONSOLIDADO UNIDADES'!$G$17:$G$19,'CONSOLIDADO UNIDADES'!$G$22)</c:f>
              <c:numCache>
                <c:formatCode>0%</c:formatCode>
                <c:ptCount val="17"/>
                <c:pt idx="0">
                  <c:v>0.44436481738043987</c:v>
                </c:pt>
                <c:pt idx="1">
                  <c:v>0.29613408734195973</c:v>
                </c:pt>
                <c:pt idx="2">
                  <c:v>0.53758880507146023</c:v>
                </c:pt>
                <c:pt idx="3">
                  <c:v>6.050331017750931E-2</c:v>
                </c:pt>
                <c:pt idx="4">
                  <c:v>0.1687046561642252</c:v>
                </c:pt>
                <c:pt idx="5">
                  <c:v>0.14672351652781823</c:v>
                </c:pt>
                <c:pt idx="6">
                  <c:v>0.35825581201108914</c:v>
                </c:pt>
                <c:pt idx="7">
                  <c:v>0.12967193687412354</c:v>
                </c:pt>
                <c:pt idx="8">
                  <c:v>0.30477230310447362</c:v>
                </c:pt>
                <c:pt idx="9">
                  <c:v>0.27425741764098821</c:v>
                </c:pt>
                <c:pt idx="10">
                  <c:v>0.22699752459716518</c:v>
                </c:pt>
                <c:pt idx="11">
                  <c:v>0.73483740596554836</c:v>
                </c:pt>
                <c:pt idx="12">
                  <c:v>0.45726003262255516</c:v>
                </c:pt>
                <c:pt idx="13">
                  <c:v>0.2532720839696756</c:v>
                </c:pt>
                <c:pt idx="14">
                  <c:v>0.17482433627776836</c:v>
                </c:pt>
                <c:pt idx="15">
                  <c:v>0.51289532352974565</c:v>
                </c:pt>
                <c:pt idx="16">
                  <c:v>0.28620068601379206</c:v>
                </c:pt>
              </c:numCache>
            </c:numRef>
          </c:val>
          <c:extLst xmlns:c16r2="http://schemas.microsoft.com/office/drawing/2015/06/chart">
            <c:ext xmlns:c16="http://schemas.microsoft.com/office/drawing/2014/chart" uri="{C3380CC4-5D6E-409C-BE32-E72D297353CC}">
              <c16:uniqueId val="{00000006-C3E7-4F40-9D5B-AF38B62F11A9}"/>
            </c:ext>
          </c:extLst>
        </c:ser>
        <c:dLbls>
          <c:dLblPos val="outEnd"/>
          <c:showLegendKey val="0"/>
          <c:showVal val="1"/>
          <c:showCatName val="0"/>
          <c:showSerName val="0"/>
          <c:showPercent val="0"/>
          <c:showBubbleSize val="0"/>
        </c:dLbls>
        <c:gapWidth val="219"/>
        <c:overlap val="-27"/>
        <c:axId val="325735984"/>
        <c:axId val="325736544"/>
        <c:extLst xmlns:c16r2="http://schemas.microsoft.com/office/drawing/2015/06/chart">
          <c:ext xmlns:c15="http://schemas.microsoft.com/office/drawing/2012/chart" uri="{02D57815-91ED-43cb-92C2-25804820EDAC}">
            <c15:filteredBarSeries>
              <c15:ser>
                <c:idx val="1"/>
                <c:order val="1"/>
                <c:tx>
                  <c:strRef>
                    <c:extLst xmlns:c16r2="http://schemas.microsoft.com/office/drawing/2015/06/chart">
                      <c:ext uri="{02D57815-91ED-43cb-92C2-25804820EDAC}">
                        <c15:formulaRef>
                          <c15:sqref>'CONSOLIDADO UNIDADES'!$E$2</c15:sqref>
                        </c15:formulaRef>
                      </c:ext>
                    </c:extLst>
                    <c:strCache>
                      <c:ptCount val="1"/>
                      <c:pt idx="0">
                        <c:v>% CD
DISPON
/APRO DEF</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6r2="http://schemas.microsoft.com/office/drawing/2015/06/char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'CONSOLIDADO UNIDADES'!$A$3:$A$22</c15:sqref>
                        </c15:fullRef>
                        <c15:formulaRef>
                          <c15:sqref>('CONSOLIDADO UNIDADES'!$A$3:$A$15,'CONSOLIDADO UNIDADES'!$A$17:$A$19,'CONSOLIDADO UNIDADES'!$A$22)</c15:sqref>
                        </c15:formulaRef>
                      </c:ext>
                    </c:extLst>
                    <c:strCache>
                      <c:ptCount val="17"/>
                      <c:pt idx="0">
                        <c:v>Administrativa</c:v>
                      </c:pt>
                      <c:pt idx="1">
                        <c:v>Planeación</c:v>
                      </c:pt>
                      <c:pt idx="2">
                        <c:v>Hacienda</c:v>
                      </c:pt>
                      <c:pt idx="3">
                        <c:v>Aguas e Infraestructura</c:v>
                      </c:pt>
                      <c:pt idx="4">
                        <c:v>Interior</c:v>
                      </c:pt>
                      <c:pt idx="5">
                        <c:v>Cultura</c:v>
                      </c:pt>
                      <c:pt idx="6">
                        <c:v>Turismo Industria y Comercio</c:v>
                      </c:pt>
                      <c:pt idx="7">
                        <c:v>Agricultura, Desarrollo Rural y Medio Ambiente</c:v>
                      </c:pt>
                      <c:pt idx="8">
                        <c:v>Privada</c:v>
                      </c:pt>
                      <c:pt idx="9">
                        <c:v>Educación</c:v>
                      </c:pt>
                      <c:pt idx="10">
                        <c:v>Familia</c:v>
                      </c:pt>
                      <c:pt idx="11">
                        <c:v>Salud</c:v>
                      </c:pt>
                      <c:pt idx="12">
                        <c:v>Tecnología de la Información y las Comunicaciones</c:v>
                      </c:pt>
                      <c:pt idx="13">
                        <c:v>Indeportes</c:v>
                      </c:pt>
                      <c:pt idx="14">
                        <c:v>Proyecta</c:v>
                      </c:pt>
                      <c:pt idx="15">
                        <c:v>Instituto Departamental de Transito</c:v>
                      </c:pt>
                      <c:pt idx="16">
                        <c:v>TOTAL DEPARTAMENTO</c:v>
                      </c:pt>
                    </c:strCache>
                  </c:strRef>
                </c:cat>
                <c:val>
                  <c:numRef>
                    <c:extLst>
                      <c:ext uri="{02D57815-91ED-43cb-92C2-25804820EDAC}">
                        <c15:fullRef>
                          <c15:sqref>'CONSOLIDADO UNIDADES'!$E$3:$E$22</c15:sqref>
                        </c15:fullRef>
                        <c15:formulaRef>
                          <c15:sqref>('CONSOLIDADO UNIDADES'!$E$3:$E$15,'CONSOLIDADO UNIDADES'!$E$17:$E$19,'CONSOLIDADO UNIDADES'!$E$22)</c15:sqref>
                        </c15:formulaRef>
                      </c:ext>
                    </c:extLst>
                    <c:numCache>
                      <c:formatCode>0%</c:formatCode>
                      <c:ptCount val="17"/>
                      <c:pt idx="0">
                        <c:v>0.45217276355336555</c:v>
                      </c:pt>
                      <c:pt idx="1">
                        <c:v>0.33809332487324567</c:v>
                      </c:pt>
                      <c:pt idx="2">
                        <c:v>0.65925312299275174</c:v>
                      </c:pt>
                      <c:pt idx="3">
                        <c:v>0.43423133686605614</c:v>
                      </c:pt>
                      <c:pt idx="4">
                        <c:v>0.4991674049782564</c:v>
                      </c:pt>
                      <c:pt idx="5">
                        <c:v>0.64348365004756469</c:v>
                      </c:pt>
                      <c:pt idx="6">
                        <c:v>0.6340941109817666</c:v>
                      </c:pt>
                      <c:pt idx="7">
                        <c:v>0.30796309527102306</c:v>
                      </c:pt>
                      <c:pt idx="8">
                        <c:v>0.72034838336614937</c:v>
                      </c:pt>
                      <c:pt idx="9">
                        <c:v>0.29430346411796671</c:v>
                      </c:pt>
                      <c:pt idx="10">
                        <c:v>0.30783641160310732</c:v>
                      </c:pt>
                      <c:pt idx="11">
                        <c:v>0.74276443210380061</c:v>
                      </c:pt>
                      <c:pt idx="12">
                        <c:v>0.63815480104350764</c:v>
                      </c:pt>
                      <c:pt idx="13">
                        <c:v>0.39887007464762458</c:v>
                      </c:pt>
                      <c:pt idx="14">
                        <c:v>0.17482433627776836</c:v>
                      </c:pt>
                      <c:pt idx="15">
                        <c:v>0.51289532352974565</c:v>
                      </c:pt>
                      <c:pt idx="16">
                        <c:v>0.40443343833038198</c:v>
                      </c:pt>
                    </c:numCache>
                  </c:numRef>
                </c:val>
                <c:extLst xmlns:c16r2="http://schemas.microsoft.com/office/drawing/2015/06/chart">
                  <c:ext xmlns:c16="http://schemas.microsoft.com/office/drawing/2014/chart" uri="{C3380CC4-5D6E-409C-BE32-E72D297353CC}">
                    <c16:uniqueId val="{00000007-C3E7-4F40-9D5B-AF38B62F11A9}"/>
                  </c:ext>
                </c:extLst>
              </c15:ser>
            </c15:filteredBarSeries>
          </c:ext>
        </c:extLst>
      </c:barChart>
      <c:catAx>
        <c:axId val="325735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5736544"/>
        <c:crosses val="autoZero"/>
        <c:auto val="1"/>
        <c:lblAlgn val="ctr"/>
        <c:lblOffset val="100"/>
        <c:noMultiLvlLbl val="0"/>
      </c:catAx>
      <c:valAx>
        <c:axId val="32573654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573598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0</xdr:col>
      <xdr:colOff>370683</xdr:colOff>
      <xdr:row>0</xdr:row>
      <xdr:rowOff>404813</xdr:rowOff>
    </xdr:from>
    <xdr:ext cx="1010444" cy="821531"/>
    <xdr:pic>
      <xdr:nvPicPr>
        <xdr:cNvPr id="4" name="Imagen 1" descr="C:\Users\AUXPLANEACION03\Desktop\Gobernacion_del_quindio.jpg">
          <a:extLst>
            <a:ext uri="{FF2B5EF4-FFF2-40B4-BE49-F238E27FC236}">
              <a16:creationId xmlns:a16="http://schemas.microsoft.com/office/drawing/2014/main" xmlns="" id="{1C78F047-D265-48F9-B901-474642B5EE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0683" y="404813"/>
          <a:ext cx="1010444" cy="821531"/>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6</xdr:col>
      <xdr:colOff>276225</xdr:colOff>
      <xdr:row>25</xdr:row>
      <xdr:rowOff>80358</xdr:rowOff>
    </xdr:from>
    <xdr:to>
      <xdr:col>12</xdr:col>
      <xdr:colOff>900792</xdr:colOff>
      <xdr:row>42</xdr:row>
      <xdr:rowOff>57152</xdr:rowOff>
    </xdr:to>
    <xdr:graphicFrame macro="">
      <xdr:nvGraphicFramePr>
        <xdr:cNvPr id="2" name="Gráfico 1">
          <a:extLst>
            <a:ext uri="{FF2B5EF4-FFF2-40B4-BE49-F238E27FC236}">
              <a16:creationId xmlns:a16="http://schemas.microsoft.com/office/drawing/2014/main" xmlns=""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326571</xdr:colOff>
      <xdr:row>42</xdr:row>
      <xdr:rowOff>159202</xdr:rowOff>
    </xdr:from>
    <xdr:to>
      <xdr:col>12</xdr:col>
      <xdr:colOff>1455964</xdr:colOff>
      <xdr:row>58</xdr:row>
      <xdr:rowOff>27214</xdr:rowOff>
    </xdr:to>
    <xdr:graphicFrame macro="">
      <xdr:nvGraphicFramePr>
        <xdr:cNvPr id="3" name="Gráfico 2">
          <a:extLst>
            <a:ext uri="{FF2B5EF4-FFF2-40B4-BE49-F238E27FC236}">
              <a16:creationId xmlns:a16="http://schemas.microsoft.com/office/drawing/2014/main" xmlns=""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340179</xdr:colOff>
      <xdr:row>60</xdr:row>
      <xdr:rowOff>145596</xdr:rowOff>
    </xdr:from>
    <xdr:to>
      <xdr:col>13</xdr:col>
      <xdr:colOff>40821</xdr:colOff>
      <xdr:row>80</xdr:row>
      <xdr:rowOff>40822</xdr:rowOff>
    </xdr:to>
    <xdr:graphicFrame macro="">
      <xdr:nvGraphicFramePr>
        <xdr:cNvPr id="4" name="Gráfico 3">
          <a:extLst>
            <a:ext uri="{FF2B5EF4-FFF2-40B4-BE49-F238E27FC236}">
              <a16:creationId xmlns:a16="http://schemas.microsoft.com/office/drawing/2014/main" xmlns=""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54429</xdr:colOff>
      <xdr:row>0</xdr:row>
      <xdr:rowOff>853166</xdr:rowOff>
    </xdr:from>
    <xdr:to>
      <xdr:col>31</xdr:col>
      <xdr:colOff>353785</xdr:colOff>
      <xdr:row>30</xdr:row>
      <xdr:rowOff>81643</xdr:rowOff>
    </xdr:to>
    <xdr:graphicFrame macro="">
      <xdr:nvGraphicFramePr>
        <xdr:cNvPr id="5" name="Gráfico 4">
          <a:extLst>
            <a:ext uri="{FF2B5EF4-FFF2-40B4-BE49-F238E27FC236}">
              <a16:creationId xmlns:a16="http://schemas.microsoft.com/office/drawing/2014/main" xmlns=""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obernacion%202023/Ejecuciones%202023/MARZO%202023/AVANCE%20POAI%20MARZ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ÓN MARZO"/>
      <sheetName val="CONSOLIDADO SECRETARIAS"/>
      <sheetName val="REGISTROS"/>
    </sheetNames>
    <sheetDataSet>
      <sheetData sheetId="0">
        <row r="1046">
          <cell r="Y1046">
            <v>13438989039</v>
          </cell>
        </row>
        <row r="1235">
          <cell r="Y1235">
            <v>2320305106.4299998</v>
          </cell>
        </row>
        <row r="1435">
          <cell r="Y1435">
            <v>546216330</v>
          </cell>
        </row>
        <row r="1518">
          <cell r="Y1518">
            <v>808474500</v>
          </cell>
        </row>
        <row r="1663">
          <cell r="Y1663">
            <v>590912074</v>
          </cell>
        </row>
        <row r="1840">
          <cell r="Y1840">
            <v>3183367768</v>
          </cell>
        </row>
        <row r="1995">
          <cell r="Y1995">
            <v>32906345352.189999</v>
          </cell>
        </row>
        <row r="2177">
          <cell r="Y2177">
            <v>4521709196.21</v>
          </cell>
        </row>
        <row r="2333">
          <cell r="Y2333">
            <v>8235379975.04</v>
          </cell>
        </row>
        <row r="2391">
          <cell r="Y2391">
            <v>35074003113</v>
          </cell>
        </row>
        <row r="2414">
          <cell r="Y2414">
            <v>2075063901.0999999</v>
          </cell>
        </row>
        <row r="2435">
          <cell r="Y2435">
            <v>1827361016</v>
          </cell>
        </row>
        <row r="2593">
          <cell r="Y2593">
            <v>76573333</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pageSetUpPr fitToPage="1"/>
  </sheetPr>
  <dimension ref="A1:BY306"/>
  <sheetViews>
    <sheetView showGridLines="0" tabSelected="1" topLeftCell="Q1" zoomScale="70" zoomScaleNormal="70" workbookViewId="0">
      <selection activeCell="X22" sqref="X22"/>
    </sheetView>
  </sheetViews>
  <sheetFormatPr baseColWidth="10" defaultColWidth="11.42578125" defaultRowHeight="15"/>
  <cols>
    <col min="1" max="1" width="11.85546875" style="361" customWidth="1"/>
    <col min="2" max="2" width="18" style="8" customWidth="1"/>
    <col min="3" max="3" width="10.42578125" style="362" customWidth="1"/>
    <col min="4" max="4" width="26" style="126" customWidth="1"/>
    <col min="5" max="5" width="12.5703125" style="7" customWidth="1"/>
    <col min="6" max="6" width="17.85546875" style="126" customWidth="1"/>
    <col min="7" max="7" width="14.5703125" style="7" customWidth="1"/>
    <col min="8" max="8" width="43" style="8" customWidth="1"/>
    <col min="9" max="9" width="17" style="8" customWidth="1"/>
    <col min="10" max="10" width="35.7109375" style="8" customWidth="1"/>
    <col min="11" max="11" width="52" style="126" customWidth="1"/>
    <col min="12" max="12" width="14.42578125" style="7" customWidth="1"/>
    <col min="13" max="13" width="36.42578125" style="126" customWidth="1"/>
    <col min="14" max="14" width="19.7109375" style="5" customWidth="1"/>
    <col min="15" max="15" width="32.85546875" style="126" customWidth="1"/>
    <col min="16" max="16" width="12.7109375" style="126" customWidth="1"/>
    <col min="17" max="17" width="35.85546875" style="8" customWidth="1"/>
    <col min="18" max="18" width="20.42578125" style="7" customWidth="1"/>
    <col min="19" max="19" width="41.28515625" style="8" customWidth="1"/>
    <col min="20" max="20" width="16.42578125" style="363" customWidth="1"/>
    <col min="21" max="24" width="16.42578125" style="7" customWidth="1"/>
    <col min="25" max="25" width="17" style="364" customWidth="1"/>
    <col min="26" max="26" width="50.5703125" style="8" customWidth="1"/>
    <col min="27" max="27" width="66.28515625" style="8" customWidth="1"/>
    <col min="28" max="39" width="23.42578125" style="1" customWidth="1"/>
    <col min="40" max="40" width="26" style="2" customWidth="1"/>
    <col min="41" max="42" width="23.42578125" style="2" customWidth="1"/>
    <col min="43" max="45" width="23.42578125" style="1" customWidth="1"/>
    <col min="46" max="48" width="23.42578125" style="365" customWidth="1"/>
    <col min="49" max="54" width="23.42578125" style="1" customWidth="1"/>
    <col min="55" max="55" width="26.28515625" style="1" customWidth="1"/>
    <col min="56" max="57" width="23.42578125" style="1" customWidth="1"/>
    <col min="58" max="58" width="27.42578125" style="2" customWidth="1"/>
    <col min="59" max="59" width="27.7109375" style="2" customWidth="1"/>
    <col min="60" max="60" width="23.42578125" style="2" customWidth="1"/>
    <col min="61" max="61" width="29.85546875" style="366" customWidth="1"/>
    <col min="62" max="62" width="11.42578125" style="1"/>
    <col min="63" max="63" width="30.7109375" style="1" customWidth="1"/>
    <col min="64" max="16384" width="11.42578125" style="1"/>
  </cols>
  <sheetData>
    <row r="1" spans="1:62" ht="38.25" customHeight="1">
      <c r="A1" s="8"/>
      <c r="C1" s="477" t="s">
        <v>16</v>
      </c>
      <c r="D1" s="478"/>
      <c r="E1" s="478"/>
      <c r="F1" s="478"/>
      <c r="G1" s="478"/>
      <c r="H1" s="478"/>
      <c r="I1" s="478"/>
      <c r="J1" s="478"/>
      <c r="K1" s="478"/>
      <c r="L1" s="478"/>
      <c r="M1" s="478"/>
      <c r="N1" s="478"/>
      <c r="O1" s="478"/>
      <c r="P1" s="478"/>
      <c r="Q1" s="478"/>
      <c r="R1" s="478"/>
      <c r="S1" s="478"/>
      <c r="T1" s="478"/>
      <c r="U1" s="478"/>
      <c r="V1" s="478"/>
      <c r="W1" s="478"/>
      <c r="X1" s="478"/>
      <c r="Y1" s="478"/>
      <c r="Z1" s="478"/>
      <c r="AA1" s="478"/>
      <c r="AB1" s="478"/>
      <c r="AC1" s="478"/>
      <c r="AD1" s="478"/>
      <c r="AE1" s="478"/>
      <c r="AF1" s="478"/>
      <c r="AG1" s="478"/>
      <c r="AH1" s="478"/>
      <c r="AI1" s="478"/>
      <c r="AJ1" s="478"/>
      <c r="AK1" s="478"/>
      <c r="AL1" s="478"/>
      <c r="AM1" s="478"/>
      <c r="AN1" s="478"/>
      <c r="AO1" s="478"/>
      <c r="AP1" s="478"/>
      <c r="AQ1" s="478"/>
      <c r="AR1" s="478"/>
      <c r="AS1" s="478"/>
      <c r="AT1" s="478"/>
      <c r="AU1" s="478"/>
      <c r="AV1" s="478"/>
      <c r="AW1" s="478"/>
      <c r="AX1" s="478"/>
      <c r="AY1" s="478"/>
      <c r="AZ1" s="478"/>
      <c r="BA1" s="478"/>
      <c r="BB1" s="478"/>
      <c r="BC1" s="478"/>
      <c r="BD1" s="478"/>
      <c r="BE1" s="478"/>
      <c r="BF1" s="371"/>
      <c r="BG1" s="367"/>
      <c r="BH1" s="367" t="s">
        <v>17</v>
      </c>
      <c r="BI1" s="264" t="s">
        <v>1473</v>
      </c>
    </row>
    <row r="2" spans="1:62" ht="38.25" customHeight="1">
      <c r="A2" s="8"/>
      <c r="C2" s="490" t="s">
        <v>1469</v>
      </c>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491"/>
      <c r="AK2" s="491"/>
      <c r="AL2" s="491"/>
      <c r="AM2" s="491"/>
      <c r="AN2" s="491"/>
      <c r="AO2" s="491"/>
      <c r="AP2" s="491"/>
      <c r="AQ2" s="491"/>
      <c r="AR2" s="491"/>
      <c r="AS2" s="491"/>
      <c r="AT2" s="491"/>
      <c r="AU2" s="491"/>
      <c r="AV2" s="491"/>
      <c r="AW2" s="491"/>
      <c r="AX2" s="491"/>
      <c r="AY2" s="491"/>
      <c r="AZ2" s="491"/>
      <c r="BA2" s="491"/>
      <c r="BB2" s="491"/>
      <c r="BC2" s="491"/>
      <c r="BD2" s="491"/>
      <c r="BE2" s="491"/>
      <c r="BF2" s="373"/>
      <c r="BG2" s="374"/>
      <c r="BH2" s="368" t="s">
        <v>18</v>
      </c>
      <c r="BI2" s="265">
        <v>4</v>
      </c>
    </row>
    <row r="3" spans="1:62" ht="38.25" customHeight="1">
      <c r="A3" s="8"/>
      <c r="C3" s="492" t="s">
        <v>1470</v>
      </c>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3"/>
      <c r="AP3" s="493"/>
      <c r="AQ3" s="493"/>
      <c r="AR3" s="493"/>
      <c r="AS3" s="493"/>
      <c r="AT3" s="493"/>
      <c r="AU3" s="493"/>
      <c r="AV3" s="493"/>
      <c r="AW3" s="493"/>
      <c r="AX3" s="493"/>
      <c r="AY3" s="493"/>
      <c r="AZ3" s="493"/>
      <c r="BA3" s="493"/>
      <c r="BB3" s="493"/>
      <c r="BC3" s="493"/>
      <c r="BD3" s="493"/>
      <c r="BE3" s="493"/>
      <c r="BF3" s="370"/>
      <c r="BG3" s="375"/>
      <c r="BH3" s="369" t="s">
        <v>19</v>
      </c>
      <c r="BI3" s="266">
        <v>44718</v>
      </c>
    </row>
    <row r="4" spans="1:62" ht="38.25" customHeight="1">
      <c r="A4" s="8"/>
      <c r="C4" s="488" t="s">
        <v>1471</v>
      </c>
      <c r="D4" s="489"/>
      <c r="E4" s="489"/>
      <c r="F4" s="489"/>
      <c r="G4" s="489"/>
      <c r="H4" s="489"/>
      <c r="I4" s="489"/>
      <c r="J4" s="489"/>
      <c r="K4" s="489"/>
      <c r="L4" s="489"/>
      <c r="M4" s="489"/>
      <c r="N4" s="489"/>
      <c r="O4" s="489"/>
      <c r="P4" s="489"/>
      <c r="Q4" s="489"/>
      <c r="R4" s="489"/>
      <c r="S4" s="489"/>
      <c r="T4" s="489"/>
      <c r="U4" s="489"/>
      <c r="V4" s="489"/>
      <c r="W4" s="489"/>
      <c r="X4" s="489"/>
      <c r="Y4" s="489"/>
      <c r="Z4" s="489"/>
      <c r="AA4" s="489"/>
      <c r="AB4" s="489"/>
      <c r="AC4" s="489"/>
      <c r="AD4" s="489"/>
      <c r="AE4" s="489"/>
      <c r="AF4" s="489"/>
      <c r="AG4" s="489"/>
      <c r="AH4" s="489"/>
      <c r="AI4" s="489"/>
      <c r="AJ4" s="489"/>
      <c r="AK4" s="489"/>
      <c r="AL4" s="489"/>
      <c r="AM4" s="489"/>
      <c r="AN4" s="489"/>
      <c r="AO4" s="489"/>
      <c r="AP4" s="489"/>
      <c r="AQ4" s="489"/>
      <c r="AR4" s="489"/>
      <c r="AS4" s="489"/>
      <c r="AT4" s="489"/>
      <c r="AU4" s="489"/>
      <c r="AV4" s="489"/>
      <c r="AW4" s="489"/>
      <c r="AX4" s="489"/>
      <c r="AY4" s="489"/>
      <c r="AZ4" s="489"/>
      <c r="BA4" s="489"/>
      <c r="BB4" s="489"/>
      <c r="BC4" s="489"/>
      <c r="BD4" s="489"/>
      <c r="BE4" s="489"/>
      <c r="BF4" s="376"/>
      <c r="BG4" s="377"/>
      <c r="BH4" s="367" t="s">
        <v>20</v>
      </c>
      <c r="BI4" s="267" t="s">
        <v>21</v>
      </c>
    </row>
    <row r="5" spans="1:62" s="128" customFormat="1" ht="38.25" customHeight="1">
      <c r="A5" s="479" t="s">
        <v>22</v>
      </c>
      <c r="B5" s="480"/>
      <c r="C5" s="481" t="s">
        <v>23</v>
      </c>
      <c r="D5" s="481"/>
      <c r="E5" s="481" t="s">
        <v>24</v>
      </c>
      <c r="F5" s="481"/>
      <c r="G5" s="482" t="s">
        <v>25</v>
      </c>
      <c r="H5" s="483"/>
      <c r="I5" s="483"/>
      <c r="J5" s="483"/>
      <c r="K5" s="484"/>
      <c r="L5" s="482" t="s">
        <v>26</v>
      </c>
      <c r="M5" s="483"/>
      <c r="N5" s="483"/>
      <c r="O5" s="484"/>
      <c r="P5" s="482" t="s">
        <v>27</v>
      </c>
      <c r="Q5" s="483"/>
      <c r="R5" s="483"/>
      <c r="S5" s="484"/>
      <c r="T5" s="482" t="s">
        <v>28</v>
      </c>
      <c r="U5" s="483"/>
      <c r="V5" s="483"/>
      <c r="W5" s="484"/>
      <c r="X5" s="372"/>
      <c r="Y5" s="481" t="s">
        <v>29</v>
      </c>
      <c r="Z5" s="481"/>
      <c r="AA5" s="481"/>
      <c r="AB5" s="485" t="s">
        <v>1474</v>
      </c>
      <c r="AC5" s="486"/>
      <c r="AD5" s="486"/>
      <c r="AE5" s="486"/>
      <c r="AF5" s="486"/>
      <c r="AG5" s="486"/>
      <c r="AH5" s="486"/>
      <c r="AI5" s="486"/>
      <c r="AJ5" s="486"/>
      <c r="AK5" s="486"/>
      <c r="AL5" s="486"/>
      <c r="AM5" s="486"/>
      <c r="AN5" s="486"/>
      <c r="AO5" s="486"/>
      <c r="AP5" s="486"/>
      <c r="AQ5" s="486"/>
      <c r="AR5" s="486"/>
      <c r="AS5" s="486"/>
      <c r="AT5" s="486"/>
      <c r="AU5" s="486"/>
      <c r="AV5" s="486"/>
      <c r="AW5" s="486"/>
      <c r="AX5" s="486"/>
      <c r="AY5" s="486"/>
      <c r="AZ5" s="486"/>
      <c r="BA5" s="486"/>
      <c r="BB5" s="486"/>
      <c r="BC5" s="486"/>
      <c r="BD5" s="486"/>
      <c r="BE5" s="487"/>
      <c r="BF5" s="495" t="s">
        <v>57</v>
      </c>
      <c r="BG5" s="496"/>
      <c r="BH5" s="497"/>
      <c r="BI5" s="472" t="s">
        <v>1472</v>
      </c>
    </row>
    <row r="6" spans="1:62" s="3" customFormat="1" ht="59.25" customHeight="1">
      <c r="A6" s="468" t="s">
        <v>30</v>
      </c>
      <c r="B6" s="474" t="s">
        <v>31</v>
      </c>
      <c r="C6" s="472" t="s">
        <v>30</v>
      </c>
      <c r="D6" s="472" t="s">
        <v>31</v>
      </c>
      <c r="E6" s="474" t="s">
        <v>30</v>
      </c>
      <c r="F6" s="474" t="s">
        <v>31</v>
      </c>
      <c r="G6" s="472" t="s">
        <v>32</v>
      </c>
      <c r="H6" s="472" t="s">
        <v>33</v>
      </c>
      <c r="I6" s="472" t="s">
        <v>34</v>
      </c>
      <c r="J6" s="472" t="s">
        <v>35</v>
      </c>
      <c r="K6" s="470" t="s">
        <v>36</v>
      </c>
      <c r="L6" s="472" t="s">
        <v>37</v>
      </c>
      <c r="M6" s="472" t="s">
        <v>38</v>
      </c>
      <c r="N6" s="472" t="s">
        <v>39</v>
      </c>
      <c r="O6" s="472" t="s">
        <v>40</v>
      </c>
      <c r="P6" s="470" t="s">
        <v>37</v>
      </c>
      <c r="Q6" s="470" t="s">
        <v>41</v>
      </c>
      <c r="R6" s="470" t="s">
        <v>42</v>
      </c>
      <c r="S6" s="470" t="s">
        <v>43</v>
      </c>
      <c r="T6" s="472" t="s">
        <v>44</v>
      </c>
      <c r="U6" s="472" t="s">
        <v>45</v>
      </c>
      <c r="V6" s="472" t="s">
        <v>46</v>
      </c>
      <c r="W6" s="472" t="s">
        <v>47</v>
      </c>
      <c r="X6" s="472" t="s">
        <v>1520</v>
      </c>
      <c r="Y6" s="501" t="s">
        <v>48</v>
      </c>
      <c r="Z6" s="470" t="s">
        <v>49</v>
      </c>
      <c r="AA6" s="470" t="s">
        <v>50</v>
      </c>
      <c r="AB6" s="476" t="s">
        <v>1522</v>
      </c>
      <c r="AC6" s="476"/>
      <c r="AD6" s="476"/>
      <c r="AE6" s="476" t="s">
        <v>1518</v>
      </c>
      <c r="AF6" s="476"/>
      <c r="AG6" s="476"/>
      <c r="AH6" s="476" t="s">
        <v>51</v>
      </c>
      <c r="AI6" s="476"/>
      <c r="AJ6" s="476"/>
      <c r="AK6" s="476" t="s">
        <v>52</v>
      </c>
      <c r="AL6" s="476"/>
      <c r="AM6" s="476"/>
      <c r="AN6" s="476" t="s">
        <v>1468</v>
      </c>
      <c r="AO6" s="476"/>
      <c r="AP6" s="476"/>
      <c r="AQ6" s="476" t="s">
        <v>53</v>
      </c>
      <c r="AR6" s="476"/>
      <c r="AS6" s="476"/>
      <c r="AT6" s="476" t="s">
        <v>54</v>
      </c>
      <c r="AU6" s="476"/>
      <c r="AV6" s="476"/>
      <c r="AW6" s="476" t="s">
        <v>55</v>
      </c>
      <c r="AX6" s="476"/>
      <c r="AY6" s="476"/>
      <c r="AZ6" s="476" t="s">
        <v>1430</v>
      </c>
      <c r="BA6" s="476"/>
      <c r="BB6" s="476"/>
      <c r="BC6" s="476" t="s">
        <v>56</v>
      </c>
      <c r="BD6" s="476"/>
      <c r="BE6" s="476"/>
      <c r="BF6" s="498"/>
      <c r="BG6" s="499"/>
      <c r="BH6" s="500"/>
      <c r="BI6" s="494"/>
    </row>
    <row r="7" spans="1:62" s="3" customFormat="1" ht="33.75" customHeight="1">
      <c r="A7" s="469"/>
      <c r="B7" s="475"/>
      <c r="C7" s="473"/>
      <c r="D7" s="473"/>
      <c r="E7" s="475"/>
      <c r="F7" s="475"/>
      <c r="G7" s="473"/>
      <c r="H7" s="473"/>
      <c r="I7" s="473"/>
      <c r="J7" s="473"/>
      <c r="K7" s="471"/>
      <c r="L7" s="473"/>
      <c r="M7" s="473"/>
      <c r="N7" s="473"/>
      <c r="O7" s="473"/>
      <c r="P7" s="471"/>
      <c r="Q7" s="471"/>
      <c r="R7" s="471"/>
      <c r="S7" s="471"/>
      <c r="T7" s="473"/>
      <c r="U7" s="473"/>
      <c r="V7" s="473"/>
      <c r="W7" s="473"/>
      <c r="X7" s="473"/>
      <c r="Y7" s="502"/>
      <c r="Z7" s="471"/>
      <c r="AA7" s="471"/>
      <c r="AB7" s="127" t="s">
        <v>1314</v>
      </c>
      <c r="AC7" s="127" t="s">
        <v>1466</v>
      </c>
      <c r="AD7" s="127" t="s">
        <v>1467</v>
      </c>
      <c r="AE7" s="127" t="s">
        <v>1314</v>
      </c>
      <c r="AF7" s="127" t="s">
        <v>1466</v>
      </c>
      <c r="AG7" s="127" t="s">
        <v>1467</v>
      </c>
      <c r="AH7" s="127" t="s">
        <v>1314</v>
      </c>
      <c r="AI7" s="127" t="s">
        <v>1466</v>
      </c>
      <c r="AJ7" s="127" t="s">
        <v>1467</v>
      </c>
      <c r="AK7" s="127" t="s">
        <v>1314</v>
      </c>
      <c r="AL7" s="127" t="s">
        <v>1466</v>
      </c>
      <c r="AM7" s="127" t="s">
        <v>1467</v>
      </c>
      <c r="AN7" s="127" t="s">
        <v>1314</v>
      </c>
      <c r="AO7" s="127" t="s">
        <v>1466</v>
      </c>
      <c r="AP7" s="127" t="s">
        <v>1467</v>
      </c>
      <c r="AQ7" s="127" t="s">
        <v>1314</v>
      </c>
      <c r="AR7" s="127" t="s">
        <v>1466</v>
      </c>
      <c r="AS7" s="127" t="s">
        <v>1467</v>
      </c>
      <c r="AT7" s="127" t="s">
        <v>1314</v>
      </c>
      <c r="AU7" s="127" t="s">
        <v>1466</v>
      </c>
      <c r="AV7" s="127" t="s">
        <v>1467</v>
      </c>
      <c r="AW7" s="127" t="s">
        <v>1314</v>
      </c>
      <c r="AX7" s="127" t="s">
        <v>1466</v>
      </c>
      <c r="AY7" s="127" t="s">
        <v>1467</v>
      </c>
      <c r="AZ7" s="127" t="s">
        <v>1314</v>
      </c>
      <c r="BA7" s="127" t="s">
        <v>1466</v>
      </c>
      <c r="BB7" s="127" t="s">
        <v>1467</v>
      </c>
      <c r="BC7" s="127" t="s">
        <v>1314</v>
      </c>
      <c r="BD7" s="127" t="s">
        <v>1466</v>
      </c>
      <c r="BE7" s="127" t="s">
        <v>1467</v>
      </c>
      <c r="BF7" s="127" t="s">
        <v>1314</v>
      </c>
      <c r="BG7" s="127" t="s">
        <v>1466</v>
      </c>
      <c r="BH7" s="127" t="s">
        <v>1467</v>
      </c>
      <c r="BI7" s="473"/>
    </row>
    <row r="8" spans="1:62" s="151" customFormat="1" ht="144" customHeight="1">
      <c r="A8" s="139">
        <v>304</v>
      </c>
      <c r="B8" s="140" t="s">
        <v>58</v>
      </c>
      <c r="C8" s="139">
        <v>4</v>
      </c>
      <c r="D8" s="140" t="s">
        <v>59</v>
      </c>
      <c r="E8" s="139">
        <v>45</v>
      </c>
      <c r="F8" s="140" t="s">
        <v>60</v>
      </c>
      <c r="G8" s="139" t="s">
        <v>61</v>
      </c>
      <c r="H8" s="140" t="s">
        <v>62</v>
      </c>
      <c r="I8" s="139">
        <v>4599</v>
      </c>
      <c r="J8" s="140" t="s">
        <v>63</v>
      </c>
      <c r="K8" s="140" t="s">
        <v>64</v>
      </c>
      <c r="L8" s="139" t="s">
        <v>61</v>
      </c>
      <c r="M8" s="140" t="s">
        <v>65</v>
      </c>
      <c r="N8" s="139">
        <v>4599023</v>
      </c>
      <c r="O8" s="140" t="s">
        <v>66</v>
      </c>
      <c r="P8" s="139" t="s">
        <v>61</v>
      </c>
      <c r="Q8" s="142" t="s">
        <v>67</v>
      </c>
      <c r="R8" s="146">
        <v>459902300</v>
      </c>
      <c r="S8" s="142" t="s">
        <v>68</v>
      </c>
      <c r="T8" s="143" t="s">
        <v>69</v>
      </c>
      <c r="U8" s="137">
        <v>5</v>
      </c>
      <c r="V8" s="137"/>
      <c r="W8" s="137">
        <f>U8+V8</f>
        <v>5</v>
      </c>
      <c r="X8" s="137">
        <v>4</v>
      </c>
      <c r="Y8" s="146">
        <v>2020003630006</v>
      </c>
      <c r="Z8" s="140" t="s">
        <v>70</v>
      </c>
      <c r="AA8" s="140" t="s">
        <v>71</v>
      </c>
      <c r="AB8" s="130"/>
      <c r="AC8" s="130"/>
      <c r="AD8" s="130"/>
      <c r="AE8" s="130"/>
      <c r="AF8" s="130"/>
      <c r="AG8" s="130"/>
      <c r="AH8" s="130"/>
      <c r="AI8" s="130"/>
      <c r="AJ8" s="130"/>
      <c r="AK8" s="130"/>
      <c r="AL8" s="130"/>
      <c r="AM8" s="130"/>
      <c r="AN8" s="130"/>
      <c r="AO8" s="130"/>
      <c r="AP8" s="130"/>
      <c r="AQ8" s="130"/>
      <c r="AR8" s="130"/>
      <c r="AS8" s="130"/>
      <c r="AT8" s="148">
        <f>53585000+306331000+306331000</f>
        <v>666247000</v>
      </c>
      <c r="AU8" s="148">
        <v>347101000</v>
      </c>
      <c r="AV8" s="148">
        <v>111685000</v>
      </c>
      <c r="AW8" s="130"/>
      <c r="AX8" s="130"/>
      <c r="AY8" s="130"/>
      <c r="AZ8" s="130"/>
      <c r="BA8" s="130"/>
      <c r="BB8" s="130"/>
      <c r="BC8" s="130"/>
      <c r="BD8" s="130"/>
      <c r="BE8" s="130"/>
      <c r="BF8" s="138">
        <f t="shared" ref="BF8:BF71" si="0">AB8+AE8+AH8+AK8+AN8+AQ8+AT8+AW8+BC8+AZ8</f>
        <v>666247000</v>
      </c>
      <c r="BG8" s="138">
        <f t="shared" ref="BG8:BG71" si="1">AC8+AF8+AI8+AL8+AO8+AR8+AU8+AX8+BD8+BA8</f>
        <v>347101000</v>
      </c>
      <c r="BH8" s="138">
        <f t="shared" ref="BH8:BH71" si="2">AD8+AG8+AJ8+AM8+AP8+AS8+AV8+AY8+BE8+BB8</f>
        <v>111685000</v>
      </c>
      <c r="BI8" s="268" t="s">
        <v>0</v>
      </c>
    </row>
    <row r="9" spans="1:62" s="151" customFormat="1" ht="120" customHeight="1">
      <c r="A9" s="139">
        <v>304</v>
      </c>
      <c r="B9" s="140" t="s">
        <v>58</v>
      </c>
      <c r="C9" s="139">
        <v>4</v>
      </c>
      <c r="D9" s="140" t="s">
        <v>59</v>
      </c>
      <c r="E9" s="139">
        <v>45</v>
      </c>
      <c r="F9" s="140" t="s">
        <v>60</v>
      </c>
      <c r="G9" s="139" t="s">
        <v>61</v>
      </c>
      <c r="H9" s="140" t="s">
        <v>62</v>
      </c>
      <c r="I9" s="139">
        <v>4599</v>
      </c>
      <c r="J9" s="140" t="s">
        <v>63</v>
      </c>
      <c r="K9" s="140" t="s">
        <v>64</v>
      </c>
      <c r="L9" s="139" t="s">
        <v>61</v>
      </c>
      <c r="M9" s="140" t="s">
        <v>72</v>
      </c>
      <c r="N9" s="139">
        <v>4599002</v>
      </c>
      <c r="O9" s="140" t="s">
        <v>73</v>
      </c>
      <c r="P9" s="139" t="s">
        <v>61</v>
      </c>
      <c r="Q9" s="142" t="s">
        <v>74</v>
      </c>
      <c r="R9" s="146">
        <v>459900200</v>
      </c>
      <c r="S9" s="142" t="s">
        <v>75</v>
      </c>
      <c r="T9" s="143" t="s">
        <v>69</v>
      </c>
      <c r="U9" s="137">
        <v>4</v>
      </c>
      <c r="V9" s="137"/>
      <c r="W9" s="137">
        <f t="shared" ref="W9:W25" si="3">U9+V9</f>
        <v>4</v>
      </c>
      <c r="X9" s="137">
        <v>4</v>
      </c>
      <c r="Y9" s="146">
        <v>2020003630007</v>
      </c>
      <c r="Z9" s="140" t="s">
        <v>76</v>
      </c>
      <c r="AA9" s="140" t="s">
        <v>77</v>
      </c>
      <c r="AB9" s="130"/>
      <c r="AC9" s="130"/>
      <c r="AD9" s="130"/>
      <c r="AE9" s="130"/>
      <c r="AF9" s="130"/>
      <c r="AG9" s="130"/>
      <c r="AH9" s="130"/>
      <c r="AI9" s="130"/>
      <c r="AJ9" s="130"/>
      <c r="AK9" s="130"/>
      <c r="AL9" s="130"/>
      <c r="AM9" s="130"/>
      <c r="AN9" s="130"/>
      <c r="AO9" s="130"/>
      <c r="AP9" s="130"/>
      <c r="AQ9" s="130"/>
      <c r="AR9" s="130"/>
      <c r="AS9" s="130"/>
      <c r="AT9" s="138">
        <f>52629202+178132000+169053000</f>
        <v>399814202</v>
      </c>
      <c r="AU9" s="138">
        <v>216948000</v>
      </c>
      <c r="AV9" s="138">
        <v>72041000</v>
      </c>
      <c r="AW9" s="130"/>
      <c r="AX9" s="130"/>
      <c r="AY9" s="130"/>
      <c r="AZ9" s="130"/>
      <c r="BA9" s="130"/>
      <c r="BB9" s="130"/>
      <c r="BC9" s="130"/>
      <c r="BD9" s="130"/>
      <c r="BE9" s="130"/>
      <c r="BF9" s="138">
        <f t="shared" si="0"/>
        <v>399814202</v>
      </c>
      <c r="BG9" s="138">
        <f t="shared" si="1"/>
        <v>216948000</v>
      </c>
      <c r="BH9" s="138">
        <f t="shared" si="2"/>
        <v>72041000</v>
      </c>
      <c r="BI9" s="268" t="s">
        <v>0</v>
      </c>
    </row>
    <row r="10" spans="1:62" s="151" customFormat="1" ht="84.75" customHeight="1">
      <c r="A10" s="139">
        <v>304</v>
      </c>
      <c r="B10" s="140" t="s">
        <v>58</v>
      </c>
      <c r="C10" s="139">
        <v>4</v>
      </c>
      <c r="D10" s="140" t="s">
        <v>59</v>
      </c>
      <c r="E10" s="139">
        <v>45</v>
      </c>
      <c r="F10" s="140" t="s">
        <v>60</v>
      </c>
      <c r="G10" s="139">
        <v>4502</v>
      </c>
      <c r="H10" s="140" t="s">
        <v>78</v>
      </c>
      <c r="I10" s="139">
        <v>4502</v>
      </c>
      <c r="J10" s="140" t="s">
        <v>79</v>
      </c>
      <c r="K10" s="140" t="s">
        <v>80</v>
      </c>
      <c r="L10" s="139" t="s">
        <v>61</v>
      </c>
      <c r="M10" s="140" t="s">
        <v>81</v>
      </c>
      <c r="N10" s="139">
        <v>4502033</v>
      </c>
      <c r="O10" s="140" t="s">
        <v>82</v>
      </c>
      <c r="P10" s="139" t="s">
        <v>61</v>
      </c>
      <c r="Q10" s="142" t="s">
        <v>83</v>
      </c>
      <c r="R10" s="144">
        <v>450203300</v>
      </c>
      <c r="S10" s="142" t="s">
        <v>84</v>
      </c>
      <c r="T10" s="143" t="s">
        <v>69</v>
      </c>
      <c r="U10" s="137">
        <v>1</v>
      </c>
      <c r="V10" s="137"/>
      <c r="W10" s="137">
        <f t="shared" si="3"/>
        <v>1</v>
      </c>
      <c r="X10" s="137">
        <v>1</v>
      </c>
      <c r="Y10" s="146">
        <v>2020003630005</v>
      </c>
      <c r="Z10" s="140" t="s">
        <v>85</v>
      </c>
      <c r="AA10" s="140" t="s">
        <v>86</v>
      </c>
      <c r="AB10" s="130"/>
      <c r="AC10" s="130"/>
      <c r="AD10" s="130"/>
      <c r="AE10" s="130"/>
      <c r="AF10" s="130"/>
      <c r="AG10" s="130"/>
      <c r="AH10" s="130"/>
      <c r="AI10" s="130"/>
      <c r="AJ10" s="130"/>
      <c r="AK10" s="130"/>
      <c r="AL10" s="130"/>
      <c r="AM10" s="130"/>
      <c r="AN10" s="130"/>
      <c r="AO10" s="130"/>
      <c r="AP10" s="130"/>
      <c r="AQ10" s="130"/>
      <c r="AR10" s="130"/>
      <c r="AS10" s="130"/>
      <c r="AT10" s="131">
        <f>43295000+15537000+24616000</f>
        <v>83448000</v>
      </c>
      <c r="AU10" s="131">
        <v>46524000</v>
      </c>
      <c r="AV10" s="131">
        <v>25916000</v>
      </c>
      <c r="AW10" s="130"/>
      <c r="AX10" s="130"/>
      <c r="AY10" s="130"/>
      <c r="AZ10" s="130"/>
      <c r="BA10" s="130"/>
      <c r="BB10" s="130"/>
      <c r="BC10" s="130"/>
      <c r="BD10" s="130"/>
      <c r="BE10" s="130"/>
      <c r="BF10" s="138">
        <f t="shared" si="0"/>
        <v>83448000</v>
      </c>
      <c r="BG10" s="138">
        <f t="shared" si="1"/>
        <v>46524000</v>
      </c>
      <c r="BH10" s="138">
        <f t="shared" si="2"/>
        <v>25916000</v>
      </c>
      <c r="BI10" s="268" t="s">
        <v>0</v>
      </c>
    </row>
    <row r="11" spans="1:62" s="151" customFormat="1" ht="72.75" customHeight="1">
      <c r="A11" s="146">
        <v>304</v>
      </c>
      <c r="B11" s="257" t="s">
        <v>58</v>
      </c>
      <c r="C11" s="146">
        <v>4</v>
      </c>
      <c r="D11" s="141" t="s">
        <v>59</v>
      </c>
      <c r="E11" s="146">
        <v>45</v>
      </c>
      <c r="F11" s="141" t="s">
        <v>60</v>
      </c>
      <c r="G11" s="143" t="s">
        <v>61</v>
      </c>
      <c r="H11" s="141" t="s">
        <v>62</v>
      </c>
      <c r="I11" s="146">
        <v>4599</v>
      </c>
      <c r="J11" s="141" t="s">
        <v>63</v>
      </c>
      <c r="K11" s="141" t="s">
        <v>64</v>
      </c>
      <c r="L11" s="143" t="s">
        <v>61</v>
      </c>
      <c r="M11" s="141" t="s">
        <v>65</v>
      </c>
      <c r="N11" s="146">
        <v>4599023</v>
      </c>
      <c r="O11" s="141" t="s">
        <v>66</v>
      </c>
      <c r="P11" s="143" t="s">
        <v>61</v>
      </c>
      <c r="Q11" s="142" t="s">
        <v>67</v>
      </c>
      <c r="R11" s="146">
        <v>459902300</v>
      </c>
      <c r="S11" s="142" t="s">
        <v>68</v>
      </c>
      <c r="T11" s="143" t="s">
        <v>69</v>
      </c>
      <c r="U11" s="129">
        <v>1</v>
      </c>
      <c r="V11" s="133"/>
      <c r="W11" s="129">
        <f t="shared" ref="W11" si="4">SUM(U11:V11)</f>
        <v>1</v>
      </c>
      <c r="X11" s="129"/>
      <c r="Y11" s="146">
        <v>2022003630011</v>
      </c>
      <c r="Z11" s="141" t="s">
        <v>1431</v>
      </c>
      <c r="AA11" s="141" t="s">
        <v>1432</v>
      </c>
      <c r="AB11" s="130"/>
      <c r="AC11" s="130"/>
      <c r="AD11" s="130"/>
      <c r="AE11" s="130"/>
      <c r="AF11" s="130"/>
      <c r="AG11" s="130"/>
      <c r="AH11" s="130"/>
      <c r="AI11" s="130"/>
      <c r="AJ11" s="130"/>
      <c r="AK11" s="130"/>
      <c r="AL11" s="130"/>
      <c r="AM11" s="130"/>
      <c r="AN11" s="130"/>
      <c r="AO11" s="130"/>
      <c r="AP11" s="130"/>
      <c r="AQ11" s="130"/>
      <c r="AR11" s="130"/>
      <c r="AS11" s="130"/>
      <c r="AT11" s="131"/>
      <c r="AU11" s="131"/>
      <c r="AV11" s="131"/>
      <c r="AW11" s="130"/>
      <c r="AX11" s="130"/>
      <c r="AY11" s="130"/>
      <c r="AZ11" s="130">
        <v>9400000000</v>
      </c>
      <c r="BA11" s="130">
        <v>4077257730</v>
      </c>
      <c r="BB11" s="130"/>
      <c r="BC11" s="258"/>
      <c r="BD11" s="258"/>
      <c r="BE11" s="258"/>
      <c r="BF11" s="138">
        <f t="shared" si="0"/>
        <v>9400000000</v>
      </c>
      <c r="BG11" s="138">
        <f t="shared" si="1"/>
        <v>4077257730</v>
      </c>
      <c r="BH11" s="138">
        <f t="shared" si="2"/>
        <v>0</v>
      </c>
      <c r="BI11" s="268" t="s">
        <v>0</v>
      </c>
      <c r="BJ11" s="259"/>
    </row>
    <row r="12" spans="1:62" s="151" customFormat="1" ht="63.75">
      <c r="A12" s="146">
        <v>305</v>
      </c>
      <c r="B12" s="261" t="s">
        <v>87</v>
      </c>
      <c r="C12" s="146">
        <v>4</v>
      </c>
      <c r="D12" s="261" t="s">
        <v>59</v>
      </c>
      <c r="E12" s="146">
        <v>45</v>
      </c>
      <c r="F12" s="261" t="s">
        <v>60</v>
      </c>
      <c r="G12" s="146">
        <v>4502</v>
      </c>
      <c r="H12" s="261" t="s">
        <v>78</v>
      </c>
      <c r="I12" s="146">
        <v>4502</v>
      </c>
      <c r="J12" s="261" t="s">
        <v>79</v>
      </c>
      <c r="K12" s="261" t="s">
        <v>88</v>
      </c>
      <c r="L12" s="146" t="s">
        <v>61</v>
      </c>
      <c r="M12" s="269" t="s">
        <v>89</v>
      </c>
      <c r="N12" s="146">
        <v>4502001</v>
      </c>
      <c r="O12" s="261" t="s">
        <v>90</v>
      </c>
      <c r="P12" s="146" t="s">
        <v>61</v>
      </c>
      <c r="Q12" s="270" t="s">
        <v>91</v>
      </c>
      <c r="R12" s="271" t="s">
        <v>1426</v>
      </c>
      <c r="S12" s="261" t="s">
        <v>92</v>
      </c>
      <c r="T12" s="146" t="s">
        <v>69</v>
      </c>
      <c r="U12" s="146">
        <v>1</v>
      </c>
      <c r="V12" s="272"/>
      <c r="W12" s="137">
        <f t="shared" si="3"/>
        <v>1</v>
      </c>
      <c r="X12" s="137"/>
      <c r="Y12" s="146">
        <v>2020003630042</v>
      </c>
      <c r="Z12" s="261" t="s">
        <v>93</v>
      </c>
      <c r="AA12" s="261" t="s">
        <v>94</v>
      </c>
      <c r="AB12" s="273"/>
      <c r="AC12" s="273"/>
      <c r="AD12" s="273"/>
      <c r="AE12" s="273"/>
      <c r="AF12" s="273"/>
      <c r="AG12" s="273"/>
      <c r="AH12" s="273"/>
      <c r="AI12" s="273"/>
      <c r="AJ12" s="273"/>
      <c r="AK12" s="273"/>
      <c r="AL12" s="273"/>
      <c r="AM12" s="273"/>
      <c r="AN12" s="273"/>
      <c r="AO12" s="273"/>
      <c r="AP12" s="273"/>
      <c r="AQ12" s="273"/>
      <c r="AR12" s="273"/>
      <c r="AS12" s="273"/>
      <c r="AT12" s="136">
        <v>140000000</v>
      </c>
      <c r="AU12" s="136"/>
      <c r="AV12" s="136"/>
      <c r="AW12" s="273"/>
      <c r="AX12" s="273"/>
      <c r="AY12" s="273"/>
      <c r="AZ12" s="273"/>
      <c r="BA12" s="273"/>
      <c r="BB12" s="273"/>
      <c r="BC12" s="273"/>
      <c r="BD12" s="273"/>
      <c r="BE12" s="273"/>
      <c r="BF12" s="138">
        <f t="shared" si="0"/>
        <v>140000000</v>
      </c>
      <c r="BG12" s="138">
        <f t="shared" si="1"/>
        <v>0</v>
      </c>
      <c r="BH12" s="138">
        <f t="shared" si="2"/>
        <v>0</v>
      </c>
      <c r="BI12" s="261" t="s">
        <v>15</v>
      </c>
    </row>
    <row r="13" spans="1:62" s="151" customFormat="1" ht="72.75" customHeight="1">
      <c r="A13" s="146">
        <v>305</v>
      </c>
      <c r="B13" s="261" t="s">
        <v>87</v>
      </c>
      <c r="C13" s="146">
        <v>4</v>
      </c>
      <c r="D13" s="261" t="s">
        <v>59</v>
      </c>
      <c r="E13" s="146">
        <v>45</v>
      </c>
      <c r="F13" s="261" t="s">
        <v>60</v>
      </c>
      <c r="G13" s="146">
        <v>4502</v>
      </c>
      <c r="H13" s="261" t="s">
        <v>78</v>
      </c>
      <c r="I13" s="146">
        <v>4502</v>
      </c>
      <c r="J13" s="261" t="s">
        <v>79</v>
      </c>
      <c r="K13" s="261" t="s">
        <v>80</v>
      </c>
      <c r="L13" s="146" t="s">
        <v>61</v>
      </c>
      <c r="M13" s="269" t="s">
        <v>95</v>
      </c>
      <c r="N13" s="146">
        <v>4502001</v>
      </c>
      <c r="O13" s="261" t="s">
        <v>90</v>
      </c>
      <c r="P13" s="146" t="s">
        <v>61</v>
      </c>
      <c r="Q13" s="270" t="s">
        <v>96</v>
      </c>
      <c r="R13" s="271" t="s">
        <v>1427</v>
      </c>
      <c r="S13" s="261" t="s">
        <v>97</v>
      </c>
      <c r="T13" s="146" t="s">
        <v>69</v>
      </c>
      <c r="U13" s="146">
        <v>12</v>
      </c>
      <c r="V13" s="272"/>
      <c r="W13" s="137">
        <f t="shared" si="3"/>
        <v>12</v>
      </c>
      <c r="X13" s="137"/>
      <c r="Y13" s="146">
        <v>2020003630043</v>
      </c>
      <c r="Z13" s="261" t="s">
        <v>98</v>
      </c>
      <c r="AA13" s="261" t="s">
        <v>99</v>
      </c>
      <c r="AB13" s="273"/>
      <c r="AC13" s="273"/>
      <c r="AD13" s="273"/>
      <c r="AE13" s="273"/>
      <c r="AF13" s="273"/>
      <c r="AG13" s="273"/>
      <c r="AH13" s="273"/>
      <c r="AI13" s="273"/>
      <c r="AJ13" s="273"/>
      <c r="AK13" s="273"/>
      <c r="AL13" s="273"/>
      <c r="AM13" s="273"/>
      <c r="AN13" s="273"/>
      <c r="AO13" s="273"/>
      <c r="AP13" s="273"/>
      <c r="AQ13" s="273"/>
      <c r="AR13" s="273"/>
      <c r="AS13" s="273"/>
      <c r="AT13" s="136">
        <f>35000000+20000000</f>
        <v>55000000</v>
      </c>
      <c r="AU13" s="136">
        <v>9600000</v>
      </c>
      <c r="AV13" s="136">
        <v>6400000</v>
      </c>
      <c r="AW13" s="273"/>
      <c r="AX13" s="273"/>
      <c r="AY13" s="273"/>
      <c r="AZ13" s="273"/>
      <c r="BA13" s="273"/>
      <c r="BB13" s="273"/>
      <c r="BC13" s="273"/>
      <c r="BD13" s="273"/>
      <c r="BE13" s="273"/>
      <c r="BF13" s="138">
        <f t="shared" si="0"/>
        <v>55000000</v>
      </c>
      <c r="BG13" s="138">
        <f t="shared" si="1"/>
        <v>9600000</v>
      </c>
      <c r="BH13" s="138">
        <f t="shared" si="2"/>
        <v>6400000</v>
      </c>
      <c r="BI13" s="261" t="s">
        <v>15</v>
      </c>
    </row>
    <row r="14" spans="1:62" s="151" customFormat="1" ht="89.25">
      <c r="A14" s="146">
        <v>305</v>
      </c>
      <c r="B14" s="261" t="s">
        <v>87</v>
      </c>
      <c r="C14" s="146">
        <v>4</v>
      </c>
      <c r="D14" s="261" t="s">
        <v>59</v>
      </c>
      <c r="E14" s="146">
        <v>45</v>
      </c>
      <c r="F14" s="261" t="s">
        <v>60</v>
      </c>
      <c r="G14" s="146" t="s">
        <v>61</v>
      </c>
      <c r="H14" s="261" t="s">
        <v>62</v>
      </c>
      <c r="I14" s="146">
        <v>4599</v>
      </c>
      <c r="J14" s="261" t="s">
        <v>63</v>
      </c>
      <c r="K14" s="261" t="s">
        <v>64</v>
      </c>
      <c r="L14" s="146" t="s">
        <v>61</v>
      </c>
      <c r="M14" s="269" t="s">
        <v>100</v>
      </c>
      <c r="N14" s="146">
        <v>4599018</v>
      </c>
      <c r="O14" s="261" t="s">
        <v>101</v>
      </c>
      <c r="P14" s="146" t="s">
        <v>61</v>
      </c>
      <c r="Q14" s="270" t="s">
        <v>102</v>
      </c>
      <c r="R14" s="271" t="s">
        <v>1428</v>
      </c>
      <c r="S14" s="261" t="s">
        <v>103</v>
      </c>
      <c r="T14" s="146" t="s">
        <v>104</v>
      </c>
      <c r="U14" s="146">
        <v>5</v>
      </c>
      <c r="V14" s="272"/>
      <c r="W14" s="137">
        <f t="shared" si="3"/>
        <v>5</v>
      </c>
      <c r="X14" s="137">
        <v>5</v>
      </c>
      <c r="Y14" s="146">
        <v>2020003630044</v>
      </c>
      <c r="Z14" s="261" t="s">
        <v>105</v>
      </c>
      <c r="AA14" s="261" t="s">
        <v>106</v>
      </c>
      <c r="AB14" s="273"/>
      <c r="AC14" s="273"/>
      <c r="AD14" s="273"/>
      <c r="AE14" s="273"/>
      <c r="AF14" s="273"/>
      <c r="AG14" s="273"/>
      <c r="AH14" s="273"/>
      <c r="AI14" s="273"/>
      <c r="AJ14" s="273"/>
      <c r="AK14" s="273"/>
      <c r="AL14" s="273"/>
      <c r="AM14" s="273"/>
      <c r="AN14" s="273"/>
      <c r="AO14" s="273"/>
      <c r="AP14" s="273"/>
      <c r="AQ14" s="273"/>
      <c r="AR14" s="273"/>
      <c r="AS14" s="273"/>
      <c r="AT14" s="136">
        <f>151334750+20000000+20000000</f>
        <v>191334750</v>
      </c>
      <c r="AU14" s="136">
        <v>49950000</v>
      </c>
      <c r="AV14" s="136">
        <v>26300000</v>
      </c>
      <c r="AW14" s="273"/>
      <c r="AX14" s="273"/>
      <c r="AY14" s="273"/>
      <c r="AZ14" s="273"/>
      <c r="BA14" s="273"/>
      <c r="BB14" s="273"/>
      <c r="BC14" s="273"/>
      <c r="BD14" s="273"/>
      <c r="BE14" s="273"/>
      <c r="BF14" s="138">
        <f t="shared" si="0"/>
        <v>191334750</v>
      </c>
      <c r="BG14" s="138">
        <f t="shared" si="1"/>
        <v>49950000</v>
      </c>
      <c r="BH14" s="138">
        <f t="shared" si="2"/>
        <v>26300000</v>
      </c>
      <c r="BI14" s="261" t="s">
        <v>15</v>
      </c>
    </row>
    <row r="15" spans="1:62" s="151" customFormat="1" ht="86.25" customHeight="1">
      <c r="A15" s="146">
        <v>305</v>
      </c>
      <c r="B15" s="269" t="s">
        <v>87</v>
      </c>
      <c r="C15" s="146">
        <v>4</v>
      </c>
      <c r="D15" s="269" t="s">
        <v>59</v>
      </c>
      <c r="E15" s="146">
        <v>45</v>
      </c>
      <c r="F15" s="269" t="s">
        <v>60</v>
      </c>
      <c r="G15" s="146" t="s">
        <v>61</v>
      </c>
      <c r="H15" s="261" t="s">
        <v>62</v>
      </c>
      <c r="I15" s="146">
        <v>4599</v>
      </c>
      <c r="J15" s="261" t="s">
        <v>63</v>
      </c>
      <c r="K15" s="261" t="s">
        <v>64</v>
      </c>
      <c r="L15" s="146" t="s">
        <v>61</v>
      </c>
      <c r="M15" s="269" t="s">
        <v>107</v>
      </c>
      <c r="N15" s="146">
        <v>4599025</v>
      </c>
      <c r="O15" s="261" t="s">
        <v>108</v>
      </c>
      <c r="P15" s="146" t="s">
        <v>61</v>
      </c>
      <c r="Q15" s="270" t="s">
        <v>109</v>
      </c>
      <c r="R15" s="271" t="s">
        <v>1429</v>
      </c>
      <c r="S15" s="261" t="s">
        <v>110</v>
      </c>
      <c r="T15" s="146" t="s">
        <v>104</v>
      </c>
      <c r="U15" s="146">
        <v>1</v>
      </c>
      <c r="V15" s="272"/>
      <c r="W15" s="137">
        <f t="shared" si="3"/>
        <v>1</v>
      </c>
      <c r="X15" s="137">
        <v>0.25</v>
      </c>
      <c r="Y15" s="146">
        <v>2020003630045</v>
      </c>
      <c r="Z15" s="261" t="s">
        <v>111</v>
      </c>
      <c r="AA15" s="261" t="s">
        <v>112</v>
      </c>
      <c r="AB15" s="273"/>
      <c r="AC15" s="273"/>
      <c r="AD15" s="273"/>
      <c r="AE15" s="273"/>
      <c r="AF15" s="273"/>
      <c r="AG15" s="273"/>
      <c r="AH15" s="273"/>
      <c r="AI15" s="273"/>
      <c r="AJ15" s="273"/>
      <c r="AK15" s="273"/>
      <c r="AL15" s="273"/>
      <c r="AM15" s="273"/>
      <c r="AN15" s="273"/>
      <c r="AO15" s="273"/>
      <c r="AP15" s="273"/>
      <c r="AQ15" s="273"/>
      <c r="AR15" s="273"/>
      <c r="AS15" s="273"/>
      <c r="AT15" s="136">
        <v>71317200</v>
      </c>
      <c r="AU15" s="136">
        <v>30826667</v>
      </c>
      <c r="AV15" s="136">
        <v>19200000</v>
      </c>
      <c r="AW15" s="273"/>
      <c r="AX15" s="273"/>
      <c r="AY15" s="273"/>
      <c r="AZ15" s="273"/>
      <c r="BA15" s="273"/>
      <c r="BB15" s="273"/>
      <c r="BC15" s="273"/>
      <c r="BD15" s="273"/>
      <c r="BE15" s="273"/>
      <c r="BF15" s="138">
        <f t="shared" si="0"/>
        <v>71317200</v>
      </c>
      <c r="BG15" s="138">
        <f t="shared" si="1"/>
        <v>30826667</v>
      </c>
      <c r="BH15" s="138">
        <f t="shared" si="2"/>
        <v>19200000</v>
      </c>
      <c r="BI15" s="261" t="s">
        <v>15</v>
      </c>
    </row>
    <row r="16" spans="1:62" s="151" customFormat="1" ht="86.25" customHeight="1">
      <c r="A16" s="146">
        <v>305</v>
      </c>
      <c r="B16" s="269" t="s">
        <v>87</v>
      </c>
      <c r="C16" s="146">
        <v>4</v>
      </c>
      <c r="D16" s="269" t="s">
        <v>59</v>
      </c>
      <c r="E16" s="146">
        <v>45</v>
      </c>
      <c r="F16" s="269" t="s">
        <v>60</v>
      </c>
      <c r="G16" s="146" t="s">
        <v>61</v>
      </c>
      <c r="H16" s="261" t="s">
        <v>62</v>
      </c>
      <c r="I16" s="146">
        <v>4599</v>
      </c>
      <c r="J16" s="261" t="s">
        <v>63</v>
      </c>
      <c r="K16" s="261" t="s">
        <v>64</v>
      </c>
      <c r="L16" s="146" t="s">
        <v>61</v>
      </c>
      <c r="M16" s="269" t="s">
        <v>113</v>
      </c>
      <c r="N16" s="146">
        <v>4599025</v>
      </c>
      <c r="O16" s="261" t="s">
        <v>108</v>
      </c>
      <c r="P16" s="146" t="s">
        <v>61</v>
      </c>
      <c r="Q16" s="270" t="s">
        <v>114</v>
      </c>
      <c r="R16" s="146">
        <v>459902500</v>
      </c>
      <c r="S16" s="261" t="s">
        <v>110</v>
      </c>
      <c r="T16" s="146" t="s">
        <v>104</v>
      </c>
      <c r="U16" s="146">
        <v>1</v>
      </c>
      <c r="V16" s="272"/>
      <c r="W16" s="137">
        <f t="shared" si="3"/>
        <v>1</v>
      </c>
      <c r="X16" s="137">
        <v>0.25</v>
      </c>
      <c r="Y16" s="146">
        <v>2020003630046</v>
      </c>
      <c r="Z16" s="261" t="s">
        <v>115</v>
      </c>
      <c r="AA16" s="261" t="s">
        <v>116</v>
      </c>
      <c r="AB16" s="273"/>
      <c r="AC16" s="273"/>
      <c r="AD16" s="273"/>
      <c r="AE16" s="273"/>
      <c r="AF16" s="273"/>
      <c r="AG16" s="273"/>
      <c r="AH16" s="273"/>
      <c r="AI16" s="273"/>
      <c r="AJ16" s="273"/>
      <c r="AK16" s="273"/>
      <c r="AL16" s="273"/>
      <c r="AM16" s="273"/>
      <c r="AN16" s="273"/>
      <c r="AO16" s="273"/>
      <c r="AP16" s="273"/>
      <c r="AQ16" s="273"/>
      <c r="AR16" s="273"/>
      <c r="AS16" s="273"/>
      <c r="AT16" s="148">
        <f>293230700+160000000</f>
        <v>453230700</v>
      </c>
      <c r="AU16" s="148">
        <v>154320000</v>
      </c>
      <c r="AV16" s="148">
        <v>55000000</v>
      </c>
      <c r="AW16" s="273"/>
      <c r="AX16" s="273"/>
      <c r="AY16" s="273"/>
      <c r="AZ16" s="273"/>
      <c r="BA16" s="273"/>
      <c r="BB16" s="273"/>
      <c r="BC16" s="273"/>
      <c r="BD16" s="273"/>
      <c r="BE16" s="273"/>
      <c r="BF16" s="138">
        <f t="shared" si="0"/>
        <v>453230700</v>
      </c>
      <c r="BG16" s="138">
        <f t="shared" si="1"/>
        <v>154320000</v>
      </c>
      <c r="BH16" s="138">
        <f t="shared" si="2"/>
        <v>55000000</v>
      </c>
      <c r="BI16" s="261" t="s">
        <v>15</v>
      </c>
    </row>
    <row r="17" spans="1:62" s="151" customFormat="1" ht="61.5" customHeight="1">
      <c r="A17" s="146">
        <v>305</v>
      </c>
      <c r="B17" s="269" t="s">
        <v>87</v>
      </c>
      <c r="C17" s="146">
        <v>4</v>
      </c>
      <c r="D17" s="269" t="s">
        <v>59</v>
      </c>
      <c r="E17" s="146">
        <v>45</v>
      </c>
      <c r="F17" s="269" t="s">
        <v>60</v>
      </c>
      <c r="G17" s="146" t="s">
        <v>61</v>
      </c>
      <c r="H17" s="261" t="s">
        <v>62</v>
      </c>
      <c r="I17" s="146">
        <v>4599</v>
      </c>
      <c r="J17" s="261" t="s">
        <v>63</v>
      </c>
      <c r="K17" s="261" t="s">
        <v>117</v>
      </c>
      <c r="L17" s="146" t="s">
        <v>61</v>
      </c>
      <c r="M17" s="269" t="s">
        <v>118</v>
      </c>
      <c r="N17" s="146">
        <v>4599031</v>
      </c>
      <c r="O17" s="261" t="s">
        <v>119</v>
      </c>
      <c r="P17" s="146" t="s">
        <v>61</v>
      </c>
      <c r="Q17" s="270" t="s">
        <v>120</v>
      </c>
      <c r="R17" s="146">
        <v>459903101</v>
      </c>
      <c r="S17" s="261" t="s">
        <v>121</v>
      </c>
      <c r="T17" s="146" t="s">
        <v>104</v>
      </c>
      <c r="U17" s="146">
        <v>12</v>
      </c>
      <c r="V17" s="272"/>
      <c r="W17" s="137">
        <f t="shared" si="3"/>
        <v>12</v>
      </c>
      <c r="X17" s="137">
        <v>12</v>
      </c>
      <c r="Y17" s="146">
        <v>2020003630047</v>
      </c>
      <c r="Z17" s="261" t="s">
        <v>122</v>
      </c>
      <c r="AA17" s="261" t="s">
        <v>123</v>
      </c>
      <c r="AB17" s="273"/>
      <c r="AC17" s="273"/>
      <c r="AD17" s="273"/>
      <c r="AE17" s="273"/>
      <c r="AF17" s="273"/>
      <c r="AG17" s="273"/>
      <c r="AH17" s="273"/>
      <c r="AI17" s="273"/>
      <c r="AJ17" s="273"/>
      <c r="AK17" s="273"/>
      <c r="AL17" s="273"/>
      <c r="AM17" s="273"/>
      <c r="AN17" s="273"/>
      <c r="AO17" s="273"/>
      <c r="AP17" s="273"/>
      <c r="AQ17" s="273"/>
      <c r="AR17" s="273"/>
      <c r="AS17" s="273"/>
      <c r="AT17" s="136">
        <v>37080000</v>
      </c>
      <c r="AU17" s="136">
        <v>12000000</v>
      </c>
      <c r="AV17" s="136">
        <v>4000000</v>
      </c>
      <c r="AW17" s="273"/>
      <c r="AX17" s="273"/>
      <c r="AY17" s="273"/>
      <c r="AZ17" s="273"/>
      <c r="BA17" s="273"/>
      <c r="BB17" s="273"/>
      <c r="BC17" s="273"/>
      <c r="BD17" s="273"/>
      <c r="BE17" s="273"/>
      <c r="BF17" s="138">
        <f t="shared" si="0"/>
        <v>37080000</v>
      </c>
      <c r="BG17" s="138">
        <f t="shared" si="1"/>
        <v>12000000</v>
      </c>
      <c r="BH17" s="138">
        <f t="shared" si="2"/>
        <v>4000000</v>
      </c>
      <c r="BI17" s="261" t="s">
        <v>15</v>
      </c>
    </row>
    <row r="18" spans="1:62" s="151" customFormat="1" ht="61.5" customHeight="1">
      <c r="A18" s="146">
        <v>305</v>
      </c>
      <c r="B18" s="269" t="s">
        <v>87</v>
      </c>
      <c r="C18" s="146">
        <v>4</v>
      </c>
      <c r="D18" s="269" t="s">
        <v>59</v>
      </c>
      <c r="E18" s="146">
        <v>45</v>
      </c>
      <c r="F18" s="269" t="s">
        <v>60</v>
      </c>
      <c r="G18" s="146" t="s">
        <v>61</v>
      </c>
      <c r="H18" s="261" t="s">
        <v>62</v>
      </c>
      <c r="I18" s="146">
        <v>4599</v>
      </c>
      <c r="J18" s="261" t="s">
        <v>63</v>
      </c>
      <c r="K18" s="261" t="s">
        <v>117</v>
      </c>
      <c r="L18" s="146" t="s">
        <v>61</v>
      </c>
      <c r="M18" s="269" t="s">
        <v>124</v>
      </c>
      <c r="N18" s="146">
        <v>4599031</v>
      </c>
      <c r="O18" s="261" t="s">
        <v>119</v>
      </c>
      <c r="P18" s="146" t="s">
        <v>61</v>
      </c>
      <c r="Q18" s="270" t="s">
        <v>125</v>
      </c>
      <c r="R18" s="146">
        <v>459903101</v>
      </c>
      <c r="S18" s="261" t="s">
        <v>121</v>
      </c>
      <c r="T18" s="146" t="s">
        <v>104</v>
      </c>
      <c r="U18" s="146">
        <v>12</v>
      </c>
      <c r="V18" s="272"/>
      <c r="W18" s="137">
        <f t="shared" si="3"/>
        <v>12</v>
      </c>
      <c r="X18" s="137">
        <v>12</v>
      </c>
      <c r="Y18" s="146">
        <v>2020003630047</v>
      </c>
      <c r="Z18" s="261" t="s">
        <v>122</v>
      </c>
      <c r="AA18" s="261" t="s">
        <v>123</v>
      </c>
      <c r="AB18" s="273"/>
      <c r="AC18" s="273"/>
      <c r="AD18" s="273"/>
      <c r="AE18" s="273"/>
      <c r="AF18" s="273"/>
      <c r="AG18" s="273"/>
      <c r="AH18" s="273"/>
      <c r="AI18" s="273"/>
      <c r="AJ18" s="273"/>
      <c r="AK18" s="273"/>
      <c r="AL18" s="273"/>
      <c r="AM18" s="273"/>
      <c r="AN18" s="273"/>
      <c r="AO18" s="273"/>
      <c r="AP18" s="273"/>
      <c r="AQ18" s="273"/>
      <c r="AR18" s="273"/>
      <c r="AS18" s="273"/>
      <c r="AT18" s="136">
        <v>30591000</v>
      </c>
      <c r="AU18" s="136">
        <v>11626667</v>
      </c>
      <c r="AV18" s="136">
        <v>6400000</v>
      </c>
      <c r="AW18" s="273"/>
      <c r="AX18" s="273"/>
      <c r="AY18" s="273"/>
      <c r="AZ18" s="273"/>
      <c r="BA18" s="273"/>
      <c r="BB18" s="273"/>
      <c r="BC18" s="273"/>
      <c r="BD18" s="273"/>
      <c r="BE18" s="273"/>
      <c r="BF18" s="138">
        <f t="shared" si="0"/>
        <v>30591000</v>
      </c>
      <c r="BG18" s="138">
        <f t="shared" si="1"/>
        <v>11626667</v>
      </c>
      <c r="BH18" s="138">
        <f t="shared" si="2"/>
        <v>6400000</v>
      </c>
      <c r="BI18" s="261" t="s">
        <v>15</v>
      </c>
    </row>
    <row r="19" spans="1:62" s="151" customFormat="1" ht="61.5" customHeight="1">
      <c r="A19" s="146">
        <v>305</v>
      </c>
      <c r="B19" s="269" t="s">
        <v>87</v>
      </c>
      <c r="C19" s="146">
        <v>4</v>
      </c>
      <c r="D19" s="269" t="s">
        <v>59</v>
      </c>
      <c r="E19" s="146">
        <v>45</v>
      </c>
      <c r="F19" s="269" t="s">
        <v>60</v>
      </c>
      <c r="G19" s="146" t="s">
        <v>61</v>
      </c>
      <c r="H19" s="261" t="s">
        <v>62</v>
      </c>
      <c r="I19" s="146">
        <v>4599</v>
      </c>
      <c r="J19" s="261" t="s">
        <v>63</v>
      </c>
      <c r="K19" s="261" t="s">
        <v>117</v>
      </c>
      <c r="L19" s="146" t="s">
        <v>61</v>
      </c>
      <c r="M19" s="269" t="s">
        <v>126</v>
      </c>
      <c r="N19" s="146">
        <v>4599031</v>
      </c>
      <c r="O19" s="261" t="s">
        <v>119</v>
      </c>
      <c r="P19" s="146" t="s">
        <v>61</v>
      </c>
      <c r="Q19" s="270" t="s">
        <v>127</v>
      </c>
      <c r="R19" s="146">
        <v>459903101</v>
      </c>
      <c r="S19" s="261" t="s">
        <v>121</v>
      </c>
      <c r="T19" s="146" t="s">
        <v>104</v>
      </c>
      <c r="U19" s="146">
        <v>12</v>
      </c>
      <c r="V19" s="272"/>
      <c r="W19" s="137">
        <f t="shared" si="3"/>
        <v>12</v>
      </c>
      <c r="X19" s="137">
        <v>12</v>
      </c>
      <c r="Y19" s="146">
        <v>2020003630047</v>
      </c>
      <c r="Z19" s="261" t="s">
        <v>122</v>
      </c>
      <c r="AA19" s="261" t="s">
        <v>123</v>
      </c>
      <c r="AB19" s="273"/>
      <c r="AC19" s="273"/>
      <c r="AD19" s="273"/>
      <c r="AE19" s="273"/>
      <c r="AF19" s="273"/>
      <c r="AG19" s="273"/>
      <c r="AH19" s="273"/>
      <c r="AI19" s="273"/>
      <c r="AJ19" s="273"/>
      <c r="AK19" s="273"/>
      <c r="AL19" s="273"/>
      <c r="AM19" s="273"/>
      <c r="AN19" s="273"/>
      <c r="AO19" s="273"/>
      <c r="AP19" s="273"/>
      <c r="AQ19" s="273"/>
      <c r="AR19" s="273"/>
      <c r="AS19" s="273"/>
      <c r="AT19" s="136">
        <v>30591000</v>
      </c>
      <c r="AU19" s="136">
        <v>9600000</v>
      </c>
      <c r="AV19" s="136">
        <v>6400000</v>
      </c>
      <c r="AW19" s="273"/>
      <c r="AX19" s="273"/>
      <c r="AY19" s="273"/>
      <c r="AZ19" s="273"/>
      <c r="BA19" s="273"/>
      <c r="BB19" s="273"/>
      <c r="BC19" s="273"/>
      <c r="BD19" s="273"/>
      <c r="BE19" s="273"/>
      <c r="BF19" s="138">
        <f t="shared" si="0"/>
        <v>30591000</v>
      </c>
      <c r="BG19" s="138">
        <f t="shared" si="1"/>
        <v>9600000</v>
      </c>
      <c r="BH19" s="138">
        <f t="shared" si="2"/>
        <v>6400000</v>
      </c>
      <c r="BI19" s="261" t="s">
        <v>15</v>
      </c>
    </row>
    <row r="20" spans="1:62" s="151" customFormat="1" ht="61.5" customHeight="1">
      <c r="A20" s="146">
        <v>305</v>
      </c>
      <c r="B20" s="269" t="s">
        <v>87</v>
      </c>
      <c r="C20" s="146">
        <v>4</v>
      </c>
      <c r="D20" s="269" t="s">
        <v>59</v>
      </c>
      <c r="E20" s="146">
        <v>45</v>
      </c>
      <c r="F20" s="269" t="s">
        <v>60</v>
      </c>
      <c r="G20" s="146" t="s">
        <v>61</v>
      </c>
      <c r="H20" s="261" t="s">
        <v>62</v>
      </c>
      <c r="I20" s="146">
        <v>4599</v>
      </c>
      <c r="J20" s="261" t="s">
        <v>63</v>
      </c>
      <c r="K20" s="261" t="s">
        <v>117</v>
      </c>
      <c r="L20" s="146" t="s">
        <v>61</v>
      </c>
      <c r="M20" s="269" t="s">
        <v>128</v>
      </c>
      <c r="N20" s="146">
        <v>4599031</v>
      </c>
      <c r="O20" s="261" t="s">
        <v>119</v>
      </c>
      <c r="P20" s="146" t="s">
        <v>61</v>
      </c>
      <c r="Q20" s="270" t="s">
        <v>127</v>
      </c>
      <c r="R20" s="146">
        <v>459903101</v>
      </c>
      <c r="S20" s="261" t="s">
        <v>121</v>
      </c>
      <c r="T20" s="146" t="s">
        <v>104</v>
      </c>
      <c r="U20" s="146">
        <v>12</v>
      </c>
      <c r="V20" s="272"/>
      <c r="W20" s="137">
        <f t="shared" si="3"/>
        <v>12</v>
      </c>
      <c r="X20" s="137">
        <v>12</v>
      </c>
      <c r="Y20" s="146">
        <v>2020003630047</v>
      </c>
      <c r="Z20" s="261" t="s">
        <v>122</v>
      </c>
      <c r="AA20" s="261" t="s">
        <v>123</v>
      </c>
      <c r="AB20" s="273"/>
      <c r="AC20" s="273"/>
      <c r="AD20" s="273"/>
      <c r="AE20" s="273"/>
      <c r="AF20" s="273"/>
      <c r="AG20" s="273"/>
      <c r="AH20" s="273"/>
      <c r="AI20" s="273"/>
      <c r="AJ20" s="273"/>
      <c r="AK20" s="273"/>
      <c r="AL20" s="273"/>
      <c r="AM20" s="273"/>
      <c r="AN20" s="273"/>
      <c r="AO20" s="273"/>
      <c r="AP20" s="273"/>
      <c r="AQ20" s="273"/>
      <c r="AR20" s="273"/>
      <c r="AS20" s="273"/>
      <c r="AT20" s="136">
        <v>30591000</v>
      </c>
      <c r="AU20" s="136">
        <v>11626667</v>
      </c>
      <c r="AV20" s="136">
        <v>6400000</v>
      </c>
      <c r="AW20" s="273"/>
      <c r="AX20" s="273"/>
      <c r="AY20" s="273"/>
      <c r="AZ20" s="273"/>
      <c r="BA20" s="273"/>
      <c r="BB20" s="273"/>
      <c r="BC20" s="273"/>
      <c r="BD20" s="273"/>
      <c r="BE20" s="273"/>
      <c r="BF20" s="138">
        <f t="shared" si="0"/>
        <v>30591000</v>
      </c>
      <c r="BG20" s="138">
        <f t="shared" si="1"/>
        <v>11626667</v>
      </c>
      <c r="BH20" s="138">
        <f t="shared" si="2"/>
        <v>6400000</v>
      </c>
      <c r="BI20" s="261" t="s">
        <v>15</v>
      </c>
    </row>
    <row r="21" spans="1:62" s="151" customFormat="1" ht="61.5" customHeight="1">
      <c r="A21" s="146">
        <v>305</v>
      </c>
      <c r="B21" s="269" t="s">
        <v>87</v>
      </c>
      <c r="C21" s="146">
        <v>4</v>
      </c>
      <c r="D21" s="269" t="s">
        <v>59</v>
      </c>
      <c r="E21" s="146">
        <v>45</v>
      </c>
      <c r="F21" s="269" t="s">
        <v>60</v>
      </c>
      <c r="G21" s="146" t="s">
        <v>61</v>
      </c>
      <c r="H21" s="261" t="s">
        <v>62</v>
      </c>
      <c r="I21" s="146">
        <v>4599</v>
      </c>
      <c r="J21" s="261" t="s">
        <v>63</v>
      </c>
      <c r="K21" s="261" t="s">
        <v>117</v>
      </c>
      <c r="L21" s="146" t="s">
        <v>61</v>
      </c>
      <c r="M21" s="269" t="s">
        <v>129</v>
      </c>
      <c r="N21" s="146">
        <v>4599031</v>
      </c>
      <c r="O21" s="261" t="s">
        <v>119</v>
      </c>
      <c r="P21" s="146" t="s">
        <v>61</v>
      </c>
      <c r="Q21" s="270" t="s">
        <v>127</v>
      </c>
      <c r="R21" s="146">
        <v>459903101</v>
      </c>
      <c r="S21" s="261" t="s">
        <v>121</v>
      </c>
      <c r="T21" s="146" t="s">
        <v>104</v>
      </c>
      <c r="U21" s="146">
        <v>12</v>
      </c>
      <c r="V21" s="272"/>
      <c r="W21" s="137">
        <f t="shared" si="3"/>
        <v>12</v>
      </c>
      <c r="X21" s="137">
        <v>12</v>
      </c>
      <c r="Y21" s="146">
        <v>2020003630047</v>
      </c>
      <c r="Z21" s="261" t="s">
        <v>122</v>
      </c>
      <c r="AA21" s="261" t="s">
        <v>123</v>
      </c>
      <c r="AB21" s="273"/>
      <c r="AC21" s="273"/>
      <c r="AD21" s="273"/>
      <c r="AE21" s="273"/>
      <c r="AF21" s="273"/>
      <c r="AG21" s="273"/>
      <c r="AH21" s="273"/>
      <c r="AI21" s="273"/>
      <c r="AJ21" s="273"/>
      <c r="AK21" s="273"/>
      <c r="AL21" s="273"/>
      <c r="AM21" s="273"/>
      <c r="AN21" s="273"/>
      <c r="AO21" s="273"/>
      <c r="AP21" s="273"/>
      <c r="AQ21" s="273"/>
      <c r="AR21" s="273"/>
      <c r="AS21" s="273"/>
      <c r="AT21" s="136">
        <v>30591000</v>
      </c>
      <c r="AU21" s="136">
        <v>17400000</v>
      </c>
      <c r="AV21" s="136">
        <v>6600000</v>
      </c>
      <c r="AW21" s="273"/>
      <c r="AX21" s="273"/>
      <c r="AY21" s="273"/>
      <c r="AZ21" s="273"/>
      <c r="BA21" s="273"/>
      <c r="BB21" s="273"/>
      <c r="BC21" s="273"/>
      <c r="BD21" s="273"/>
      <c r="BE21" s="273"/>
      <c r="BF21" s="138">
        <f t="shared" si="0"/>
        <v>30591000</v>
      </c>
      <c r="BG21" s="138">
        <f t="shared" si="1"/>
        <v>17400000</v>
      </c>
      <c r="BH21" s="138">
        <f t="shared" si="2"/>
        <v>6600000</v>
      </c>
      <c r="BI21" s="261" t="s">
        <v>15</v>
      </c>
    </row>
    <row r="22" spans="1:62" s="151" customFormat="1" ht="61.5" customHeight="1">
      <c r="A22" s="146">
        <v>305</v>
      </c>
      <c r="B22" s="269" t="s">
        <v>87</v>
      </c>
      <c r="C22" s="146">
        <v>4</v>
      </c>
      <c r="D22" s="269" t="s">
        <v>59</v>
      </c>
      <c r="E22" s="146">
        <v>45</v>
      </c>
      <c r="F22" s="269" t="s">
        <v>60</v>
      </c>
      <c r="G22" s="146" t="s">
        <v>61</v>
      </c>
      <c r="H22" s="261" t="s">
        <v>62</v>
      </c>
      <c r="I22" s="146">
        <v>4599</v>
      </c>
      <c r="J22" s="261" t="s">
        <v>63</v>
      </c>
      <c r="K22" s="261" t="s">
        <v>117</v>
      </c>
      <c r="L22" s="146" t="s">
        <v>61</v>
      </c>
      <c r="M22" s="269" t="s">
        <v>130</v>
      </c>
      <c r="N22" s="146">
        <v>4599031</v>
      </c>
      <c r="O22" s="261" t="s">
        <v>119</v>
      </c>
      <c r="P22" s="146" t="s">
        <v>61</v>
      </c>
      <c r="Q22" s="270" t="s">
        <v>127</v>
      </c>
      <c r="R22" s="146">
        <v>459903101</v>
      </c>
      <c r="S22" s="261" t="s">
        <v>121</v>
      </c>
      <c r="T22" s="146" t="s">
        <v>104</v>
      </c>
      <c r="U22" s="146">
        <v>12</v>
      </c>
      <c r="V22" s="272"/>
      <c r="W22" s="137">
        <f t="shared" si="3"/>
        <v>12</v>
      </c>
      <c r="X22" s="137">
        <v>12</v>
      </c>
      <c r="Y22" s="146">
        <v>2020003630047</v>
      </c>
      <c r="Z22" s="261" t="s">
        <v>122</v>
      </c>
      <c r="AA22" s="261" t="s">
        <v>123</v>
      </c>
      <c r="AB22" s="273"/>
      <c r="AC22" s="273"/>
      <c r="AD22" s="273"/>
      <c r="AE22" s="273"/>
      <c r="AF22" s="273"/>
      <c r="AG22" s="273"/>
      <c r="AH22" s="273"/>
      <c r="AI22" s="273"/>
      <c r="AJ22" s="273"/>
      <c r="AK22" s="273"/>
      <c r="AL22" s="273"/>
      <c r="AM22" s="273"/>
      <c r="AN22" s="273"/>
      <c r="AO22" s="273"/>
      <c r="AP22" s="273"/>
      <c r="AQ22" s="273"/>
      <c r="AR22" s="273"/>
      <c r="AS22" s="273"/>
      <c r="AT22" s="136">
        <v>30591000</v>
      </c>
      <c r="AU22" s="136">
        <v>9600000</v>
      </c>
      <c r="AV22" s="136"/>
      <c r="AW22" s="273"/>
      <c r="AX22" s="273"/>
      <c r="AY22" s="273"/>
      <c r="AZ22" s="273"/>
      <c r="BA22" s="273"/>
      <c r="BB22" s="273"/>
      <c r="BC22" s="273"/>
      <c r="BD22" s="273"/>
      <c r="BE22" s="273"/>
      <c r="BF22" s="138">
        <f t="shared" si="0"/>
        <v>30591000</v>
      </c>
      <c r="BG22" s="138">
        <f t="shared" si="1"/>
        <v>9600000</v>
      </c>
      <c r="BH22" s="138">
        <f t="shared" si="2"/>
        <v>0</v>
      </c>
      <c r="BI22" s="261" t="s">
        <v>15</v>
      </c>
    </row>
    <row r="23" spans="1:62" s="151" customFormat="1" ht="61.5" customHeight="1">
      <c r="A23" s="146">
        <v>305</v>
      </c>
      <c r="B23" s="269" t="s">
        <v>87</v>
      </c>
      <c r="C23" s="146">
        <v>4</v>
      </c>
      <c r="D23" s="269" t="s">
        <v>59</v>
      </c>
      <c r="E23" s="146">
        <v>45</v>
      </c>
      <c r="F23" s="269" t="s">
        <v>60</v>
      </c>
      <c r="G23" s="146" t="s">
        <v>61</v>
      </c>
      <c r="H23" s="261" t="s">
        <v>62</v>
      </c>
      <c r="I23" s="146">
        <v>4599</v>
      </c>
      <c r="J23" s="261" t="s">
        <v>63</v>
      </c>
      <c r="K23" s="261" t="s">
        <v>64</v>
      </c>
      <c r="L23" s="146" t="s">
        <v>61</v>
      </c>
      <c r="M23" s="269" t="s">
        <v>65</v>
      </c>
      <c r="N23" s="146">
        <v>4599023</v>
      </c>
      <c r="O23" s="261" t="s">
        <v>131</v>
      </c>
      <c r="P23" s="146" t="s">
        <v>61</v>
      </c>
      <c r="Q23" s="142" t="s">
        <v>67</v>
      </c>
      <c r="R23" s="146">
        <v>459902300</v>
      </c>
      <c r="S23" s="261" t="s">
        <v>68</v>
      </c>
      <c r="T23" s="146" t="s">
        <v>104</v>
      </c>
      <c r="U23" s="146">
        <v>18</v>
      </c>
      <c r="V23" s="272"/>
      <c r="W23" s="137">
        <f t="shared" si="3"/>
        <v>18</v>
      </c>
      <c r="X23" s="137">
        <v>18</v>
      </c>
      <c r="Y23" s="146">
        <v>2020003630008</v>
      </c>
      <c r="Z23" s="261" t="s">
        <v>132</v>
      </c>
      <c r="AA23" s="261" t="s">
        <v>133</v>
      </c>
      <c r="AB23" s="273"/>
      <c r="AC23" s="273"/>
      <c r="AD23" s="273"/>
      <c r="AE23" s="273"/>
      <c r="AF23" s="273"/>
      <c r="AG23" s="273"/>
      <c r="AH23" s="273"/>
      <c r="AI23" s="273"/>
      <c r="AJ23" s="273"/>
      <c r="AK23" s="273"/>
      <c r="AL23" s="273"/>
      <c r="AM23" s="273"/>
      <c r="AN23" s="273"/>
      <c r="AO23" s="273"/>
      <c r="AP23" s="273"/>
      <c r="AQ23" s="273"/>
      <c r="AR23" s="273"/>
      <c r="AS23" s="273"/>
      <c r="AT23" s="136">
        <f>61182000+20000000</f>
        <v>81182000</v>
      </c>
      <c r="AU23" s="136">
        <v>33510000</v>
      </c>
      <c r="AV23" s="136">
        <v>16850000</v>
      </c>
      <c r="AW23" s="273"/>
      <c r="AX23" s="273"/>
      <c r="AY23" s="273"/>
      <c r="AZ23" s="273"/>
      <c r="BA23" s="273"/>
      <c r="BB23" s="273"/>
      <c r="BC23" s="273"/>
      <c r="BD23" s="273"/>
      <c r="BE23" s="273"/>
      <c r="BF23" s="138">
        <f t="shared" si="0"/>
        <v>81182000</v>
      </c>
      <c r="BG23" s="138">
        <f t="shared" si="1"/>
        <v>33510000</v>
      </c>
      <c r="BH23" s="138">
        <f t="shared" si="2"/>
        <v>16850000</v>
      </c>
      <c r="BI23" s="261" t="s">
        <v>15</v>
      </c>
    </row>
    <row r="24" spans="1:62" s="151" customFormat="1" ht="90" customHeight="1">
      <c r="A24" s="139">
        <v>307</v>
      </c>
      <c r="B24" s="140" t="s">
        <v>134</v>
      </c>
      <c r="C24" s="139">
        <v>4</v>
      </c>
      <c r="D24" s="140" t="s">
        <v>59</v>
      </c>
      <c r="E24" s="139">
        <v>45</v>
      </c>
      <c r="F24" s="140" t="s">
        <v>60</v>
      </c>
      <c r="G24" s="139" t="s">
        <v>61</v>
      </c>
      <c r="H24" s="140" t="s">
        <v>62</v>
      </c>
      <c r="I24" s="139">
        <v>4599</v>
      </c>
      <c r="J24" s="140" t="s">
        <v>63</v>
      </c>
      <c r="K24" s="140" t="s">
        <v>135</v>
      </c>
      <c r="L24" s="139" t="s">
        <v>61</v>
      </c>
      <c r="M24" s="274" t="s">
        <v>136</v>
      </c>
      <c r="N24" s="139">
        <v>4599002</v>
      </c>
      <c r="O24" s="274" t="s">
        <v>73</v>
      </c>
      <c r="P24" s="139" t="s">
        <v>61</v>
      </c>
      <c r="Q24" s="142" t="s">
        <v>137</v>
      </c>
      <c r="R24" s="139">
        <v>459900201</v>
      </c>
      <c r="S24" s="142" t="s">
        <v>138</v>
      </c>
      <c r="T24" s="143" t="s">
        <v>69</v>
      </c>
      <c r="U24" s="275">
        <v>1</v>
      </c>
      <c r="V24" s="275"/>
      <c r="W24" s="137">
        <f t="shared" si="3"/>
        <v>1</v>
      </c>
      <c r="X24" s="137">
        <v>0.12</v>
      </c>
      <c r="Y24" s="146">
        <v>2020003630048</v>
      </c>
      <c r="Z24" s="140" t="s">
        <v>139</v>
      </c>
      <c r="AA24" s="140" t="s">
        <v>140</v>
      </c>
      <c r="AB24" s="276"/>
      <c r="AC24" s="276"/>
      <c r="AD24" s="276"/>
      <c r="AE24" s="276"/>
      <c r="AF24" s="276"/>
      <c r="AG24" s="276"/>
      <c r="AH24" s="276"/>
      <c r="AI24" s="276"/>
      <c r="AJ24" s="276"/>
      <c r="AK24" s="276"/>
      <c r="AL24" s="276"/>
      <c r="AM24" s="276"/>
      <c r="AN24" s="276"/>
      <c r="AO24" s="276"/>
      <c r="AP24" s="276"/>
      <c r="AQ24" s="276"/>
      <c r="AR24" s="276"/>
      <c r="AS24" s="276"/>
      <c r="AT24" s="135">
        <f>1313767972+360000000</f>
        <v>1673767972</v>
      </c>
      <c r="AU24" s="135">
        <v>1042520000</v>
      </c>
      <c r="AV24" s="135">
        <v>203173333</v>
      </c>
      <c r="AW24" s="135"/>
      <c r="AX24" s="135"/>
      <c r="AY24" s="135"/>
      <c r="AZ24" s="135"/>
      <c r="BA24" s="135"/>
      <c r="BB24" s="135"/>
      <c r="BC24" s="277">
        <f>250000000+104509532.16+342877095</f>
        <v>697386627.15999997</v>
      </c>
      <c r="BD24" s="277">
        <v>178770667</v>
      </c>
      <c r="BE24" s="277">
        <v>80730667</v>
      </c>
      <c r="BF24" s="138">
        <f t="shared" si="0"/>
        <v>2371154599.1599998</v>
      </c>
      <c r="BG24" s="138">
        <f t="shared" si="1"/>
        <v>1221290667</v>
      </c>
      <c r="BH24" s="138">
        <f t="shared" si="2"/>
        <v>283904000</v>
      </c>
      <c r="BI24" s="141" t="s">
        <v>7</v>
      </c>
    </row>
    <row r="25" spans="1:62" s="151" customFormat="1" ht="84.75" customHeight="1">
      <c r="A25" s="139">
        <v>307</v>
      </c>
      <c r="B25" s="140" t="s">
        <v>134</v>
      </c>
      <c r="C25" s="139">
        <v>4</v>
      </c>
      <c r="D25" s="140" t="s">
        <v>59</v>
      </c>
      <c r="E25" s="139">
        <v>45</v>
      </c>
      <c r="F25" s="140" t="s">
        <v>60</v>
      </c>
      <c r="G25" s="139" t="s">
        <v>61</v>
      </c>
      <c r="H25" s="140" t="s">
        <v>62</v>
      </c>
      <c r="I25" s="139">
        <v>4599</v>
      </c>
      <c r="J25" s="140" t="s">
        <v>63</v>
      </c>
      <c r="K25" s="140" t="s">
        <v>135</v>
      </c>
      <c r="L25" s="139" t="s">
        <v>61</v>
      </c>
      <c r="M25" s="274" t="s">
        <v>141</v>
      </c>
      <c r="N25" s="139">
        <v>4599002</v>
      </c>
      <c r="O25" s="274" t="s">
        <v>142</v>
      </c>
      <c r="P25" s="139" t="s">
        <v>61</v>
      </c>
      <c r="Q25" s="142" t="s">
        <v>143</v>
      </c>
      <c r="R25" s="139">
        <v>459900200</v>
      </c>
      <c r="S25" s="142" t="s">
        <v>144</v>
      </c>
      <c r="T25" s="143" t="s">
        <v>69</v>
      </c>
      <c r="U25" s="275">
        <v>1</v>
      </c>
      <c r="V25" s="275"/>
      <c r="W25" s="137">
        <f t="shared" si="3"/>
        <v>1</v>
      </c>
      <c r="X25" s="137">
        <v>0.24</v>
      </c>
      <c r="Y25" s="146">
        <v>2020003630049</v>
      </c>
      <c r="Z25" s="140" t="s">
        <v>145</v>
      </c>
      <c r="AA25" s="140" t="s">
        <v>146</v>
      </c>
      <c r="AB25" s="130"/>
      <c r="AC25" s="130"/>
      <c r="AD25" s="130"/>
      <c r="AE25" s="130"/>
      <c r="AF25" s="130"/>
      <c r="AG25" s="130"/>
      <c r="AH25" s="130"/>
      <c r="AI25" s="130"/>
      <c r="AJ25" s="130"/>
      <c r="AK25" s="130"/>
      <c r="AL25" s="130"/>
      <c r="AM25" s="130"/>
      <c r="AN25" s="130"/>
      <c r="AO25" s="130"/>
      <c r="AP25" s="130"/>
      <c r="AQ25" s="130"/>
      <c r="AR25" s="130"/>
      <c r="AS25" s="130"/>
      <c r="AT25" s="135">
        <f>230000000+440000000</f>
        <v>670000000</v>
      </c>
      <c r="AU25" s="135">
        <v>413600000</v>
      </c>
      <c r="AV25" s="135">
        <v>162500000</v>
      </c>
      <c r="AW25" s="130"/>
      <c r="AX25" s="130"/>
      <c r="AY25" s="130"/>
      <c r="AZ25" s="130"/>
      <c r="BA25" s="130"/>
      <c r="BB25" s="130"/>
      <c r="BC25" s="130"/>
      <c r="BD25" s="130"/>
      <c r="BE25" s="130"/>
      <c r="BF25" s="138">
        <f t="shared" si="0"/>
        <v>670000000</v>
      </c>
      <c r="BG25" s="138">
        <f t="shared" si="1"/>
        <v>413600000</v>
      </c>
      <c r="BH25" s="138">
        <f t="shared" si="2"/>
        <v>162500000</v>
      </c>
      <c r="BI25" s="141" t="s">
        <v>7</v>
      </c>
    </row>
    <row r="26" spans="1:62" s="151" customFormat="1" ht="110.25" customHeight="1">
      <c r="A26" s="139">
        <v>308</v>
      </c>
      <c r="B26" s="140" t="s">
        <v>147</v>
      </c>
      <c r="C26" s="139">
        <v>1</v>
      </c>
      <c r="D26" s="140" t="s">
        <v>148</v>
      </c>
      <c r="E26" s="139">
        <v>12</v>
      </c>
      <c r="F26" s="140" t="s">
        <v>149</v>
      </c>
      <c r="G26" s="139">
        <v>1202</v>
      </c>
      <c r="H26" s="140" t="s">
        <v>150</v>
      </c>
      <c r="I26" s="139">
        <v>1202</v>
      </c>
      <c r="J26" s="140" t="s">
        <v>151</v>
      </c>
      <c r="K26" s="140" t="s">
        <v>152</v>
      </c>
      <c r="L26" s="139" t="s">
        <v>61</v>
      </c>
      <c r="M26" s="134" t="s">
        <v>153</v>
      </c>
      <c r="N26" s="139">
        <v>1202019</v>
      </c>
      <c r="O26" s="134" t="s">
        <v>154</v>
      </c>
      <c r="P26" s="139" t="s">
        <v>61</v>
      </c>
      <c r="Q26" s="134" t="s">
        <v>155</v>
      </c>
      <c r="R26" s="137">
        <v>120201900</v>
      </c>
      <c r="S26" s="134" t="s">
        <v>156</v>
      </c>
      <c r="T26" s="143" t="s">
        <v>157</v>
      </c>
      <c r="U26" s="145">
        <v>4</v>
      </c>
      <c r="V26" s="145"/>
      <c r="W26" s="145">
        <f>U26+V26</f>
        <v>4</v>
      </c>
      <c r="X26" s="145">
        <v>0</v>
      </c>
      <c r="Y26" s="146">
        <v>2020003630017</v>
      </c>
      <c r="Z26" s="140" t="s">
        <v>158</v>
      </c>
      <c r="AA26" s="141" t="s">
        <v>159</v>
      </c>
      <c r="AB26" s="131"/>
      <c r="AC26" s="131"/>
      <c r="AD26" s="131"/>
      <c r="AE26" s="130"/>
      <c r="AF26" s="130"/>
      <c r="AG26" s="130"/>
      <c r="AH26" s="130"/>
      <c r="AI26" s="130"/>
      <c r="AJ26" s="130"/>
      <c r="AK26" s="130"/>
      <c r="AL26" s="130"/>
      <c r="AM26" s="130"/>
      <c r="AN26" s="130"/>
      <c r="AO26" s="130"/>
      <c r="AP26" s="130"/>
      <c r="AQ26" s="130"/>
      <c r="AR26" s="130"/>
      <c r="AS26" s="130"/>
      <c r="AT26" s="135">
        <f>100000000-4639613-25000000+3966913</f>
        <v>74327300</v>
      </c>
      <c r="AU26" s="135">
        <v>9800000</v>
      </c>
      <c r="AV26" s="135">
        <v>7850000</v>
      </c>
      <c r="AW26" s="130"/>
      <c r="AX26" s="130"/>
      <c r="AY26" s="130"/>
      <c r="AZ26" s="130"/>
      <c r="BA26" s="130"/>
      <c r="BB26" s="130"/>
      <c r="BC26" s="273"/>
      <c r="BD26" s="273"/>
      <c r="BE26" s="273"/>
      <c r="BF26" s="138">
        <f t="shared" si="0"/>
        <v>74327300</v>
      </c>
      <c r="BG26" s="138">
        <f t="shared" si="1"/>
        <v>9800000</v>
      </c>
      <c r="BH26" s="138">
        <f t="shared" si="2"/>
        <v>7850000</v>
      </c>
      <c r="BI26" s="141" t="s">
        <v>10</v>
      </c>
      <c r="BJ26" s="138"/>
    </row>
    <row r="27" spans="1:62" s="151" customFormat="1" ht="100.5" customHeight="1">
      <c r="A27" s="139">
        <v>308</v>
      </c>
      <c r="B27" s="140" t="s">
        <v>147</v>
      </c>
      <c r="C27" s="139">
        <v>1</v>
      </c>
      <c r="D27" s="140" t="s">
        <v>148</v>
      </c>
      <c r="E27" s="139">
        <v>22</v>
      </c>
      <c r="F27" s="140" t="s">
        <v>160</v>
      </c>
      <c r="G27" s="139">
        <v>2201</v>
      </c>
      <c r="H27" s="140" t="s">
        <v>161</v>
      </c>
      <c r="I27" s="139">
        <v>2201</v>
      </c>
      <c r="J27" s="140" t="s">
        <v>162</v>
      </c>
      <c r="K27" s="140" t="s">
        <v>163</v>
      </c>
      <c r="L27" s="139" t="s">
        <v>61</v>
      </c>
      <c r="M27" s="140" t="s">
        <v>164</v>
      </c>
      <c r="N27" s="139">
        <v>2201062</v>
      </c>
      <c r="O27" s="140" t="s">
        <v>165</v>
      </c>
      <c r="P27" s="139" t="s">
        <v>61</v>
      </c>
      <c r="Q27" s="142" t="s">
        <v>166</v>
      </c>
      <c r="R27" s="139">
        <v>220106200</v>
      </c>
      <c r="S27" s="142" t="s">
        <v>167</v>
      </c>
      <c r="T27" s="143" t="s">
        <v>157</v>
      </c>
      <c r="U27" s="145">
        <v>15</v>
      </c>
      <c r="V27" s="145"/>
      <c r="W27" s="145">
        <f t="shared" ref="W27:W35" si="5">U27+V27</f>
        <v>15</v>
      </c>
      <c r="X27" s="145">
        <v>0</v>
      </c>
      <c r="Y27" s="146">
        <v>2020003630050</v>
      </c>
      <c r="Z27" s="140" t="s">
        <v>168</v>
      </c>
      <c r="AA27" s="141" t="s">
        <v>169</v>
      </c>
      <c r="AB27" s="131">
        <f>2500000000+167024296+250000000</f>
        <v>2917024296</v>
      </c>
      <c r="AC27" s="131">
        <v>733982500</v>
      </c>
      <c r="AD27" s="131">
        <v>149450000</v>
      </c>
      <c r="AE27" s="130"/>
      <c r="AF27" s="130"/>
      <c r="AG27" s="130"/>
      <c r="AH27" s="130"/>
      <c r="AI27" s="130"/>
      <c r="AJ27" s="130"/>
      <c r="AK27" s="130"/>
      <c r="AL27" s="130"/>
      <c r="AM27" s="130"/>
      <c r="AN27" s="130"/>
      <c r="AO27" s="130"/>
      <c r="AP27" s="130"/>
      <c r="AQ27" s="130"/>
      <c r="AR27" s="130"/>
      <c r="AS27" s="130"/>
      <c r="AT27" s="135"/>
      <c r="AU27" s="135"/>
      <c r="AV27" s="135"/>
      <c r="AW27" s="130"/>
      <c r="AX27" s="130"/>
      <c r="AY27" s="130"/>
      <c r="AZ27" s="130"/>
      <c r="BA27" s="130"/>
      <c r="BB27" s="130"/>
      <c r="BC27" s="273"/>
      <c r="BD27" s="273"/>
      <c r="BE27" s="273"/>
      <c r="BF27" s="138">
        <f t="shared" si="0"/>
        <v>2917024296</v>
      </c>
      <c r="BG27" s="138">
        <f t="shared" si="1"/>
        <v>733982500</v>
      </c>
      <c r="BH27" s="138">
        <f t="shared" si="2"/>
        <v>149450000</v>
      </c>
      <c r="BI27" s="141" t="s">
        <v>10</v>
      </c>
      <c r="BJ27" s="138"/>
    </row>
    <row r="28" spans="1:62" s="151" customFormat="1" ht="89.25" customHeight="1">
      <c r="A28" s="139">
        <v>308</v>
      </c>
      <c r="B28" s="140" t="s">
        <v>147</v>
      </c>
      <c r="C28" s="139">
        <v>1</v>
      </c>
      <c r="D28" s="140" t="s">
        <v>148</v>
      </c>
      <c r="E28" s="139">
        <v>33</v>
      </c>
      <c r="F28" s="140" t="s">
        <v>170</v>
      </c>
      <c r="G28" s="139">
        <v>3301</v>
      </c>
      <c r="H28" s="140" t="s">
        <v>171</v>
      </c>
      <c r="I28" s="139">
        <v>3301</v>
      </c>
      <c r="J28" s="140" t="s">
        <v>172</v>
      </c>
      <c r="K28" s="140" t="s">
        <v>173</v>
      </c>
      <c r="L28" s="139" t="s">
        <v>174</v>
      </c>
      <c r="M28" s="140" t="s">
        <v>175</v>
      </c>
      <c r="N28" s="139" t="s">
        <v>174</v>
      </c>
      <c r="O28" s="140" t="s">
        <v>175</v>
      </c>
      <c r="P28" s="137" t="s">
        <v>176</v>
      </c>
      <c r="Q28" s="134" t="s">
        <v>177</v>
      </c>
      <c r="R28" s="137" t="s">
        <v>176</v>
      </c>
      <c r="S28" s="134" t="s">
        <v>177</v>
      </c>
      <c r="T28" s="143" t="s">
        <v>157</v>
      </c>
      <c r="U28" s="145">
        <v>3</v>
      </c>
      <c r="V28" s="145"/>
      <c r="W28" s="145">
        <f t="shared" si="5"/>
        <v>3</v>
      </c>
      <c r="X28" s="145">
        <v>0</v>
      </c>
      <c r="Y28" s="278">
        <v>2021003630001</v>
      </c>
      <c r="Z28" s="141" t="s">
        <v>178</v>
      </c>
      <c r="AA28" s="141" t="s">
        <v>179</v>
      </c>
      <c r="AB28" s="130"/>
      <c r="AC28" s="130"/>
      <c r="AD28" s="130"/>
      <c r="AE28" s="130"/>
      <c r="AF28" s="130"/>
      <c r="AG28" s="130"/>
      <c r="AH28" s="130"/>
      <c r="AI28" s="130"/>
      <c r="AJ28" s="130"/>
      <c r="AK28" s="130"/>
      <c r="AL28" s="130"/>
      <c r="AM28" s="130"/>
      <c r="AN28" s="130"/>
      <c r="AO28" s="130"/>
      <c r="AP28" s="130"/>
      <c r="AQ28" s="130"/>
      <c r="AR28" s="130"/>
      <c r="AS28" s="130"/>
      <c r="AT28" s="136">
        <f>70000000+3966912</f>
        <v>73966912</v>
      </c>
      <c r="AU28" s="136">
        <v>20500000</v>
      </c>
      <c r="AV28" s="136"/>
      <c r="AW28" s="130"/>
      <c r="AX28" s="130"/>
      <c r="AY28" s="130"/>
      <c r="AZ28" s="130"/>
      <c r="BA28" s="130"/>
      <c r="BB28" s="130"/>
      <c r="BC28" s="130"/>
      <c r="BD28" s="130"/>
      <c r="BE28" s="130"/>
      <c r="BF28" s="138">
        <f t="shared" si="0"/>
        <v>73966912</v>
      </c>
      <c r="BG28" s="138">
        <f t="shared" si="1"/>
        <v>20500000</v>
      </c>
      <c r="BH28" s="138">
        <f t="shared" si="2"/>
        <v>0</v>
      </c>
      <c r="BI28" s="141" t="s">
        <v>10</v>
      </c>
      <c r="BJ28" s="138"/>
    </row>
    <row r="29" spans="1:62" s="151" customFormat="1" ht="104.25" customHeight="1">
      <c r="A29" s="139">
        <v>308</v>
      </c>
      <c r="B29" s="140" t="s">
        <v>147</v>
      </c>
      <c r="C29" s="139">
        <v>1</v>
      </c>
      <c r="D29" s="140" t="s">
        <v>148</v>
      </c>
      <c r="E29" s="139">
        <v>41</v>
      </c>
      <c r="F29" s="140" t="s">
        <v>180</v>
      </c>
      <c r="G29" s="139">
        <v>4104</v>
      </c>
      <c r="H29" s="140" t="s">
        <v>181</v>
      </c>
      <c r="I29" s="139">
        <v>4104</v>
      </c>
      <c r="J29" s="140" t="s">
        <v>182</v>
      </c>
      <c r="K29" s="140" t="s">
        <v>183</v>
      </c>
      <c r="L29" s="132">
        <v>4104036</v>
      </c>
      <c r="M29" s="142" t="s">
        <v>184</v>
      </c>
      <c r="N29" s="132">
        <v>4104036</v>
      </c>
      <c r="O29" s="140" t="s">
        <v>185</v>
      </c>
      <c r="P29" s="145">
        <v>410403600</v>
      </c>
      <c r="Q29" s="142" t="s">
        <v>186</v>
      </c>
      <c r="R29" s="145">
        <v>410403600</v>
      </c>
      <c r="S29" s="134" t="s">
        <v>187</v>
      </c>
      <c r="T29" s="143" t="s">
        <v>157</v>
      </c>
      <c r="U29" s="145" t="s">
        <v>256</v>
      </c>
      <c r="V29" s="145">
        <v>0.4</v>
      </c>
      <c r="W29" s="145">
        <f>V29</f>
        <v>0.4</v>
      </c>
      <c r="X29" s="145">
        <v>0</v>
      </c>
      <c r="Y29" s="278">
        <v>2021003630017</v>
      </c>
      <c r="Z29" s="140" t="s">
        <v>188</v>
      </c>
      <c r="AA29" s="260" t="s">
        <v>1525</v>
      </c>
      <c r="AB29" s="130"/>
      <c r="AC29" s="130"/>
      <c r="AD29" s="130"/>
      <c r="AE29" s="130"/>
      <c r="AF29" s="130"/>
      <c r="AG29" s="130"/>
      <c r="AH29" s="130"/>
      <c r="AI29" s="130"/>
      <c r="AJ29" s="130"/>
      <c r="AK29" s="130"/>
      <c r="AL29" s="130"/>
      <c r="AM29" s="130"/>
      <c r="AN29" s="130"/>
      <c r="AO29" s="130"/>
      <c r="AP29" s="130"/>
      <c r="AQ29" s="130"/>
      <c r="AR29" s="130"/>
      <c r="AS29" s="130"/>
      <c r="AT29" s="135">
        <f>1000000+25000000+24000000+3000000000</f>
        <v>3050000000</v>
      </c>
      <c r="AU29" s="135"/>
      <c r="AV29" s="135"/>
      <c r="AW29" s="130"/>
      <c r="AX29" s="130"/>
      <c r="AY29" s="130"/>
      <c r="AZ29" s="130"/>
      <c r="BA29" s="130"/>
      <c r="BB29" s="130"/>
      <c r="BC29" s="130"/>
      <c r="BD29" s="130"/>
      <c r="BE29" s="130"/>
      <c r="BF29" s="138">
        <f t="shared" si="0"/>
        <v>3050000000</v>
      </c>
      <c r="BG29" s="138">
        <f t="shared" si="1"/>
        <v>0</v>
      </c>
      <c r="BH29" s="138">
        <f t="shared" si="2"/>
        <v>0</v>
      </c>
      <c r="BI29" s="141" t="s">
        <v>10</v>
      </c>
      <c r="BJ29" s="138"/>
    </row>
    <row r="30" spans="1:62" s="151" customFormat="1" ht="87.75" customHeight="1">
      <c r="A30" s="139">
        <v>308</v>
      </c>
      <c r="B30" s="141" t="s">
        <v>147</v>
      </c>
      <c r="C30" s="139">
        <v>1</v>
      </c>
      <c r="D30" s="141" t="s">
        <v>148</v>
      </c>
      <c r="E30" s="139">
        <v>41</v>
      </c>
      <c r="F30" s="141" t="s">
        <v>180</v>
      </c>
      <c r="G30" s="139">
        <v>4104</v>
      </c>
      <c r="H30" s="141" t="s">
        <v>181</v>
      </c>
      <c r="I30" s="139">
        <v>4104</v>
      </c>
      <c r="J30" s="141" t="s">
        <v>182</v>
      </c>
      <c r="K30" s="141" t="s">
        <v>183</v>
      </c>
      <c r="L30" s="132">
        <v>4104036</v>
      </c>
      <c r="M30" s="142" t="s">
        <v>184</v>
      </c>
      <c r="N30" s="132">
        <v>4104036</v>
      </c>
      <c r="O30" s="141" t="s">
        <v>185</v>
      </c>
      <c r="P30" s="145">
        <v>410403600</v>
      </c>
      <c r="Q30" s="142" t="s">
        <v>186</v>
      </c>
      <c r="R30" s="145">
        <v>410403600</v>
      </c>
      <c r="S30" s="134" t="s">
        <v>187</v>
      </c>
      <c r="T30" s="143" t="s">
        <v>157</v>
      </c>
      <c r="U30" s="145" t="s">
        <v>256</v>
      </c>
      <c r="V30" s="145">
        <v>0.4</v>
      </c>
      <c r="W30" s="145">
        <f>V30</f>
        <v>0.4</v>
      </c>
      <c r="X30" s="129">
        <v>0</v>
      </c>
      <c r="Y30" s="146">
        <v>2022003630007</v>
      </c>
      <c r="Z30" s="141" t="s">
        <v>1455</v>
      </c>
      <c r="AA30" s="260" t="s">
        <v>1456</v>
      </c>
      <c r="AB30" s="130"/>
      <c r="AC30" s="130"/>
      <c r="AD30" s="130"/>
      <c r="AE30" s="130"/>
      <c r="AF30" s="130"/>
      <c r="AG30" s="130"/>
      <c r="AH30" s="130"/>
      <c r="AI30" s="130"/>
      <c r="AJ30" s="130"/>
      <c r="AK30" s="130"/>
      <c r="AL30" s="130"/>
      <c r="AM30" s="130"/>
      <c r="AN30" s="130"/>
      <c r="AO30" s="130"/>
      <c r="AP30" s="130"/>
      <c r="AQ30" s="130"/>
      <c r="AR30" s="130"/>
      <c r="AS30" s="130"/>
      <c r="AT30" s="135"/>
      <c r="AU30" s="135"/>
      <c r="AV30" s="135"/>
      <c r="AW30" s="130"/>
      <c r="AX30" s="130"/>
      <c r="AY30" s="130"/>
      <c r="AZ30" s="130">
        <v>3179932867</v>
      </c>
      <c r="BA30" s="130"/>
      <c r="BB30" s="130"/>
      <c r="BC30" s="130"/>
      <c r="BD30" s="130"/>
      <c r="BE30" s="130"/>
      <c r="BF30" s="138">
        <f t="shared" si="0"/>
        <v>3179932867</v>
      </c>
      <c r="BG30" s="138">
        <f t="shared" si="1"/>
        <v>0</v>
      </c>
      <c r="BH30" s="138">
        <f t="shared" si="2"/>
        <v>0</v>
      </c>
      <c r="BI30" s="141" t="s">
        <v>10</v>
      </c>
      <c r="BJ30" s="258"/>
    </row>
    <row r="31" spans="1:62" s="151" customFormat="1" ht="123.75" customHeight="1">
      <c r="A31" s="139">
        <v>308</v>
      </c>
      <c r="B31" s="140" t="s">
        <v>147</v>
      </c>
      <c r="C31" s="139">
        <v>1</v>
      </c>
      <c r="D31" s="140" t="s">
        <v>148</v>
      </c>
      <c r="E31" s="139">
        <v>43</v>
      </c>
      <c r="F31" s="140" t="s">
        <v>189</v>
      </c>
      <c r="G31" s="139">
        <v>4301</v>
      </c>
      <c r="H31" s="140" t="s">
        <v>190</v>
      </c>
      <c r="I31" s="139">
        <v>4301</v>
      </c>
      <c r="J31" s="140" t="s">
        <v>191</v>
      </c>
      <c r="K31" s="140" t="s">
        <v>192</v>
      </c>
      <c r="L31" s="139" t="s">
        <v>61</v>
      </c>
      <c r="M31" s="134" t="s">
        <v>193</v>
      </c>
      <c r="N31" s="139">
        <v>4301004</v>
      </c>
      <c r="O31" s="134" t="s">
        <v>194</v>
      </c>
      <c r="P31" s="139" t="s">
        <v>61</v>
      </c>
      <c r="Q31" s="134" t="s">
        <v>195</v>
      </c>
      <c r="R31" s="139">
        <v>430100401</v>
      </c>
      <c r="S31" s="134" t="s">
        <v>196</v>
      </c>
      <c r="T31" s="143" t="s">
        <v>157</v>
      </c>
      <c r="U31" s="145">
        <v>3</v>
      </c>
      <c r="V31" s="145"/>
      <c r="W31" s="145">
        <f t="shared" si="5"/>
        <v>3</v>
      </c>
      <c r="X31" s="145">
        <v>0</v>
      </c>
      <c r="Y31" s="146">
        <v>2020003630052</v>
      </c>
      <c r="Z31" s="141" t="s">
        <v>197</v>
      </c>
      <c r="AA31" s="141" t="s">
        <v>198</v>
      </c>
      <c r="AB31" s="138">
        <f>1500000000+14872080+1664967+72946288+4376079954.1</f>
        <v>5965563289.1000004</v>
      </c>
      <c r="AC31" s="138">
        <v>298057500</v>
      </c>
      <c r="AD31" s="138">
        <v>15100000</v>
      </c>
      <c r="AE31" s="130"/>
      <c r="AF31" s="130"/>
      <c r="AG31" s="130"/>
      <c r="AH31" s="130"/>
      <c r="AI31" s="130"/>
      <c r="AJ31" s="130"/>
      <c r="AK31" s="130"/>
      <c r="AL31" s="130"/>
      <c r="AM31" s="130"/>
      <c r="AN31" s="130"/>
      <c r="AO31" s="130"/>
      <c r="AP31" s="130"/>
      <c r="AQ31" s="130"/>
      <c r="AR31" s="130"/>
      <c r="AS31" s="130"/>
      <c r="AT31" s="135"/>
      <c r="AU31" s="135"/>
      <c r="AV31" s="135"/>
      <c r="AW31" s="130"/>
      <c r="AX31" s="130"/>
      <c r="AY31" s="130"/>
      <c r="AZ31" s="130"/>
      <c r="BA31" s="130"/>
      <c r="BB31" s="130"/>
      <c r="BC31" s="130"/>
      <c r="BD31" s="130"/>
      <c r="BE31" s="130"/>
      <c r="BF31" s="138">
        <f t="shared" si="0"/>
        <v>5965563289.1000004</v>
      </c>
      <c r="BG31" s="138">
        <f t="shared" si="1"/>
        <v>298057500</v>
      </c>
      <c r="BH31" s="138">
        <f t="shared" si="2"/>
        <v>15100000</v>
      </c>
      <c r="BI31" s="141" t="s">
        <v>10</v>
      </c>
      <c r="BJ31" s="138"/>
    </row>
    <row r="32" spans="1:62" s="151" customFormat="1" ht="69" customHeight="1">
      <c r="A32" s="139">
        <v>308</v>
      </c>
      <c r="B32" s="140" t="s">
        <v>147</v>
      </c>
      <c r="C32" s="139">
        <v>2</v>
      </c>
      <c r="D32" s="140" t="s">
        <v>199</v>
      </c>
      <c r="E32" s="139">
        <v>17</v>
      </c>
      <c r="F32" s="140" t="s">
        <v>200</v>
      </c>
      <c r="G32" s="139">
        <v>1709</v>
      </c>
      <c r="H32" s="140" t="s">
        <v>201</v>
      </c>
      <c r="I32" s="139">
        <v>1709</v>
      </c>
      <c r="J32" s="140" t="s">
        <v>202</v>
      </c>
      <c r="K32" s="279" t="s">
        <v>203</v>
      </c>
      <c r="L32" s="132">
        <v>1709065</v>
      </c>
      <c r="M32" s="279" t="s">
        <v>204</v>
      </c>
      <c r="N32" s="132">
        <v>1709065</v>
      </c>
      <c r="O32" s="279" t="s">
        <v>204</v>
      </c>
      <c r="P32" s="132">
        <v>170906500</v>
      </c>
      <c r="Q32" s="279" t="s">
        <v>204</v>
      </c>
      <c r="R32" s="132">
        <v>170906500</v>
      </c>
      <c r="S32" s="279" t="s">
        <v>205</v>
      </c>
      <c r="T32" s="143" t="s">
        <v>69</v>
      </c>
      <c r="U32" s="139">
        <v>1</v>
      </c>
      <c r="V32" s="139"/>
      <c r="W32" s="145">
        <f t="shared" si="5"/>
        <v>1</v>
      </c>
      <c r="X32" s="145">
        <v>0</v>
      </c>
      <c r="Y32" s="278">
        <v>2021003630018</v>
      </c>
      <c r="Z32" s="279" t="s">
        <v>206</v>
      </c>
      <c r="AA32" s="260" t="s">
        <v>207</v>
      </c>
      <c r="AB32" s="138"/>
      <c r="AC32" s="138"/>
      <c r="AD32" s="138"/>
      <c r="AE32" s="280"/>
      <c r="AF32" s="280"/>
      <c r="AG32" s="280"/>
      <c r="AH32" s="280"/>
      <c r="AI32" s="280"/>
      <c r="AJ32" s="280"/>
      <c r="AK32" s="280"/>
      <c r="AL32" s="280"/>
      <c r="AM32" s="280"/>
      <c r="AN32" s="280"/>
      <c r="AO32" s="280"/>
      <c r="AP32" s="280"/>
      <c r="AQ32" s="280"/>
      <c r="AR32" s="280"/>
      <c r="AS32" s="280"/>
      <c r="AT32" s="135">
        <v>1000000</v>
      </c>
      <c r="AU32" s="135"/>
      <c r="AV32" s="135"/>
      <c r="AW32" s="280"/>
      <c r="AX32" s="280"/>
      <c r="AY32" s="280"/>
      <c r="AZ32" s="280"/>
      <c r="BA32" s="280"/>
      <c r="BB32" s="280"/>
      <c r="BC32" s="280"/>
      <c r="BD32" s="280"/>
      <c r="BE32" s="280"/>
      <c r="BF32" s="138">
        <f t="shared" si="0"/>
        <v>1000000</v>
      </c>
      <c r="BG32" s="138">
        <f t="shared" si="1"/>
        <v>0</v>
      </c>
      <c r="BH32" s="138">
        <f t="shared" si="2"/>
        <v>0</v>
      </c>
      <c r="BI32" s="141" t="s">
        <v>10</v>
      </c>
      <c r="BJ32" s="138"/>
    </row>
    <row r="33" spans="1:74" s="151" customFormat="1" ht="73.5" customHeight="1">
      <c r="A33" s="139">
        <v>308</v>
      </c>
      <c r="B33" s="140" t="s">
        <v>147</v>
      </c>
      <c r="C33" s="139">
        <v>2</v>
      </c>
      <c r="D33" s="140" t="s">
        <v>199</v>
      </c>
      <c r="E33" s="139">
        <v>17</v>
      </c>
      <c r="F33" s="140" t="s">
        <v>200</v>
      </c>
      <c r="G33" s="139">
        <v>1709</v>
      </c>
      <c r="H33" s="140" t="s">
        <v>201</v>
      </c>
      <c r="I33" s="139">
        <v>1709</v>
      </c>
      <c r="J33" s="140" t="s">
        <v>202</v>
      </c>
      <c r="K33" s="279" t="s">
        <v>203</v>
      </c>
      <c r="L33" s="132">
        <v>1709078</v>
      </c>
      <c r="M33" s="279" t="s">
        <v>208</v>
      </c>
      <c r="N33" s="132">
        <v>1709078</v>
      </c>
      <c r="O33" s="279" t="s">
        <v>208</v>
      </c>
      <c r="P33" s="132">
        <v>170907800</v>
      </c>
      <c r="Q33" s="279" t="s">
        <v>208</v>
      </c>
      <c r="R33" s="132">
        <v>170907800</v>
      </c>
      <c r="S33" s="279" t="s">
        <v>208</v>
      </c>
      <c r="T33" s="143" t="s">
        <v>69</v>
      </c>
      <c r="U33" s="139">
        <v>1</v>
      </c>
      <c r="V33" s="139"/>
      <c r="W33" s="145">
        <f t="shared" si="5"/>
        <v>1</v>
      </c>
      <c r="X33" s="145">
        <v>0</v>
      </c>
      <c r="Y33" s="278">
        <v>2021003630019</v>
      </c>
      <c r="Z33" s="279" t="s">
        <v>209</v>
      </c>
      <c r="AA33" s="260" t="s">
        <v>210</v>
      </c>
      <c r="AB33" s="138"/>
      <c r="AC33" s="138"/>
      <c r="AD33" s="138"/>
      <c r="AE33" s="280"/>
      <c r="AF33" s="280"/>
      <c r="AG33" s="280"/>
      <c r="AH33" s="280"/>
      <c r="AI33" s="280"/>
      <c r="AJ33" s="280"/>
      <c r="AK33" s="280"/>
      <c r="AL33" s="280"/>
      <c r="AM33" s="280"/>
      <c r="AN33" s="280"/>
      <c r="AO33" s="280"/>
      <c r="AP33" s="280"/>
      <c r="AQ33" s="280"/>
      <c r="AR33" s="280"/>
      <c r="AS33" s="280"/>
      <c r="AT33" s="135">
        <v>40000000</v>
      </c>
      <c r="AU33" s="135">
        <v>30900000</v>
      </c>
      <c r="AV33" s="135"/>
      <c r="AW33" s="280"/>
      <c r="AX33" s="280"/>
      <c r="AY33" s="280"/>
      <c r="AZ33" s="280"/>
      <c r="BA33" s="280"/>
      <c r="BB33" s="280"/>
      <c r="BC33" s="280"/>
      <c r="BD33" s="280"/>
      <c r="BE33" s="280"/>
      <c r="BF33" s="138">
        <f t="shared" si="0"/>
        <v>40000000</v>
      </c>
      <c r="BG33" s="138">
        <f t="shared" si="1"/>
        <v>30900000</v>
      </c>
      <c r="BH33" s="138">
        <f t="shared" si="2"/>
        <v>0</v>
      </c>
      <c r="BI33" s="141" t="s">
        <v>10</v>
      </c>
      <c r="BJ33" s="138"/>
    </row>
    <row r="34" spans="1:74" s="151" customFormat="1" ht="123.75" customHeight="1">
      <c r="A34" s="139">
        <v>308</v>
      </c>
      <c r="B34" s="140" t="s">
        <v>147</v>
      </c>
      <c r="C34" s="139">
        <v>3</v>
      </c>
      <c r="D34" s="140" t="s">
        <v>211</v>
      </c>
      <c r="E34" s="139">
        <v>24</v>
      </c>
      <c r="F34" s="140" t="s">
        <v>212</v>
      </c>
      <c r="G34" s="139">
        <v>2402</v>
      </c>
      <c r="H34" s="140" t="s">
        <v>213</v>
      </c>
      <c r="I34" s="139">
        <v>2402</v>
      </c>
      <c r="J34" s="140" t="s">
        <v>214</v>
      </c>
      <c r="K34" s="140" t="s">
        <v>215</v>
      </c>
      <c r="L34" s="139" t="s">
        <v>61</v>
      </c>
      <c r="M34" s="134" t="s">
        <v>216</v>
      </c>
      <c r="N34" s="139">
        <v>2402022</v>
      </c>
      <c r="O34" s="134" t="s">
        <v>217</v>
      </c>
      <c r="P34" s="139" t="s">
        <v>61</v>
      </c>
      <c r="Q34" s="134" t="s">
        <v>218</v>
      </c>
      <c r="R34" s="139">
        <v>240202200</v>
      </c>
      <c r="S34" s="134" t="s">
        <v>219</v>
      </c>
      <c r="T34" s="143" t="s">
        <v>69</v>
      </c>
      <c r="U34" s="132">
        <v>1</v>
      </c>
      <c r="V34" s="132"/>
      <c r="W34" s="145">
        <f t="shared" si="5"/>
        <v>1</v>
      </c>
      <c r="X34" s="145">
        <v>0</v>
      </c>
      <c r="Y34" s="146">
        <v>2020003630053</v>
      </c>
      <c r="Z34" s="140" t="s">
        <v>220</v>
      </c>
      <c r="AA34" s="140" t="s">
        <v>221</v>
      </c>
      <c r="AB34" s="130"/>
      <c r="AC34" s="130"/>
      <c r="AD34" s="130"/>
      <c r="AE34" s="130"/>
      <c r="AF34" s="130"/>
      <c r="AG34" s="130"/>
      <c r="AH34" s="130"/>
      <c r="AI34" s="130"/>
      <c r="AJ34" s="130"/>
      <c r="AK34" s="130"/>
      <c r="AL34" s="130"/>
      <c r="AM34" s="130"/>
      <c r="AN34" s="130"/>
      <c r="AO34" s="130"/>
      <c r="AP34" s="130"/>
      <c r="AQ34" s="130"/>
      <c r="AR34" s="130"/>
      <c r="AS34" s="130"/>
      <c r="AT34" s="135">
        <v>40000000</v>
      </c>
      <c r="AU34" s="135">
        <v>16500000</v>
      </c>
      <c r="AV34" s="135">
        <v>6400000</v>
      </c>
      <c r="AW34" s="136">
        <f>100000000+100000000-100000000</f>
        <v>100000000</v>
      </c>
      <c r="AX34" s="136"/>
      <c r="AY34" s="136"/>
      <c r="AZ34" s="136"/>
      <c r="BA34" s="136"/>
      <c r="BB34" s="136"/>
      <c r="BC34" s="130"/>
      <c r="BD34" s="130"/>
      <c r="BE34" s="130"/>
      <c r="BF34" s="138">
        <f t="shared" si="0"/>
        <v>140000000</v>
      </c>
      <c r="BG34" s="138">
        <f t="shared" si="1"/>
        <v>16500000</v>
      </c>
      <c r="BH34" s="138">
        <f t="shared" si="2"/>
        <v>6400000</v>
      </c>
      <c r="BI34" s="141" t="s">
        <v>10</v>
      </c>
      <c r="BJ34" s="138"/>
    </row>
    <row r="35" spans="1:74" s="151" customFormat="1" ht="120.75" customHeight="1">
      <c r="A35" s="139">
        <v>308</v>
      </c>
      <c r="B35" s="140" t="s">
        <v>147</v>
      </c>
      <c r="C35" s="139">
        <v>3</v>
      </c>
      <c r="D35" s="140" t="s">
        <v>211</v>
      </c>
      <c r="E35" s="139">
        <v>24</v>
      </c>
      <c r="F35" s="140" t="s">
        <v>212</v>
      </c>
      <c r="G35" s="139">
        <v>2402</v>
      </c>
      <c r="H35" s="141" t="s">
        <v>213</v>
      </c>
      <c r="I35" s="139">
        <v>2402</v>
      </c>
      <c r="J35" s="141" t="s">
        <v>214</v>
      </c>
      <c r="K35" s="134" t="s">
        <v>215</v>
      </c>
      <c r="L35" s="139" t="s">
        <v>61</v>
      </c>
      <c r="M35" s="134" t="s">
        <v>222</v>
      </c>
      <c r="N35" s="281">
        <v>2402041</v>
      </c>
      <c r="O35" s="134" t="s">
        <v>223</v>
      </c>
      <c r="P35" s="139" t="s">
        <v>61</v>
      </c>
      <c r="Q35" s="134" t="s">
        <v>224</v>
      </c>
      <c r="R35" s="137">
        <v>240204100</v>
      </c>
      <c r="S35" s="134" t="s">
        <v>225</v>
      </c>
      <c r="T35" s="143" t="s">
        <v>69</v>
      </c>
      <c r="U35" s="132">
        <v>70.379000000000005</v>
      </c>
      <c r="V35" s="132"/>
      <c r="W35" s="145">
        <f t="shared" si="5"/>
        <v>70.379000000000005</v>
      </c>
      <c r="X35" s="145">
        <v>65.5</v>
      </c>
      <c r="Y35" s="146">
        <v>2020003630053</v>
      </c>
      <c r="Z35" s="140" t="s">
        <v>220</v>
      </c>
      <c r="AA35" s="140" t="s">
        <v>221</v>
      </c>
      <c r="AB35" s="130"/>
      <c r="AC35" s="130"/>
      <c r="AD35" s="130"/>
      <c r="AE35" s="130"/>
      <c r="AF35" s="130"/>
      <c r="AG35" s="130"/>
      <c r="AH35" s="130"/>
      <c r="AI35" s="130"/>
      <c r="AJ35" s="130"/>
      <c r="AK35" s="130"/>
      <c r="AL35" s="130"/>
      <c r="AM35" s="130"/>
      <c r="AN35" s="130"/>
      <c r="AO35" s="130"/>
      <c r="AP35" s="130"/>
      <c r="AQ35" s="130"/>
      <c r="AR35" s="130"/>
      <c r="AS35" s="130"/>
      <c r="AT35" s="135">
        <v>300000000</v>
      </c>
      <c r="AU35" s="135">
        <v>104933333</v>
      </c>
      <c r="AV35" s="135">
        <v>13750000</v>
      </c>
      <c r="AW35" s="131">
        <f>400000000+45561481+460477394.52-42514047</f>
        <v>863524828.51999998</v>
      </c>
      <c r="AX35" s="131">
        <v>289250000</v>
      </c>
      <c r="AY35" s="131">
        <v>50650000</v>
      </c>
      <c r="AZ35" s="131"/>
      <c r="BA35" s="131"/>
      <c r="BB35" s="131"/>
      <c r="BC35" s="130">
        <f>19788720416+9326778094</f>
        <v>29115498510</v>
      </c>
      <c r="BD35" s="130">
        <v>15750000</v>
      </c>
      <c r="BE35" s="130">
        <v>2450000</v>
      </c>
      <c r="BF35" s="138">
        <f t="shared" si="0"/>
        <v>30279023338.52</v>
      </c>
      <c r="BG35" s="138">
        <f t="shared" si="1"/>
        <v>409933333</v>
      </c>
      <c r="BH35" s="138">
        <f t="shared" si="2"/>
        <v>66850000</v>
      </c>
      <c r="BI35" s="141" t="s">
        <v>10</v>
      </c>
      <c r="BJ35" s="138"/>
    </row>
    <row r="36" spans="1:74" s="151" customFormat="1" ht="80.25" customHeight="1">
      <c r="A36" s="139">
        <v>308</v>
      </c>
      <c r="B36" s="141" t="s">
        <v>147</v>
      </c>
      <c r="C36" s="139">
        <v>3</v>
      </c>
      <c r="D36" s="141" t="s">
        <v>211</v>
      </c>
      <c r="E36" s="139">
        <v>24</v>
      </c>
      <c r="F36" s="141" t="s">
        <v>212</v>
      </c>
      <c r="G36" s="139">
        <v>2402</v>
      </c>
      <c r="H36" s="141" t="s">
        <v>213</v>
      </c>
      <c r="I36" s="139">
        <v>2402</v>
      </c>
      <c r="J36" s="141" t="s">
        <v>214</v>
      </c>
      <c r="K36" s="134" t="s">
        <v>215</v>
      </c>
      <c r="L36" s="143" t="s">
        <v>61</v>
      </c>
      <c r="M36" s="141" t="s">
        <v>1433</v>
      </c>
      <c r="N36" s="139">
        <v>2402118</v>
      </c>
      <c r="O36" s="141" t="s">
        <v>1434</v>
      </c>
      <c r="P36" s="143" t="s">
        <v>61</v>
      </c>
      <c r="Q36" s="142" t="s">
        <v>1435</v>
      </c>
      <c r="R36" s="139">
        <v>240211800</v>
      </c>
      <c r="S36" s="142" t="s">
        <v>1436</v>
      </c>
      <c r="T36" s="143" t="s">
        <v>157</v>
      </c>
      <c r="U36" s="145" t="s">
        <v>256</v>
      </c>
      <c r="V36" s="144">
        <v>3</v>
      </c>
      <c r="W36" s="129">
        <f t="shared" ref="W36" si="6">SUM(U36:V36)</f>
        <v>3</v>
      </c>
      <c r="X36" s="129">
        <v>0</v>
      </c>
      <c r="Y36" s="146">
        <v>2020003630054</v>
      </c>
      <c r="Z36" s="142" t="s">
        <v>1437</v>
      </c>
      <c r="AA36" s="140" t="s">
        <v>1438</v>
      </c>
      <c r="AB36" s="130"/>
      <c r="AC36" s="130"/>
      <c r="AD36" s="130"/>
      <c r="AE36" s="130"/>
      <c r="AF36" s="130"/>
      <c r="AG36" s="130"/>
      <c r="AH36" s="130"/>
      <c r="AI36" s="130"/>
      <c r="AJ36" s="130"/>
      <c r="AK36" s="130"/>
      <c r="AL36" s="130"/>
      <c r="AM36" s="130"/>
      <c r="AN36" s="130"/>
      <c r="AO36" s="130"/>
      <c r="AP36" s="130"/>
      <c r="AQ36" s="130"/>
      <c r="AR36" s="130"/>
      <c r="AS36" s="130"/>
      <c r="AT36" s="135"/>
      <c r="AU36" s="135"/>
      <c r="AV36" s="135"/>
      <c r="AW36" s="135">
        <f>250000000+142514047</f>
        <v>392514047</v>
      </c>
      <c r="AX36" s="135">
        <v>62514047</v>
      </c>
      <c r="AY36" s="135"/>
      <c r="AZ36" s="131"/>
      <c r="BA36" s="131"/>
      <c r="BB36" s="131"/>
      <c r="BC36" s="130"/>
      <c r="BD36" s="130"/>
      <c r="BE36" s="130"/>
      <c r="BF36" s="138">
        <f t="shared" si="0"/>
        <v>392514047</v>
      </c>
      <c r="BG36" s="138">
        <f t="shared" si="1"/>
        <v>62514047</v>
      </c>
      <c r="BH36" s="138">
        <f t="shared" si="2"/>
        <v>0</v>
      </c>
      <c r="BI36" s="141" t="s">
        <v>10</v>
      </c>
      <c r="BJ36" s="258"/>
    </row>
    <row r="37" spans="1:74" s="151" customFormat="1" ht="38.25">
      <c r="A37" s="146">
        <v>308</v>
      </c>
      <c r="B37" s="141" t="s">
        <v>147</v>
      </c>
      <c r="C37" s="146">
        <v>3</v>
      </c>
      <c r="D37" s="141" t="s">
        <v>211</v>
      </c>
      <c r="E37" s="146">
        <v>24</v>
      </c>
      <c r="F37" s="141" t="s">
        <v>212</v>
      </c>
      <c r="G37" s="146">
        <v>2402</v>
      </c>
      <c r="H37" s="141" t="s">
        <v>213</v>
      </c>
      <c r="I37" s="146">
        <v>2402</v>
      </c>
      <c r="J37" s="141" t="s">
        <v>214</v>
      </c>
      <c r="K37" s="134" t="s">
        <v>1439</v>
      </c>
      <c r="L37" s="143" t="s">
        <v>61</v>
      </c>
      <c r="M37" s="141" t="s">
        <v>222</v>
      </c>
      <c r="N37" s="146">
        <v>2402006</v>
      </c>
      <c r="O37" s="141" t="s">
        <v>1440</v>
      </c>
      <c r="P37" s="143" t="s">
        <v>61</v>
      </c>
      <c r="Q37" s="142" t="s">
        <v>1441</v>
      </c>
      <c r="R37" s="146">
        <v>240200606</v>
      </c>
      <c r="S37" s="142" t="s">
        <v>1442</v>
      </c>
      <c r="T37" s="143" t="s">
        <v>157</v>
      </c>
      <c r="U37" s="254">
        <v>4.6950000000000003</v>
      </c>
      <c r="V37" s="253"/>
      <c r="W37" s="133"/>
      <c r="X37" s="129">
        <v>0</v>
      </c>
      <c r="Y37" s="146">
        <v>2018000040059</v>
      </c>
      <c r="Z37" s="142" t="s">
        <v>1443</v>
      </c>
      <c r="AA37" s="141" t="s">
        <v>1444</v>
      </c>
      <c r="AB37" s="130"/>
      <c r="AC37" s="130"/>
      <c r="AD37" s="130"/>
      <c r="AE37" s="130"/>
      <c r="AF37" s="130"/>
      <c r="AG37" s="130"/>
      <c r="AH37" s="130"/>
      <c r="AI37" s="130"/>
      <c r="AJ37" s="130"/>
      <c r="AK37" s="130"/>
      <c r="AL37" s="130"/>
      <c r="AM37" s="130"/>
      <c r="AN37" s="130"/>
      <c r="AO37" s="130"/>
      <c r="AP37" s="130"/>
      <c r="AQ37" s="130"/>
      <c r="AR37" s="130"/>
      <c r="AS37" s="130"/>
      <c r="AT37" s="135"/>
      <c r="AU37" s="135"/>
      <c r="AV37" s="135"/>
      <c r="AW37" s="136"/>
      <c r="AX37" s="136"/>
      <c r="AY37" s="136"/>
      <c r="AZ37" s="136">
        <v>6536661612</v>
      </c>
      <c r="BA37" s="136"/>
      <c r="BB37" s="136"/>
      <c r="BC37" s="258"/>
      <c r="BD37" s="258"/>
      <c r="BE37" s="258"/>
      <c r="BF37" s="138">
        <f t="shared" si="0"/>
        <v>6536661612</v>
      </c>
      <c r="BG37" s="138">
        <f t="shared" si="1"/>
        <v>0</v>
      </c>
      <c r="BH37" s="138">
        <f t="shared" si="2"/>
        <v>0</v>
      </c>
      <c r="BI37" s="143" t="s">
        <v>10</v>
      </c>
      <c r="BJ37" s="258"/>
    </row>
    <row r="38" spans="1:74" s="151" customFormat="1" ht="38.25">
      <c r="A38" s="146">
        <v>308</v>
      </c>
      <c r="B38" s="141" t="s">
        <v>147</v>
      </c>
      <c r="C38" s="146">
        <v>3</v>
      </c>
      <c r="D38" s="141" t="s">
        <v>211</v>
      </c>
      <c r="E38" s="146">
        <v>24</v>
      </c>
      <c r="F38" s="141" t="s">
        <v>212</v>
      </c>
      <c r="G38" s="146">
        <v>2402</v>
      </c>
      <c r="H38" s="141" t="s">
        <v>213</v>
      </c>
      <c r="I38" s="146">
        <v>2402</v>
      </c>
      <c r="J38" s="141" t="s">
        <v>214</v>
      </c>
      <c r="K38" s="134" t="s">
        <v>1439</v>
      </c>
      <c r="L38" s="143" t="s">
        <v>61</v>
      </c>
      <c r="M38" s="141" t="s">
        <v>222</v>
      </c>
      <c r="N38" s="146">
        <v>2402006</v>
      </c>
      <c r="O38" s="141" t="s">
        <v>1440</v>
      </c>
      <c r="P38" s="143" t="s">
        <v>61</v>
      </c>
      <c r="Q38" s="142" t="s">
        <v>1441</v>
      </c>
      <c r="R38" s="146">
        <v>240200606</v>
      </c>
      <c r="S38" s="142" t="s">
        <v>1442</v>
      </c>
      <c r="T38" s="143" t="s">
        <v>157</v>
      </c>
      <c r="U38" s="253">
        <v>1.02</v>
      </c>
      <c r="V38" s="253"/>
      <c r="W38" s="133"/>
      <c r="X38" s="129">
        <v>0</v>
      </c>
      <c r="Y38" s="146">
        <v>2022003630010</v>
      </c>
      <c r="Z38" s="142" t="s">
        <v>1445</v>
      </c>
      <c r="AA38" s="141" t="s">
        <v>1446</v>
      </c>
      <c r="AB38" s="130"/>
      <c r="AC38" s="130"/>
      <c r="AD38" s="130"/>
      <c r="AE38" s="130"/>
      <c r="AF38" s="130"/>
      <c r="AG38" s="130"/>
      <c r="AH38" s="130"/>
      <c r="AI38" s="130"/>
      <c r="AJ38" s="130"/>
      <c r="AK38" s="130"/>
      <c r="AL38" s="130"/>
      <c r="AM38" s="130"/>
      <c r="AN38" s="130"/>
      <c r="AO38" s="130"/>
      <c r="AP38" s="130"/>
      <c r="AQ38" s="130"/>
      <c r="AR38" s="130"/>
      <c r="AS38" s="130"/>
      <c r="AT38" s="135"/>
      <c r="AU38" s="135"/>
      <c r="AV38" s="135"/>
      <c r="AW38" s="136"/>
      <c r="AX38" s="136"/>
      <c r="AY38" s="136"/>
      <c r="AZ38" s="136">
        <v>9133426135</v>
      </c>
      <c r="BA38" s="136"/>
      <c r="BB38" s="136"/>
      <c r="BC38" s="258"/>
      <c r="BD38" s="258"/>
      <c r="BE38" s="258"/>
      <c r="BF38" s="138">
        <f t="shared" si="0"/>
        <v>9133426135</v>
      </c>
      <c r="BG38" s="138">
        <f t="shared" si="1"/>
        <v>0</v>
      </c>
      <c r="BH38" s="138">
        <f t="shared" si="2"/>
        <v>0</v>
      </c>
      <c r="BI38" s="143" t="s">
        <v>10</v>
      </c>
      <c r="BJ38" s="258"/>
    </row>
    <row r="39" spans="1:74" s="151" customFormat="1" ht="74.25" customHeight="1">
      <c r="A39" s="139">
        <v>308</v>
      </c>
      <c r="B39" s="140" t="s">
        <v>147</v>
      </c>
      <c r="C39" s="139">
        <v>3</v>
      </c>
      <c r="D39" s="140" t="s">
        <v>211</v>
      </c>
      <c r="E39" s="139">
        <v>32</v>
      </c>
      <c r="F39" s="140" t="s">
        <v>226</v>
      </c>
      <c r="G39" s="139">
        <v>3205</v>
      </c>
      <c r="H39" s="140" t="s">
        <v>227</v>
      </c>
      <c r="I39" s="139">
        <v>3205</v>
      </c>
      <c r="J39" s="140" t="s">
        <v>228</v>
      </c>
      <c r="K39" s="140" t="s">
        <v>229</v>
      </c>
      <c r="L39" s="137">
        <v>3205010</v>
      </c>
      <c r="M39" s="140" t="s">
        <v>230</v>
      </c>
      <c r="N39" s="137">
        <v>3205010</v>
      </c>
      <c r="O39" s="140" t="s">
        <v>230</v>
      </c>
      <c r="P39" s="137" t="s">
        <v>231</v>
      </c>
      <c r="Q39" s="142" t="s">
        <v>232</v>
      </c>
      <c r="R39" s="137" t="s">
        <v>231</v>
      </c>
      <c r="S39" s="142" t="s">
        <v>232</v>
      </c>
      <c r="T39" s="143" t="s">
        <v>157</v>
      </c>
      <c r="U39" s="145">
        <v>3</v>
      </c>
      <c r="V39" s="145"/>
      <c r="W39" s="145">
        <f>U39+V39</f>
        <v>3</v>
      </c>
      <c r="X39" s="145">
        <v>0</v>
      </c>
      <c r="Y39" s="278">
        <v>2021003630004</v>
      </c>
      <c r="Z39" s="142" t="s">
        <v>233</v>
      </c>
      <c r="AA39" s="140" t="s">
        <v>234</v>
      </c>
      <c r="AB39" s="130"/>
      <c r="AC39" s="130"/>
      <c r="AD39" s="130"/>
      <c r="AE39" s="130"/>
      <c r="AF39" s="130"/>
      <c r="AG39" s="130"/>
      <c r="AH39" s="130"/>
      <c r="AI39" s="130"/>
      <c r="AJ39" s="130"/>
      <c r="AK39" s="130"/>
      <c r="AL39" s="130"/>
      <c r="AM39" s="130"/>
      <c r="AN39" s="130"/>
      <c r="AO39" s="130"/>
      <c r="AP39" s="130"/>
      <c r="AQ39" s="130"/>
      <c r="AR39" s="130"/>
      <c r="AS39" s="130"/>
      <c r="AT39" s="135">
        <v>35000000</v>
      </c>
      <c r="AU39" s="135"/>
      <c r="AV39" s="135"/>
      <c r="AW39" s="136">
        <f>400000000+300000000</f>
        <v>700000000</v>
      </c>
      <c r="AX39" s="136"/>
      <c r="AY39" s="136"/>
      <c r="AZ39" s="136"/>
      <c r="BA39" s="136"/>
      <c r="BB39" s="136"/>
      <c r="BC39" s="130"/>
      <c r="BD39" s="130"/>
      <c r="BE39" s="130"/>
      <c r="BF39" s="138">
        <f t="shared" si="0"/>
        <v>735000000</v>
      </c>
      <c r="BG39" s="138">
        <f t="shared" si="1"/>
        <v>0</v>
      </c>
      <c r="BH39" s="138">
        <f t="shared" si="2"/>
        <v>0</v>
      </c>
      <c r="BI39" s="141" t="s">
        <v>10</v>
      </c>
      <c r="BJ39" s="138"/>
      <c r="BM39" s="282"/>
      <c r="BN39" s="282"/>
      <c r="BO39" s="282"/>
      <c r="BP39" s="283"/>
      <c r="BQ39" s="282"/>
      <c r="BR39" s="282"/>
      <c r="BS39" s="282"/>
      <c r="BT39" s="282"/>
      <c r="BU39" s="282"/>
      <c r="BV39" s="282"/>
    </row>
    <row r="40" spans="1:74" s="151" customFormat="1" ht="96" customHeight="1">
      <c r="A40" s="139">
        <v>308</v>
      </c>
      <c r="B40" s="140" t="s">
        <v>147</v>
      </c>
      <c r="C40" s="139">
        <v>3</v>
      </c>
      <c r="D40" s="140" t="s">
        <v>211</v>
      </c>
      <c r="E40" s="139">
        <v>32</v>
      </c>
      <c r="F40" s="140" t="s">
        <v>226</v>
      </c>
      <c r="G40" s="139">
        <v>3205</v>
      </c>
      <c r="H40" s="140" t="s">
        <v>227</v>
      </c>
      <c r="I40" s="139">
        <v>3205</v>
      </c>
      <c r="J40" s="140" t="s">
        <v>228</v>
      </c>
      <c r="K40" s="140" t="s">
        <v>235</v>
      </c>
      <c r="L40" s="137">
        <v>3205021</v>
      </c>
      <c r="M40" s="140" t="s">
        <v>236</v>
      </c>
      <c r="N40" s="137">
        <v>3205021</v>
      </c>
      <c r="O40" s="140" t="s">
        <v>236</v>
      </c>
      <c r="P40" s="137">
        <v>320502100</v>
      </c>
      <c r="Q40" s="142" t="s">
        <v>237</v>
      </c>
      <c r="R40" s="137">
        <v>320502100</v>
      </c>
      <c r="S40" s="142" t="s">
        <v>237</v>
      </c>
      <c r="T40" s="143" t="s">
        <v>157</v>
      </c>
      <c r="U40" s="145">
        <v>4</v>
      </c>
      <c r="V40" s="145">
        <v>1</v>
      </c>
      <c r="W40" s="145">
        <f t="shared" ref="W40:W50" si="7">U40+V40</f>
        <v>5</v>
      </c>
      <c r="X40" s="145">
        <v>0</v>
      </c>
      <c r="Y40" s="278">
        <v>2021003630002</v>
      </c>
      <c r="Z40" s="142" t="s">
        <v>238</v>
      </c>
      <c r="AA40" s="141" t="s">
        <v>239</v>
      </c>
      <c r="AB40" s="130"/>
      <c r="AC40" s="130"/>
      <c r="AD40" s="130"/>
      <c r="AE40" s="130"/>
      <c r="AF40" s="130"/>
      <c r="AG40" s="130"/>
      <c r="AH40" s="130"/>
      <c r="AI40" s="130"/>
      <c r="AJ40" s="130"/>
      <c r="AK40" s="130"/>
      <c r="AL40" s="130"/>
      <c r="AM40" s="130"/>
      <c r="AN40" s="130"/>
      <c r="AO40" s="130"/>
      <c r="AP40" s="130"/>
      <c r="AQ40" s="130"/>
      <c r="AR40" s="130"/>
      <c r="AS40" s="130"/>
      <c r="AT40" s="135">
        <v>35000000</v>
      </c>
      <c r="AU40" s="135">
        <v>13400000</v>
      </c>
      <c r="AV40" s="135">
        <v>7400000</v>
      </c>
      <c r="AW40" s="136">
        <f>300000000+770000000</f>
        <v>1070000000</v>
      </c>
      <c r="AX40" s="136">
        <v>4800000</v>
      </c>
      <c r="AY40" s="136"/>
      <c r="AZ40" s="136"/>
      <c r="BA40" s="136"/>
      <c r="BB40" s="136"/>
      <c r="BC40" s="130"/>
      <c r="BD40" s="130"/>
      <c r="BE40" s="130"/>
      <c r="BF40" s="138">
        <f t="shared" si="0"/>
        <v>1105000000</v>
      </c>
      <c r="BG40" s="138">
        <f t="shared" si="1"/>
        <v>18200000</v>
      </c>
      <c r="BH40" s="138">
        <f t="shared" si="2"/>
        <v>7400000</v>
      </c>
      <c r="BI40" s="141" t="s">
        <v>10</v>
      </c>
      <c r="BJ40" s="138"/>
    </row>
    <row r="41" spans="1:74" s="151" customFormat="1" ht="60.75" customHeight="1">
      <c r="A41" s="139">
        <v>308</v>
      </c>
      <c r="B41" s="140" t="s">
        <v>147</v>
      </c>
      <c r="C41" s="139">
        <v>3</v>
      </c>
      <c r="D41" s="140" t="s">
        <v>211</v>
      </c>
      <c r="E41" s="139">
        <v>40</v>
      </c>
      <c r="F41" s="140" t="s">
        <v>240</v>
      </c>
      <c r="G41" s="139">
        <v>4001</v>
      </c>
      <c r="H41" s="140" t="s">
        <v>241</v>
      </c>
      <c r="I41" s="139">
        <v>4001</v>
      </c>
      <c r="J41" s="140" t="s">
        <v>242</v>
      </c>
      <c r="K41" s="140" t="s">
        <v>243</v>
      </c>
      <c r="L41" s="281">
        <v>4001015</v>
      </c>
      <c r="M41" s="140" t="s">
        <v>244</v>
      </c>
      <c r="N41" s="281">
        <v>4001015</v>
      </c>
      <c r="O41" s="140" t="s">
        <v>244</v>
      </c>
      <c r="P41" s="145" t="s">
        <v>245</v>
      </c>
      <c r="Q41" s="142" t="s">
        <v>246</v>
      </c>
      <c r="R41" s="145" t="s">
        <v>245</v>
      </c>
      <c r="S41" s="142" t="s">
        <v>246</v>
      </c>
      <c r="T41" s="143" t="s">
        <v>157</v>
      </c>
      <c r="U41" s="145">
        <v>120</v>
      </c>
      <c r="V41" s="145"/>
      <c r="W41" s="145">
        <f t="shared" si="7"/>
        <v>120</v>
      </c>
      <c r="X41" s="145">
        <v>0</v>
      </c>
      <c r="Y41" s="146">
        <v>2020003630057</v>
      </c>
      <c r="Z41" s="142" t="s">
        <v>247</v>
      </c>
      <c r="AA41" s="141" t="s">
        <v>248</v>
      </c>
      <c r="AB41" s="130">
        <f>250000000+80000000</f>
        <v>330000000</v>
      </c>
      <c r="AC41" s="130"/>
      <c r="AD41" s="130"/>
      <c r="AE41" s="130"/>
      <c r="AF41" s="130"/>
      <c r="AG41" s="130"/>
      <c r="AH41" s="130"/>
      <c r="AI41" s="130"/>
      <c r="AJ41" s="130"/>
      <c r="AK41" s="130"/>
      <c r="AL41" s="130"/>
      <c r="AM41" s="130"/>
      <c r="AN41" s="130"/>
      <c r="AO41" s="130"/>
      <c r="AP41" s="130"/>
      <c r="AQ41" s="130"/>
      <c r="AR41" s="130"/>
      <c r="AS41" s="130"/>
      <c r="AT41" s="135">
        <v>20000000</v>
      </c>
      <c r="AU41" s="135"/>
      <c r="AV41" s="135"/>
      <c r="AW41" s="136"/>
      <c r="AX41" s="136"/>
      <c r="AY41" s="136"/>
      <c r="AZ41" s="136"/>
      <c r="BA41" s="136"/>
      <c r="BB41" s="136"/>
      <c r="BC41" s="130"/>
      <c r="BD41" s="130"/>
      <c r="BE41" s="130"/>
      <c r="BF41" s="138">
        <f t="shared" si="0"/>
        <v>350000000</v>
      </c>
      <c r="BG41" s="138">
        <f t="shared" si="1"/>
        <v>0</v>
      </c>
      <c r="BH41" s="138">
        <f t="shared" si="2"/>
        <v>0</v>
      </c>
      <c r="BI41" s="141" t="s">
        <v>10</v>
      </c>
      <c r="BJ41" s="138"/>
    </row>
    <row r="42" spans="1:74" s="151" customFormat="1" ht="99.75" customHeight="1">
      <c r="A42" s="139">
        <v>308</v>
      </c>
      <c r="B42" s="140" t="s">
        <v>147</v>
      </c>
      <c r="C42" s="139">
        <v>3</v>
      </c>
      <c r="D42" s="140" t="s">
        <v>211</v>
      </c>
      <c r="E42" s="139">
        <v>40</v>
      </c>
      <c r="F42" s="140" t="s">
        <v>240</v>
      </c>
      <c r="G42" s="139">
        <v>4003</v>
      </c>
      <c r="H42" s="140" t="s">
        <v>249</v>
      </c>
      <c r="I42" s="139">
        <v>4003</v>
      </c>
      <c r="J42" s="140" t="s">
        <v>250</v>
      </c>
      <c r="K42" s="134" t="s">
        <v>251</v>
      </c>
      <c r="L42" s="137" t="s">
        <v>61</v>
      </c>
      <c r="M42" s="140" t="s">
        <v>252</v>
      </c>
      <c r="N42" s="139">
        <v>4003006</v>
      </c>
      <c r="O42" s="140" t="s">
        <v>253</v>
      </c>
      <c r="P42" s="137" t="s">
        <v>61</v>
      </c>
      <c r="Q42" s="142" t="s">
        <v>254</v>
      </c>
      <c r="R42" s="139">
        <v>400300600</v>
      </c>
      <c r="S42" s="142" t="s">
        <v>255</v>
      </c>
      <c r="T42" s="143" t="s">
        <v>69</v>
      </c>
      <c r="U42" s="132" t="s">
        <v>256</v>
      </c>
      <c r="V42" s="132">
        <v>1</v>
      </c>
      <c r="W42" s="145">
        <f>V42</f>
        <v>1</v>
      </c>
      <c r="X42" s="145">
        <v>0</v>
      </c>
      <c r="Y42" s="146">
        <v>2020003630014</v>
      </c>
      <c r="Z42" s="142" t="s">
        <v>257</v>
      </c>
      <c r="AA42" s="140" t="s">
        <v>258</v>
      </c>
      <c r="AB42" s="130"/>
      <c r="AC42" s="130"/>
      <c r="AD42" s="130"/>
      <c r="AE42" s="130"/>
      <c r="AF42" s="130"/>
      <c r="AG42" s="130"/>
      <c r="AH42" s="130"/>
      <c r="AI42" s="130"/>
      <c r="AJ42" s="130"/>
      <c r="AK42" s="130"/>
      <c r="AL42" s="130"/>
      <c r="AM42" s="130"/>
      <c r="AN42" s="130"/>
      <c r="AO42" s="130"/>
      <c r="AP42" s="130"/>
      <c r="AQ42" s="130">
        <v>100000000</v>
      </c>
      <c r="AR42" s="130">
        <v>100000000</v>
      </c>
      <c r="AS42" s="130"/>
      <c r="AT42" s="135"/>
      <c r="AU42" s="135"/>
      <c r="AV42" s="135"/>
      <c r="AW42" s="136"/>
      <c r="AX42" s="136"/>
      <c r="AY42" s="136"/>
      <c r="AZ42" s="136"/>
      <c r="BA42" s="136"/>
      <c r="BB42" s="136"/>
      <c r="BC42" s="130"/>
      <c r="BD42" s="130"/>
      <c r="BE42" s="130"/>
      <c r="BF42" s="138">
        <f t="shared" si="0"/>
        <v>100000000</v>
      </c>
      <c r="BG42" s="138">
        <f t="shared" si="1"/>
        <v>100000000</v>
      </c>
      <c r="BH42" s="138">
        <f t="shared" si="2"/>
        <v>0</v>
      </c>
      <c r="BI42" s="141" t="s">
        <v>10</v>
      </c>
      <c r="BJ42" s="138"/>
    </row>
    <row r="43" spans="1:74" s="151" customFormat="1" ht="86.25" customHeight="1">
      <c r="A43" s="139">
        <v>308</v>
      </c>
      <c r="B43" s="140" t="s">
        <v>147</v>
      </c>
      <c r="C43" s="139">
        <v>3</v>
      </c>
      <c r="D43" s="140" t="s">
        <v>211</v>
      </c>
      <c r="E43" s="139">
        <v>40</v>
      </c>
      <c r="F43" s="140" t="s">
        <v>240</v>
      </c>
      <c r="G43" s="139">
        <v>4003</v>
      </c>
      <c r="H43" s="140" t="s">
        <v>249</v>
      </c>
      <c r="I43" s="139">
        <v>4003</v>
      </c>
      <c r="J43" s="140" t="s">
        <v>250</v>
      </c>
      <c r="K43" s="134" t="s">
        <v>259</v>
      </c>
      <c r="L43" s="137">
        <v>4003018</v>
      </c>
      <c r="M43" s="134" t="s">
        <v>260</v>
      </c>
      <c r="N43" s="137">
        <v>4003018</v>
      </c>
      <c r="O43" s="134" t="s">
        <v>260</v>
      </c>
      <c r="P43" s="137">
        <v>400301802</v>
      </c>
      <c r="Q43" s="142" t="s">
        <v>261</v>
      </c>
      <c r="R43" s="137">
        <v>400301802</v>
      </c>
      <c r="S43" s="142" t="s">
        <v>261</v>
      </c>
      <c r="T43" s="143" t="s">
        <v>157</v>
      </c>
      <c r="U43" s="132" t="s">
        <v>256</v>
      </c>
      <c r="V43" s="132">
        <v>1</v>
      </c>
      <c r="W43" s="145">
        <f>V43</f>
        <v>1</v>
      </c>
      <c r="X43" s="145">
        <v>0</v>
      </c>
      <c r="Y43" s="146">
        <v>2020003630014</v>
      </c>
      <c r="Z43" s="142" t="s">
        <v>257</v>
      </c>
      <c r="AA43" s="140" t="s">
        <v>258</v>
      </c>
      <c r="AB43" s="130"/>
      <c r="AC43" s="130"/>
      <c r="AD43" s="130"/>
      <c r="AE43" s="130"/>
      <c r="AF43" s="130"/>
      <c r="AG43" s="130"/>
      <c r="AH43" s="130"/>
      <c r="AI43" s="130"/>
      <c r="AJ43" s="130"/>
      <c r="AK43" s="130"/>
      <c r="AL43" s="130"/>
      <c r="AM43" s="130"/>
      <c r="AN43" s="130"/>
      <c r="AO43" s="130"/>
      <c r="AP43" s="130"/>
      <c r="AQ43" s="130">
        <f>700000000+748115568</f>
        <v>1448115568</v>
      </c>
      <c r="AR43" s="130">
        <v>1448115568</v>
      </c>
      <c r="AS43" s="130"/>
      <c r="AT43" s="135"/>
      <c r="AU43" s="135"/>
      <c r="AV43" s="135"/>
      <c r="AW43" s="136"/>
      <c r="AX43" s="136"/>
      <c r="AY43" s="136"/>
      <c r="AZ43" s="136"/>
      <c r="BA43" s="136"/>
      <c r="BB43" s="136"/>
      <c r="BC43" s="130"/>
      <c r="BD43" s="130"/>
      <c r="BE43" s="130"/>
      <c r="BF43" s="138">
        <f t="shared" si="0"/>
        <v>1448115568</v>
      </c>
      <c r="BG43" s="138">
        <f t="shared" si="1"/>
        <v>1448115568</v>
      </c>
      <c r="BH43" s="138">
        <f t="shared" si="2"/>
        <v>0</v>
      </c>
      <c r="BI43" s="141" t="s">
        <v>10</v>
      </c>
      <c r="BJ43" s="138"/>
    </row>
    <row r="44" spans="1:74" s="151" customFormat="1" ht="93" customHeight="1">
      <c r="A44" s="139">
        <v>308</v>
      </c>
      <c r="B44" s="140" t="s">
        <v>147</v>
      </c>
      <c r="C44" s="139">
        <v>3</v>
      </c>
      <c r="D44" s="140" t="s">
        <v>211</v>
      </c>
      <c r="E44" s="139">
        <v>40</v>
      </c>
      <c r="F44" s="140" t="s">
        <v>240</v>
      </c>
      <c r="G44" s="139">
        <v>4003</v>
      </c>
      <c r="H44" s="140" t="s">
        <v>249</v>
      </c>
      <c r="I44" s="139">
        <v>4003</v>
      </c>
      <c r="J44" s="140" t="s">
        <v>250</v>
      </c>
      <c r="K44" s="134" t="s">
        <v>251</v>
      </c>
      <c r="L44" s="137">
        <v>4003025</v>
      </c>
      <c r="M44" s="134" t="s">
        <v>262</v>
      </c>
      <c r="N44" s="137">
        <v>4003025</v>
      </c>
      <c r="O44" s="134" t="s">
        <v>262</v>
      </c>
      <c r="P44" s="132">
        <v>400302500</v>
      </c>
      <c r="Q44" s="279" t="s">
        <v>263</v>
      </c>
      <c r="R44" s="132">
        <v>400302500</v>
      </c>
      <c r="S44" s="279" t="s">
        <v>263</v>
      </c>
      <c r="T44" s="143" t="s">
        <v>157</v>
      </c>
      <c r="U44" s="132">
        <v>3</v>
      </c>
      <c r="V44" s="134"/>
      <c r="W44" s="145">
        <f t="shared" si="7"/>
        <v>3</v>
      </c>
      <c r="X44" s="145">
        <v>0</v>
      </c>
      <c r="Y44" s="146">
        <v>2020003630014</v>
      </c>
      <c r="Z44" s="142" t="s">
        <v>257</v>
      </c>
      <c r="AA44" s="140" t="s">
        <v>258</v>
      </c>
      <c r="AB44" s="130">
        <f>1000000000+172154353+324265291</f>
        <v>1496419644</v>
      </c>
      <c r="AC44" s="130">
        <v>169038155</v>
      </c>
      <c r="AD44" s="130"/>
      <c r="AE44" s="130"/>
      <c r="AF44" s="130"/>
      <c r="AG44" s="130"/>
      <c r="AH44" s="130"/>
      <c r="AI44" s="130"/>
      <c r="AJ44" s="130"/>
      <c r="AK44" s="130"/>
      <c r="AL44" s="130"/>
      <c r="AM44" s="130"/>
      <c r="AN44" s="130"/>
      <c r="AO44" s="130"/>
      <c r="AP44" s="130"/>
      <c r="AQ44" s="130">
        <f>500000000+311522</f>
        <v>500311522</v>
      </c>
      <c r="AR44" s="130">
        <v>500311522</v>
      </c>
      <c r="AS44" s="130"/>
      <c r="AT44" s="135"/>
      <c r="AU44" s="135"/>
      <c r="AV44" s="135"/>
      <c r="AW44" s="136"/>
      <c r="AX44" s="136"/>
      <c r="AY44" s="136"/>
      <c r="AZ44" s="136"/>
      <c r="BA44" s="136"/>
      <c r="BB44" s="136"/>
      <c r="BC44" s="130"/>
      <c r="BD44" s="130"/>
      <c r="BE44" s="130"/>
      <c r="BF44" s="138">
        <f t="shared" si="0"/>
        <v>1996731166</v>
      </c>
      <c r="BG44" s="138">
        <f t="shared" si="1"/>
        <v>669349677</v>
      </c>
      <c r="BH44" s="138">
        <f t="shared" si="2"/>
        <v>0</v>
      </c>
      <c r="BI44" s="141" t="s">
        <v>10</v>
      </c>
      <c r="BJ44" s="138"/>
    </row>
    <row r="45" spans="1:74" s="151" customFormat="1" ht="101.25" customHeight="1">
      <c r="A45" s="139">
        <v>308</v>
      </c>
      <c r="B45" s="140" t="s">
        <v>147</v>
      </c>
      <c r="C45" s="139">
        <v>3</v>
      </c>
      <c r="D45" s="140" t="s">
        <v>211</v>
      </c>
      <c r="E45" s="139">
        <v>40</v>
      </c>
      <c r="F45" s="140" t="s">
        <v>240</v>
      </c>
      <c r="G45" s="139">
        <v>4003</v>
      </c>
      <c r="H45" s="140" t="s">
        <v>249</v>
      </c>
      <c r="I45" s="139">
        <v>4003</v>
      </c>
      <c r="J45" s="140" t="s">
        <v>250</v>
      </c>
      <c r="K45" s="134" t="s">
        <v>251</v>
      </c>
      <c r="L45" s="137">
        <v>4003028</v>
      </c>
      <c r="M45" s="134" t="s">
        <v>264</v>
      </c>
      <c r="N45" s="137">
        <v>4003028</v>
      </c>
      <c r="O45" s="134" t="s">
        <v>264</v>
      </c>
      <c r="P45" s="137">
        <v>400302801</v>
      </c>
      <c r="Q45" s="142" t="s">
        <v>265</v>
      </c>
      <c r="R45" s="137">
        <v>400302801</v>
      </c>
      <c r="S45" s="142" t="s">
        <v>265</v>
      </c>
      <c r="T45" s="143" t="s">
        <v>69</v>
      </c>
      <c r="U45" s="132">
        <v>4</v>
      </c>
      <c r="V45" s="132"/>
      <c r="W45" s="145">
        <f>U45+V45</f>
        <v>4</v>
      </c>
      <c r="X45" s="145">
        <v>0</v>
      </c>
      <c r="Y45" s="146">
        <v>2020003630014</v>
      </c>
      <c r="Z45" s="142" t="s">
        <v>257</v>
      </c>
      <c r="AA45" s="140" t="s">
        <v>258</v>
      </c>
      <c r="AB45" s="130"/>
      <c r="AC45" s="130"/>
      <c r="AD45" s="130"/>
      <c r="AE45" s="130"/>
      <c r="AF45" s="130"/>
      <c r="AG45" s="130"/>
      <c r="AH45" s="130"/>
      <c r="AI45" s="130"/>
      <c r="AJ45" s="130"/>
      <c r="AK45" s="130"/>
      <c r="AL45" s="130"/>
      <c r="AM45" s="130"/>
      <c r="AN45" s="130"/>
      <c r="AO45" s="130"/>
      <c r="AP45" s="130"/>
      <c r="AQ45" s="130">
        <v>300000000</v>
      </c>
      <c r="AR45" s="130">
        <v>300000000</v>
      </c>
      <c r="AS45" s="130"/>
      <c r="AT45" s="135"/>
      <c r="AU45" s="135"/>
      <c r="AV45" s="135"/>
      <c r="AW45" s="136"/>
      <c r="AX45" s="136"/>
      <c r="AY45" s="136"/>
      <c r="AZ45" s="136"/>
      <c r="BA45" s="136"/>
      <c r="BB45" s="136"/>
      <c r="BC45" s="130"/>
      <c r="BD45" s="130"/>
      <c r="BE45" s="130"/>
      <c r="BF45" s="138">
        <f t="shared" si="0"/>
        <v>300000000</v>
      </c>
      <c r="BG45" s="138">
        <f t="shared" si="1"/>
        <v>300000000</v>
      </c>
      <c r="BH45" s="138">
        <f t="shared" si="2"/>
        <v>0</v>
      </c>
      <c r="BI45" s="141" t="s">
        <v>10</v>
      </c>
      <c r="BJ45" s="138"/>
    </row>
    <row r="46" spans="1:74" s="151" customFormat="1" ht="88.5" customHeight="1">
      <c r="A46" s="139">
        <v>308</v>
      </c>
      <c r="B46" s="140" t="s">
        <v>147</v>
      </c>
      <c r="C46" s="139">
        <v>3</v>
      </c>
      <c r="D46" s="140" t="s">
        <v>211</v>
      </c>
      <c r="E46" s="139">
        <v>40</v>
      </c>
      <c r="F46" s="140" t="s">
        <v>240</v>
      </c>
      <c r="G46" s="139">
        <v>4003</v>
      </c>
      <c r="H46" s="140" t="s">
        <v>249</v>
      </c>
      <c r="I46" s="139">
        <v>4003</v>
      </c>
      <c r="J46" s="140" t="s">
        <v>250</v>
      </c>
      <c r="K46" s="134" t="s">
        <v>251</v>
      </c>
      <c r="L46" s="137">
        <v>4003042</v>
      </c>
      <c r="M46" s="134" t="s">
        <v>266</v>
      </c>
      <c r="N46" s="137">
        <v>4003042</v>
      </c>
      <c r="O46" s="134" t="s">
        <v>266</v>
      </c>
      <c r="P46" s="137">
        <v>400304200</v>
      </c>
      <c r="Q46" s="142" t="s">
        <v>267</v>
      </c>
      <c r="R46" s="137">
        <v>400304200</v>
      </c>
      <c r="S46" s="284" t="s">
        <v>267</v>
      </c>
      <c r="T46" s="143" t="s">
        <v>157</v>
      </c>
      <c r="U46" s="132">
        <v>2</v>
      </c>
      <c r="V46" s="132"/>
      <c r="W46" s="145">
        <f>U46+V46</f>
        <v>2</v>
      </c>
      <c r="X46" s="145">
        <v>0</v>
      </c>
      <c r="Y46" s="146">
        <v>2020003630014</v>
      </c>
      <c r="Z46" s="142" t="s">
        <v>257</v>
      </c>
      <c r="AA46" s="140" t="s">
        <v>258</v>
      </c>
      <c r="AB46" s="130"/>
      <c r="AC46" s="130"/>
      <c r="AD46" s="130"/>
      <c r="AE46" s="130"/>
      <c r="AF46" s="130"/>
      <c r="AG46" s="130"/>
      <c r="AH46" s="130"/>
      <c r="AI46" s="130"/>
      <c r="AJ46" s="130"/>
      <c r="AK46" s="130"/>
      <c r="AL46" s="130"/>
      <c r="AM46" s="130"/>
      <c r="AN46" s="130"/>
      <c r="AO46" s="130"/>
      <c r="AP46" s="130"/>
      <c r="AQ46" s="130">
        <v>200000000</v>
      </c>
      <c r="AR46" s="130">
        <v>200000000</v>
      </c>
      <c r="AS46" s="130"/>
      <c r="AT46" s="135"/>
      <c r="AU46" s="135"/>
      <c r="AV46" s="135"/>
      <c r="AW46" s="136"/>
      <c r="AX46" s="136"/>
      <c r="AY46" s="136"/>
      <c r="AZ46" s="136"/>
      <c r="BA46" s="136"/>
      <c r="BB46" s="136"/>
      <c r="BC46" s="130"/>
      <c r="BD46" s="130"/>
      <c r="BE46" s="130"/>
      <c r="BF46" s="138">
        <f t="shared" si="0"/>
        <v>200000000</v>
      </c>
      <c r="BG46" s="138">
        <f t="shared" si="1"/>
        <v>200000000</v>
      </c>
      <c r="BH46" s="138">
        <f t="shared" si="2"/>
        <v>0</v>
      </c>
      <c r="BI46" s="141" t="s">
        <v>10</v>
      </c>
      <c r="BJ46" s="138"/>
    </row>
    <row r="47" spans="1:74" s="151" customFormat="1" ht="102.75" customHeight="1">
      <c r="A47" s="139">
        <v>308</v>
      </c>
      <c r="B47" s="140" t="s">
        <v>147</v>
      </c>
      <c r="C47" s="139">
        <v>3</v>
      </c>
      <c r="D47" s="140" t="s">
        <v>211</v>
      </c>
      <c r="E47" s="139">
        <v>40</v>
      </c>
      <c r="F47" s="140" t="s">
        <v>240</v>
      </c>
      <c r="G47" s="139">
        <v>4003</v>
      </c>
      <c r="H47" s="140" t="s">
        <v>249</v>
      </c>
      <c r="I47" s="139">
        <v>4003</v>
      </c>
      <c r="J47" s="140" t="s">
        <v>250</v>
      </c>
      <c r="K47" s="134" t="s">
        <v>251</v>
      </c>
      <c r="L47" s="137" t="s">
        <v>268</v>
      </c>
      <c r="M47" s="134" t="s">
        <v>269</v>
      </c>
      <c r="N47" s="137" t="s">
        <v>268</v>
      </c>
      <c r="O47" s="134" t="s">
        <v>269</v>
      </c>
      <c r="P47" s="132">
        <v>400302600</v>
      </c>
      <c r="Q47" s="279" t="s">
        <v>270</v>
      </c>
      <c r="R47" s="132">
        <v>400302600</v>
      </c>
      <c r="S47" s="279" t="s">
        <v>270</v>
      </c>
      <c r="T47" s="143" t="s">
        <v>157</v>
      </c>
      <c r="U47" s="132">
        <v>0.4</v>
      </c>
      <c r="V47" s="132">
        <v>1.1000000000000001</v>
      </c>
      <c r="W47" s="145">
        <f t="shared" si="7"/>
        <v>1.5</v>
      </c>
      <c r="X47" s="145">
        <v>0</v>
      </c>
      <c r="Y47" s="146">
        <v>2020003630014</v>
      </c>
      <c r="Z47" s="142" t="s">
        <v>257</v>
      </c>
      <c r="AA47" s="140" t="s">
        <v>271</v>
      </c>
      <c r="AB47" s="130"/>
      <c r="AC47" s="130"/>
      <c r="AD47" s="130"/>
      <c r="AE47" s="130"/>
      <c r="AF47" s="130"/>
      <c r="AG47" s="130"/>
      <c r="AH47" s="130"/>
      <c r="AI47" s="130"/>
      <c r="AJ47" s="130"/>
      <c r="AK47" s="130"/>
      <c r="AL47" s="130"/>
      <c r="AM47" s="130"/>
      <c r="AN47" s="130"/>
      <c r="AO47" s="130"/>
      <c r="AP47" s="130"/>
      <c r="AQ47" s="130">
        <f>1152931316+19052645.84</f>
        <v>1171983961.8399999</v>
      </c>
      <c r="AR47" s="130">
        <v>1152931316</v>
      </c>
      <c r="AS47" s="130"/>
      <c r="AT47" s="135"/>
      <c r="AU47" s="135"/>
      <c r="AV47" s="135"/>
      <c r="AW47" s="136"/>
      <c r="AX47" s="136"/>
      <c r="AY47" s="136"/>
      <c r="AZ47" s="136"/>
      <c r="BA47" s="136"/>
      <c r="BB47" s="136"/>
      <c r="BC47" s="130"/>
      <c r="BD47" s="130"/>
      <c r="BE47" s="130"/>
      <c r="BF47" s="138">
        <f t="shared" si="0"/>
        <v>1171983961.8399999</v>
      </c>
      <c r="BG47" s="138">
        <f t="shared" si="1"/>
        <v>1152931316</v>
      </c>
      <c r="BH47" s="138">
        <f t="shared" si="2"/>
        <v>0</v>
      </c>
      <c r="BI47" s="141" t="s">
        <v>10</v>
      </c>
      <c r="BJ47" s="138"/>
    </row>
    <row r="48" spans="1:74" s="151" customFormat="1" ht="63.75">
      <c r="A48" s="139">
        <v>308</v>
      </c>
      <c r="B48" s="140" t="s">
        <v>147</v>
      </c>
      <c r="C48" s="139">
        <v>4</v>
      </c>
      <c r="D48" s="140" t="s">
        <v>59</v>
      </c>
      <c r="E48" s="139">
        <v>45</v>
      </c>
      <c r="F48" s="140" t="s">
        <v>60</v>
      </c>
      <c r="G48" s="139" t="s">
        <v>61</v>
      </c>
      <c r="H48" s="140" t="s">
        <v>62</v>
      </c>
      <c r="I48" s="139">
        <v>4599</v>
      </c>
      <c r="J48" s="140" t="s">
        <v>63</v>
      </c>
      <c r="K48" s="140" t="s">
        <v>64</v>
      </c>
      <c r="L48" s="139" t="s">
        <v>61</v>
      </c>
      <c r="M48" s="140" t="s">
        <v>272</v>
      </c>
      <c r="N48" s="137" t="s">
        <v>273</v>
      </c>
      <c r="O48" s="140" t="s">
        <v>167</v>
      </c>
      <c r="P48" s="139" t="s">
        <v>61</v>
      </c>
      <c r="Q48" s="142" t="s">
        <v>274</v>
      </c>
      <c r="R48" s="137">
        <v>459901600</v>
      </c>
      <c r="S48" s="141" t="s">
        <v>167</v>
      </c>
      <c r="T48" s="143" t="s">
        <v>69</v>
      </c>
      <c r="U48" s="145">
        <v>4</v>
      </c>
      <c r="V48" s="145"/>
      <c r="W48" s="145">
        <f t="shared" si="7"/>
        <v>4</v>
      </c>
      <c r="X48" s="145">
        <v>0</v>
      </c>
      <c r="Y48" s="278">
        <v>2021003630003</v>
      </c>
      <c r="Z48" s="142" t="s">
        <v>275</v>
      </c>
      <c r="AA48" s="142" t="s">
        <v>276</v>
      </c>
      <c r="AB48" s="138"/>
      <c r="AC48" s="138"/>
      <c r="AD48" s="138"/>
      <c r="AE48" s="130"/>
      <c r="AF48" s="130"/>
      <c r="AG48" s="130"/>
      <c r="AH48" s="130"/>
      <c r="AI48" s="130"/>
      <c r="AJ48" s="130"/>
      <c r="AK48" s="130"/>
      <c r="AL48" s="130"/>
      <c r="AM48" s="130"/>
      <c r="AN48" s="130"/>
      <c r="AO48" s="130"/>
      <c r="AP48" s="130"/>
      <c r="AQ48" s="130"/>
      <c r="AR48" s="130"/>
      <c r="AS48" s="130"/>
      <c r="AT48" s="135">
        <f>50000000+263000000+250000000</f>
        <v>563000000</v>
      </c>
      <c r="AU48" s="135">
        <v>49800000</v>
      </c>
      <c r="AV48" s="135">
        <v>3250000</v>
      </c>
      <c r="AW48" s="130"/>
      <c r="AX48" s="130"/>
      <c r="AY48" s="130"/>
      <c r="AZ48" s="130"/>
      <c r="BA48" s="130"/>
      <c r="BB48" s="130"/>
      <c r="BC48" s="130"/>
      <c r="BD48" s="130"/>
      <c r="BE48" s="130"/>
      <c r="BF48" s="138">
        <f t="shared" si="0"/>
        <v>563000000</v>
      </c>
      <c r="BG48" s="138">
        <f t="shared" si="1"/>
        <v>49800000</v>
      </c>
      <c r="BH48" s="138">
        <f t="shared" si="2"/>
        <v>3250000</v>
      </c>
      <c r="BI48" s="141" t="s">
        <v>10</v>
      </c>
      <c r="BJ48" s="138"/>
    </row>
    <row r="49" spans="1:62" s="151" customFormat="1" ht="63.75">
      <c r="A49" s="146">
        <v>308</v>
      </c>
      <c r="B49" s="141" t="s">
        <v>147</v>
      </c>
      <c r="C49" s="139">
        <v>4</v>
      </c>
      <c r="D49" s="141" t="s">
        <v>59</v>
      </c>
      <c r="E49" s="146">
        <v>45</v>
      </c>
      <c r="F49" s="141" t="s">
        <v>60</v>
      </c>
      <c r="G49" s="143" t="s">
        <v>61</v>
      </c>
      <c r="H49" s="141" t="s">
        <v>62</v>
      </c>
      <c r="I49" s="146">
        <v>4599</v>
      </c>
      <c r="J49" s="141" t="s">
        <v>63</v>
      </c>
      <c r="K49" s="141" t="s">
        <v>64</v>
      </c>
      <c r="L49" s="143" t="s">
        <v>61</v>
      </c>
      <c r="M49" s="141" t="s">
        <v>272</v>
      </c>
      <c r="N49" s="137" t="s">
        <v>273</v>
      </c>
      <c r="O49" s="141" t="s">
        <v>167</v>
      </c>
      <c r="P49" s="143" t="s">
        <v>61</v>
      </c>
      <c r="Q49" s="142" t="s">
        <v>274</v>
      </c>
      <c r="R49" s="137">
        <v>459901600</v>
      </c>
      <c r="S49" s="141" t="s">
        <v>167</v>
      </c>
      <c r="T49" s="143" t="s">
        <v>69</v>
      </c>
      <c r="U49" s="253">
        <v>1</v>
      </c>
      <c r="V49" s="253"/>
      <c r="W49" s="133"/>
      <c r="X49" s="129">
        <v>0</v>
      </c>
      <c r="Y49" s="278">
        <v>2022003630008</v>
      </c>
      <c r="Z49" s="285" t="s">
        <v>1447</v>
      </c>
      <c r="AA49" s="142" t="s">
        <v>1448</v>
      </c>
      <c r="AB49" s="138"/>
      <c r="AC49" s="138"/>
      <c r="AD49" s="138"/>
      <c r="AE49" s="130"/>
      <c r="AF49" s="130"/>
      <c r="AG49" s="130"/>
      <c r="AH49" s="130"/>
      <c r="AI49" s="130"/>
      <c r="AJ49" s="130"/>
      <c r="AK49" s="130"/>
      <c r="AL49" s="130"/>
      <c r="AM49" s="130"/>
      <c r="AN49" s="130"/>
      <c r="AO49" s="130"/>
      <c r="AP49" s="130"/>
      <c r="AQ49" s="130"/>
      <c r="AR49" s="130"/>
      <c r="AS49" s="130"/>
      <c r="AT49" s="135"/>
      <c r="AU49" s="135"/>
      <c r="AV49" s="135"/>
      <c r="AW49" s="135"/>
      <c r="AX49" s="135"/>
      <c r="AY49" s="135"/>
      <c r="AZ49" s="135">
        <v>499979386</v>
      </c>
      <c r="BA49" s="135"/>
      <c r="BB49" s="135"/>
      <c r="BC49" s="258"/>
      <c r="BD49" s="258"/>
      <c r="BE49" s="258"/>
      <c r="BF49" s="138">
        <f t="shared" si="0"/>
        <v>499979386</v>
      </c>
      <c r="BG49" s="138">
        <f t="shared" si="1"/>
        <v>0</v>
      </c>
      <c r="BH49" s="138">
        <f t="shared" si="2"/>
        <v>0</v>
      </c>
      <c r="BI49" s="141" t="s">
        <v>10</v>
      </c>
      <c r="BJ49" s="258"/>
    </row>
    <row r="50" spans="1:62" s="151" customFormat="1" ht="104.25" customHeight="1">
      <c r="A50" s="139">
        <v>308</v>
      </c>
      <c r="B50" s="140" t="s">
        <v>147</v>
      </c>
      <c r="C50" s="139">
        <v>4</v>
      </c>
      <c r="D50" s="140" t="s">
        <v>59</v>
      </c>
      <c r="E50" s="139">
        <v>45</v>
      </c>
      <c r="F50" s="140" t="s">
        <v>60</v>
      </c>
      <c r="G50" s="139">
        <v>4502</v>
      </c>
      <c r="H50" s="140" t="s">
        <v>78</v>
      </c>
      <c r="I50" s="139">
        <v>4502</v>
      </c>
      <c r="J50" s="140" t="s">
        <v>79</v>
      </c>
      <c r="K50" s="140" t="s">
        <v>88</v>
      </c>
      <c r="L50" s="137">
        <v>4502003</v>
      </c>
      <c r="M50" s="134" t="s">
        <v>277</v>
      </c>
      <c r="N50" s="137">
        <v>4502003</v>
      </c>
      <c r="O50" s="134" t="s">
        <v>278</v>
      </c>
      <c r="P50" s="137">
        <v>450200300</v>
      </c>
      <c r="Q50" s="142" t="s">
        <v>277</v>
      </c>
      <c r="R50" s="137">
        <v>450200300</v>
      </c>
      <c r="S50" s="142" t="s">
        <v>277</v>
      </c>
      <c r="T50" s="143" t="s">
        <v>157</v>
      </c>
      <c r="U50" s="145">
        <v>2</v>
      </c>
      <c r="V50" s="145"/>
      <c r="W50" s="145">
        <f t="shared" si="7"/>
        <v>2</v>
      </c>
      <c r="X50" s="145">
        <v>0</v>
      </c>
      <c r="Y50" s="278">
        <v>2021003630006</v>
      </c>
      <c r="Z50" s="142" t="s">
        <v>279</v>
      </c>
      <c r="AA50" s="142" t="s">
        <v>280</v>
      </c>
      <c r="AB50" s="138"/>
      <c r="AC50" s="138"/>
      <c r="AD50" s="138"/>
      <c r="AE50" s="130"/>
      <c r="AF50" s="130"/>
      <c r="AG50" s="130"/>
      <c r="AH50" s="130"/>
      <c r="AI50" s="130"/>
      <c r="AJ50" s="130"/>
      <c r="AK50" s="130"/>
      <c r="AL50" s="130"/>
      <c r="AM50" s="130"/>
      <c r="AN50" s="130"/>
      <c r="AO50" s="130"/>
      <c r="AP50" s="130"/>
      <c r="AQ50" s="130"/>
      <c r="AR50" s="130"/>
      <c r="AS50" s="130"/>
      <c r="AT50" s="135">
        <v>40000000</v>
      </c>
      <c r="AU50" s="135">
        <v>40000000</v>
      </c>
      <c r="AV50" s="135">
        <v>2000000</v>
      </c>
      <c r="AW50" s="130"/>
      <c r="AX50" s="130"/>
      <c r="AY50" s="130"/>
      <c r="AZ50" s="130"/>
      <c r="BA50" s="130"/>
      <c r="BB50" s="130"/>
      <c r="BC50" s="130"/>
      <c r="BD50" s="130"/>
      <c r="BE50" s="130"/>
      <c r="BF50" s="138">
        <f t="shared" si="0"/>
        <v>40000000</v>
      </c>
      <c r="BG50" s="138">
        <f t="shared" si="1"/>
        <v>40000000</v>
      </c>
      <c r="BH50" s="138">
        <f t="shared" si="2"/>
        <v>2000000</v>
      </c>
      <c r="BI50" s="141" t="s">
        <v>10</v>
      </c>
      <c r="BJ50" s="138"/>
    </row>
    <row r="51" spans="1:62" s="151" customFormat="1" ht="63.75">
      <c r="A51" s="139">
        <v>308</v>
      </c>
      <c r="B51" s="140" t="s">
        <v>147</v>
      </c>
      <c r="C51" s="139">
        <v>1</v>
      </c>
      <c r="D51" s="140" t="s">
        <v>148</v>
      </c>
      <c r="E51" s="139">
        <v>19</v>
      </c>
      <c r="F51" s="140" t="s">
        <v>755</v>
      </c>
      <c r="G51" s="139" t="s">
        <v>61</v>
      </c>
      <c r="H51" s="140" t="s">
        <v>62</v>
      </c>
      <c r="I51" s="139">
        <v>1903</v>
      </c>
      <c r="J51" s="141" t="s">
        <v>934</v>
      </c>
      <c r="K51" s="141" t="s">
        <v>1452</v>
      </c>
      <c r="L51" s="137" t="s">
        <v>61</v>
      </c>
      <c r="M51" s="134" t="s">
        <v>272</v>
      </c>
      <c r="N51" s="137">
        <v>1903043</v>
      </c>
      <c r="O51" s="134" t="s">
        <v>1449</v>
      </c>
      <c r="P51" s="139" t="s">
        <v>61</v>
      </c>
      <c r="Q51" s="142" t="s">
        <v>274</v>
      </c>
      <c r="R51" s="137">
        <v>190304300</v>
      </c>
      <c r="S51" s="142" t="s">
        <v>1453</v>
      </c>
      <c r="T51" s="143" t="s">
        <v>1454</v>
      </c>
      <c r="U51" s="144">
        <v>1</v>
      </c>
      <c r="V51" s="144"/>
      <c r="W51" s="129">
        <f>U51+V51</f>
        <v>1</v>
      </c>
      <c r="X51" s="129">
        <v>0</v>
      </c>
      <c r="Y51" s="278">
        <v>2022000040007</v>
      </c>
      <c r="Z51" s="285" t="s">
        <v>1450</v>
      </c>
      <c r="AA51" s="142" t="s">
        <v>1451</v>
      </c>
      <c r="AB51" s="138"/>
      <c r="AC51" s="138"/>
      <c r="AD51" s="138"/>
      <c r="AE51" s="130"/>
      <c r="AF51" s="130"/>
      <c r="AG51" s="130"/>
      <c r="AH51" s="130"/>
      <c r="AI51" s="130"/>
      <c r="AJ51" s="130"/>
      <c r="AK51" s="130"/>
      <c r="AL51" s="130"/>
      <c r="AM51" s="130"/>
      <c r="AN51" s="130"/>
      <c r="AO51" s="130"/>
      <c r="AP51" s="130"/>
      <c r="AQ51" s="130"/>
      <c r="AR51" s="130"/>
      <c r="AS51" s="130"/>
      <c r="AT51" s="135"/>
      <c r="AU51" s="135"/>
      <c r="AV51" s="135"/>
      <c r="AW51" s="286"/>
      <c r="AX51" s="286"/>
      <c r="AY51" s="287"/>
      <c r="AZ51" s="148">
        <v>6000000000</v>
      </c>
      <c r="BA51" s="148"/>
      <c r="BB51" s="148"/>
      <c r="BC51" s="130">
        <v>15612200000</v>
      </c>
      <c r="BD51" s="130"/>
      <c r="BE51" s="130"/>
      <c r="BF51" s="138">
        <f t="shared" si="0"/>
        <v>21612200000</v>
      </c>
      <c r="BG51" s="138">
        <f t="shared" si="1"/>
        <v>0</v>
      </c>
      <c r="BH51" s="138">
        <f t="shared" si="2"/>
        <v>0</v>
      </c>
      <c r="BI51" s="141" t="s">
        <v>10</v>
      </c>
      <c r="BJ51" s="258"/>
    </row>
    <row r="52" spans="1:62" s="288" customFormat="1" ht="114" customHeight="1">
      <c r="A52" s="139">
        <v>309</v>
      </c>
      <c r="B52" s="140" t="s">
        <v>281</v>
      </c>
      <c r="C52" s="139">
        <v>1</v>
      </c>
      <c r="D52" s="140" t="s">
        <v>148</v>
      </c>
      <c r="E52" s="139">
        <v>12</v>
      </c>
      <c r="F52" s="140" t="s">
        <v>149</v>
      </c>
      <c r="G52" s="139">
        <v>1202</v>
      </c>
      <c r="H52" s="140" t="s">
        <v>150</v>
      </c>
      <c r="I52" s="139">
        <v>1202</v>
      </c>
      <c r="J52" s="140" t="s">
        <v>151</v>
      </c>
      <c r="K52" s="140" t="s">
        <v>152</v>
      </c>
      <c r="L52" s="139">
        <v>1202004</v>
      </c>
      <c r="M52" s="140" t="s">
        <v>282</v>
      </c>
      <c r="N52" s="139">
        <v>1202004</v>
      </c>
      <c r="O52" s="140" t="s">
        <v>282</v>
      </c>
      <c r="P52" s="137">
        <v>120200400</v>
      </c>
      <c r="Q52" s="142" t="s">
        <v>121</v>
      </c>
      <c r="R52" s="137">
        <v>120200400</v>
      </c>
      <c r="S52" s="142" t="s">
        <v>121</v>
      </c>
      <c r="T52" s="143" t="s">
        <v>69</v>
      </c>
      <c r="U52" s="145">
        <v>12</v>
      </c>
      <c r="V52" s="145"/>
      <c r="W52" s="145">
        <f>U52+V52</f>
        <v>12</v>
      </c>
      <c r="X52" s="145">
        <v>10</v>
      </c>
      <c r="Y52" s="146">
        <v>2020003630060</v>
      </c>
      <c r="Z52" s="142" t="s">
        <v>283</v>
      </c>
      <c r="AA52" s="142" t="s">
        <v>284</v>
      </c>
      <c r="AB52" s="130"/>
      <c r="AC52" s="130"/>
      <c r="AD52" s="130"/>
      <c r="AE52" s="130"/>
      <c r="AF52" s="130"/>
      <c r="AG52" s="130"/>
      <c r="AH52" s="130"/>
      <c r="AI52" s="130"/>
      <c r="AJ52" s="130"/>
      <c r="AK52" s="130"/>
      <c r="AL52" s="130"/>
      <c r="AM52" s="130"/>
      <c r="AN52" s="130"/>
      <c r="AO52" s="130"/>
      <c r="AP52" s="130"/>
      <c r="AQ52" s="130"/>
      <c r="AR52" s="130"/>
      <c r="AS52" s="130"/>
      <c r="AT52" s="135">
        <f>74000000+20000000+45000000</f>
        <v>139000000</v>
      </c>
      <c r="AU52" s="135">
        <v>35188012</v>
      </c>
      <c r="AV52" s="135">
        <v>14800000</v>
      </c>
      <c r="AW52" s="130"/>
      <c r="AX52" s="130"/>
      <c r="AY52" s="130"/>
      <c r="AZ52" s="130"/>
      <c r="BA52" s="130"/>
      <c r="BB52" s="130"/>
      <c r="BC52" s="130"/>
      <c r="BD52" s="130"/>
      <c r="BE52" s="130"/>
      <c r="BF52" s="138">
        <f t="shared" si="0"/>
        <v>139000000</v>
      </c>
      <c r="BG52" s="138">
        <f t="shared" si="1"/>
        <v>35188012</v>
      </c>
      <c r="BH52" s="138">
        <f t="shared" si="2"/>
        <v>14800000</v>
      </c>
      <c r="BI52" s="141" t="s">
        <v>8</v>
      </c>
    </row>
    <row r="53" spans="1:62" s="288" customFormat="1" ht="114" customHeight="1">
      <c r="A53" s="139">
        <v>309</v>
      </c>
      <c r="B53" s="140" t="s">
        <v>281</v>
      </c>
      <c r="C53" s="139">
        <v>1</v>
      </c>
      <c r="D53" s="140" t="s">
        <v>148</v>
      </c>
      <c r="E53" s="139">
        <v>12</v>
      </c>
      <c r="F53" s="140" t="s">
        <v>149</v>
      </c>
      <c r="G53" s="139">
        <v>1203</v>
      </c>
      <c r="H53" s="140" t="s">
        <v>285</v>
      </c>
      <c r="I53" s="139">
        <v>1203</v>
      </c>
      <c r="J53" s="140" t="s">
        <v>286</v>
      </c>
      <c r="K53" s="140" t="s">
        <v>152</v>
      </c>
      <c r="L53" s="139">
        <v>1203002</v>
      </c>
      <c r="M53" s="140" t="s">
        <v>287</v>
      </c>
      <c r="N53" s="139">
        <v>1203002</v>
      </c>
      <c r="O53" s="140" t="s">
        <v>287</v>
      </c>
      <c r="P53" s="139">
        <v>120300200</v>
      </c>
      <c r="Q53" s="142" t="s">
        <v>288</v>
      </c>
      <c r="R53" s="139">
        <v>120300200</v>
      </c>
      <c r="S53" s="142" t="s">
        <v>288</v>
      </c>
      <c r="T53" s="289" t="s">
        <v>157</v>
      </c>
      <c r="U53" s="145">
        <v>50</v>
      </c>
      <c r="V53" s="145"/>
      <c r="W53" s="145">
        <f t="shared" ref="W53:W72" si="8">U53+V53</f>
        <v>50</v>
      </c>
      <c r="X53" s="145">
        <v>18</v>
      </c>
      <c r="Y53" s="146">
        <v>2020003630061</v>
      </c>
      <c r="Z53" s="142" t="s">
        <v>289</v>
      </c>
      <c r="AA53" s="142" t="s">
        <v>290</v>
      </c>
      <c r="AB53" s="130"/>
      <c r="AC53" s="130"/>
      <c r="AD53" s="130"/>
      <c r="AE53" s="130"/>
      <c r="AF53" s="130"/>
      <c r="AG53" s="130"/>
      <c r="AH53" s="130"/>
      <c r="AI53" s="130"/>
      <c r="AJ53" s="130"/>
      <c r="AK53" s="130"/>
      <c r="AL53" s="130"/>
      <c r="AM53" s="130"/>
      <c r="AN53" s="130"/>
      <c r="AO53" s="130"/>
      <c r="AP53" s="130"/>
      <c r="AQ53" s="130"/>
      <c r="AR53" s="130"/>
      <c r="AS53" s="130"/>
      <c r="AT53" s="135">
        <f>34000000+15000000+18000000</f>
        <v>67000000</v>
      </c>
      <c r="AU53" s="135">
        <v>15300000</v>
      </c>
      <c r="AV53" s="135">
        <v>8200000</v>
      </c>
      <c r="AW53" s="130"/>
      <c r="AX53" s="130"/>
      <c r="AY53" s="130"/>
      <c r="AZ53" s="130"/>
      <c r="BA53" s="130"/>
      <c r="BB53" s="130"/>
      <c r="BC53" s="138"/>
      <c r="BD53" s="138"/>
      <c r="BE53" s="138"/>
      <c r="BF53" s="138">
        <f t="shared" si="0"/>
        <v>67000000</v>
      </c>
      <c r="BG53" s="138">
        <f t="shared" si="1"/>
        <v>15300000</v>
      </c>
      <c r="BH53" s="138">
        <f t="shared" si="2"/>
        <v>8200000</v>
      </c>
      <c r="BI53" s="141" t="s">
        <v>8</v>
      </c>
    </row>
    <row r="54" spans="1:62" s="288" customFormat="1" ht="114" customHeight="1">
      <c r="A54" s="139">
        <v>309</v>
      </c>
      <c r="B54" s="140" t="s">
        <v>281</v>
      </c>
      <c r="C54" s="139">
        <v>1</v>
      </c>
      <c r="D54" s="140" t="s">
        <v>148</v>
      </c>
      <c r="E54" s="139">
        <v>12</v>
      </c>
      <c r="F54" s="140" t="s">
        <v>149</v>
      </c>
      <c r="G54" s="139">
        <v>1206</v>
      </c>
      <c r="H54" s="140" t="s">
        <v>291</v>
      </c>
      <c r="I54" s="139">
        <v>1206</v>
      </c>
      <c r="J54" s="140" t="s">
        <v>292</v>
      </c>
      <c r="K54" s="140" t="s">
        <v>152</v>
      </c>
      <c r="L54" s="139">
        <v>1206005</v>
      </c>
      <c r="M54" s="140" t="s">
        <v>293</v>
      </c>
      <c r="N54" s="139">
        <v>1206005</v>
      </c>
      <c r="O54" s="140" t="s">
        <v>293</v>
      </c>
      <c r="P54" s="137">
        <v>120600500</v>
      </c>
      <c r="Q54" s="141" t="s">
        <v>294</v>
      </c>
      <c r="R54" s="137">
        <v>120600500</v>
      </c>
      <c r="S54" s="142" t="s">
        <v>294</v>
      </c>
      <c r="T54" s="289" t="s">
        <v>157</v>
      </c>
      <c r="U54" s="145">
        <v>35</v>
      </c>
      <c r="V54" s="145"/>
      <c r="W54" s="145">
        <f t="shared" si="8"/>
        <v>35</v>
      </c>
      <c r="X54" s="145">
        <v>10</v>
      </c>
      <c r="Y54" s="146">
        <v>2020003630062</v>
      </c>
      <c r="Z54" s="142" t="s">
        <v>295</v>
      </c>
      <c r="AA54" s="141" t="s">
        <v>296</v>
      </c>
      <c r="AB54" s="130"/>
      <c r="AC54" s="130"/>
      <c r="AD54" s="130"/>
      <c r="AE54" s="130"/>
      <c r="AF54" s="130"/>
      <c r="AG54" s="130"/>
      <c r="AH54" s="130"/>
      <c r="AI54" s="130"/>
      <c r="AJ54" s="130"/>
      <c r="AK54" s="130"/>
      <c r="AL54" s="130"/>
      <c r="AM54" s="130"/>
      <c r="AN54" s="130"/>
      <c r="AO54" s="130"/>
      <c r="AP54" s="130"/>
      <c r="AQ54" s="130"/>
      <c r="AR54" s="130"/>
      <c r="AS54" s="130"/>
      <c r="AT54" s="135">
        <f>34000000+33000000</f>
        <v>67000000</v>
      </c>
      <c r="AU54" s="135">
        <v>24782500</v>
      </c>
      <c r="AV54" s="135">
        <v>8400000</v>
      </c>
      <c r="AW54" s="130"/>
      <c r="AX54" s="130"/>
      <c r="AY54" s="130"/>
      <c r="AZ54" s="130"/>
      <c r="BA54" s="130"/>
      <c r="BB54" s="130"/>
      <c r="BC54" s="130"/>
      <c r="BD54" s="130"/>
      <c r="BE54" s="130"/>
      <c r="BF54" s="138">
        <f t="shared" si="0"/>
        <v>67000000</v>
      </c>
      <c r="BG54" s="138">
        <f t="shared" si="1"/>
        <v>24782500</v>
      </c>
      <c r="BH54" s="138">
        <f t="shared" si="2"/>
        <v>8400000</v>
      </c>
      <c r="BI54" s="141" t="s">
        <v>8</v>
      </c>
    </row>
    <row r="55" spans="1:62" s="288" customFormat="1" ht="51">
      <c r="A55" s="139">
        <v>309</v>
      </c>
      <c r="B55" s="140" t="s">
        <v>281</v>
      </c>
      <c r="C55" s="139">
        <v>1</v>
      </c>
      <c r="D55" s="140" t="s">
        <v>148</v>
      </c>
      <c r="E55" s="139">
        <v>22</v>
      </c>
      <c r="F55" s="140" t="s">
        <v>160</v>
      </c>
      <c r="G55" s="139">
        <v>2201</v>
      </c>
      <c r="H55" s="140" t="s">
        <v>297</v>
      </c>
      <c r="I55" s="139">
        <v>2201</v>
      </c>
      <c r="J55" s="140" t="s">
        <v>162</v>
      </c>
      <c r="K55" s="140" t="s">
        <v>298</v>
      </c>
      <c r="L55" s="281">
        <v>2201068</v>
      </c>
      <c r="M55" s="140" t="s">
        <v>299</v>
      </c>
      <c r="N55" s="281">
        <v>2201068</v>
      </c>
      <c r="O55" s="140" t="s">
        <v>299</v>
      </c>
      <c r="P55" s="137">
        <v>220106800</v>
      </c>
      <c r="Q55" s="142" t="s">
        <v>300</v>
      </c>
      <c r="R55" s="137">
        <v>220106800</v>
      </c>
      <c r="S55" s="142" t="s">
        <v>300</v>
      </c>
      <c r="T55" s="289" t="s">
        <v>157</v>
      </c>
      <c r="U55" s="145">
        <v>72</v>
      </c>
      <c r="V55" s="145"/>
      <c r="W55" s="145">
        <f t="shared" si="8"/>
        <v>72</v>
      </c>
      <c r="X55" s="145">
        <v>0</v>
      </c>
      <c r="Y55" s="146">
        <v>2020003630063</v>
      </c>
      <c r="Z55" s="142" t="s">
        <v>301</v>
      </c>
      <c r="AA55" s="141" t="s">
        <v>302</v>
      </c>
      <c r="AB55" s="130"/>
      <c r="AC55" s="130"/>
      <c r="AD55" s="130"/>
      <c r="AE55" s="130"/>
      <c r="AF55" s="130"/>
      <c r="AG55" s="130"/>
      <c r="AH55" s="130"/>
      <c r="AI55" s="130"/>
      <c r="AJ55" s="130"/>
      <c r="AK55" s="130"/>
      <c r="AL55" s="130"/>
      <c r="AM55" s="130"/>
      <c r="AN55" s="130"/>
      <c r="AO55" s="130"/>
      <c r="AP55" s="130"/>
      <c r="AQ55" s="130"/>
      <c r="AR55" s="130"/>
      <c r="AS55" s="130"/>
      <c r="AT55" s="135">
        <f>30000000+10000000+30000000</f>
        <v>70000000</v>
      </c>
      <c r="AU55" s="135">
        <v>45330000</v>
      </c>
      <c r="AV55" s="135">
        <v>13750000</v>
      </c>
      <c r="AW55" s="130"/>
      <c r="AX55" s="130"/>
      <c r="AY55" s="130"/>
      <c r="AZ55" s="130"/>
      <c r="BA55" s="130"/>
      <c r="BB55" s="130"/>
      <c r="BC55" s="130"/>
      <c r="BD55" s="130"/>
      <c r="BE55" s="130"/>
      <c r="BF55" s="138">
        <f t="shared" si="0"/>
        <v>70000000</v>
      </c>
      <c r="BG55" s="138">
        <f t="shared" si="1"/>
        <v>45330000</v>
      </c>
      <c r="BH55" s="138">
        <f t="shared" si="2"/>
        <v>13750000</v>
      </c>
      <c r="BI55" s="141" t="s">
        <v>8</v>
      </c>
    </row>
    <row r="56" spans="1:62" s="288" customFormat="1" ht="86.25" customHeight="1">
      <c r="A56" s="139">
        <v>309</v>
      </c>
      <c r="B56" s="140" t="s">
        <v>281</v>
      </c>
      <c r="C56" s="139">
        <v>1</v>
      </c>
      <c r="D56" s="140" t="s">
        <v>148</v>
      </c>
      <c r="E56" s="139">
        <v>41</v>
      </c>
      <c r="F56" s="140" t="s">
        <v>303</v>
      </c>
      <c r="G56" s="139">
        <v>4101</v>
      </c>
      <c r="H56" s="140" t="s">
        <v>304</v>
      </c>
      <c r="I56" s="139">
        <v>4101</v>
      </c>
      <c r="J56" s="140" t="s">
        <v>305</v>
      </c>
      <c r="K56" s="140" t="s">
        <v>306</v>
      </c>
      <c r="L56" s="137">
        <v>4101023</v>
      </c>
      <c r="M56" s="140" t="s">
        <v>307</v>
      </c>
      <c r="N56" s="137">
        <v>4101023</v>
      </c>
      <c r="O56" s="140" t="s">
        <v>307</v>
      </c>
      <c r="P56" s="137">
        <v>410102300</v>
      </c>
      <c r="Q56" s="142" t="s">
        <v>308</v>
      </c>
      <c r="R56" s="137">
        <v>410102300</v>
      </c>
      <c r="S56" s="142" t="s">
        <v>308</v>
      </c>
      <c r="T56" s="289" t="s">
        <v>157</v>
      </c>
      <c r="U56" s="145">
        <v>900</v>
      </c>
      <c r="V56" s="145"/>
      <c r="W56" s="145">
        <f t="shared" si="8"/>
        <v>900</v>
      </c>
      <c r="X56" s="145">
        <v>360</v>
      </c>
      <c r="Y56" s="146">
        <v>2020003630064</v>
      </c>
      <c r="Z56" s="142" t="s">
        <v>309</v>
      </c>
      <c r="AA56" s="140" t="s">
        <v>310</v>
      </c>
      <c r="AB56" s="130"/>
      <c r="AC56" s="130"/>
      <c r="AD56" s="130"/>
      <c r="AE56" s="130"/>
      <c r="AF56" s="130"/>
      <c r="AG56" s="130"/>
      <c r="AH56" s="130"/>
      <c r="AI56" s="130"/>
      <c r="AJ56" s="130"/>
      <c r="AK56" s="130"/>
      <c r="AL56" s="130"/>
      <c r="AM56" s="130"/>
      <c r="AN56" s="130"/>
      <c r="AO56" s="130"/>
      <c r="AP56" s="130"/>
      <c r="AQ56" s="130"/>
      <c r="AR56" s="130"/>
      <c r="AS56" s="130"/>
      <c r="AT56" s="135">
        <f>67000000+40000000+34000000</f>
        <v>141000000</v>
      </c>
      <c r="AU56" s="135">
        <v>91705000</v>
      </c>
      <c r="AV56" s="135">
        <v>46850000</v>
      </c>
      <c r="AW56" s="130"/>
      <c r="AX56" s="130"/>
      <c r="AY56" s="130"/>
      <c r="AZ56" s="130"/>
      <c r="BA56" s="130"/>
      <c r="BB56" s="130"/>
      <c r="BC56" s="130"/>
      <c r="BD56" s="130"/>
      <c r="BE56" s="130"/>
      <c r="BF56" s="138">
        <f t="shared" si="0"/>
        <v>141000000</v>
      </c>
      <c r="BG56" s="138">
        <f t="shared" si="1"/>
        <v>91705000</v>
      </c>
      <c r="BH56" s="138">
        <f t="shared" si="2"/>
        <v>46850000</v>
      </c>
      <c r="BI56" s="141" t="s">
        <v>8</v>
      </c>
    </row>
    <row r="57" spans="1:62" s="288" customFormat="1" ht="86.25" customHeight="1">
      <c r="A57" s="139">
        <v>309</v>
      </c>
      <c r="B57" s="140" t="s">
        <v>281</v>
      </c>
      <c r="C57" s="139">
        <v>1</v>
      </c>
      <c r="D57" s="140" t="s">
        <v>148</v>
      </c>
      <c r="E57" s="139">
        <v>41</v>
      </c>
      <c r="F57" s="140" t="s">
        <v>303</v>
      </c>
      <c r="G57" s="139">
        <v>4101</v>
      </c>
      <c r="H57" s="140" t="s">
        <v>304</v>
      </c>
      <c r="I57" s="139">
        <v>4101</v>
      </c>
      <c r="J57" s="140" t="s">
        <v>305</v>
      </c>
      <c r="K57" s="140" t="s">
        <v>306</v>
      </c>
      <c r="L57" s="132">
        <v>4101025</v>
      </c>
      <c r="M57" s="140" t="s">
        <v>311</v>
      </c>
      <c r="N57" s="137">
        <v>4101025</v>
      </c>
      <c r="O57" s="140" t="s">
        <v>311</v>
      </c>
      <c r="P57" s="137">
        <v>410102511</v>
      </c>
      <c r="Q57" s="142" t="s">
        <v>312</v>
      </c>
      <c r="R57" s="137">
        <v>410102511</v>
      </c>
      <c r="S57" s="142" t="s">
        <v>312</v>
      </c>
      <c r="T57" s="289" t="s">
        <v>157</v>
      </c>
      <c r="U57" s="145">
        <v>50</v>
      </c>
      <c r="V57" s="145"/>
      <c r="W57" s="145">
        <f t="shared" si="8"/>
        <v>50</v>
      </c>
      <c r="X57" s="145">
        <v>0</v>
      </c>
      <c r="Y57" s="146">
        <v>2020003630064</v>
      </c>
      <c r="Z57" s="142" t="s">
        <v>309</v>
      </c>
      <c r="AA57" s="140" t="s">
        <v>310</v>
      </c>
      <c r="AB57" s="130"/>
      <c r="AC57" s="130"/>
      <c r="AD57" s="130"/>
      <c r="AE57" s="130"/>
      <c r="AF57" s="130"/>
      <c r="AG57" s="130"/>
      <c r="AH57" s="130"/>
      <c r="AI57" s="130"/>
      <c r="AJ57" s="130"/>
      <c r="AK57" s="130"/>
      <c r="AL57" s="130"/>
      <c r="AM57" s="130"/>
      <c r="AN57" s="130"/>
      <c r="AO57" s="130"/>
      <c r="AP57" s="130"/>
      <c r="AQ57" s="130"/>
      <c r="AR57" s="130"/>
      <c r="AS57" s="130"/>
      <c r="AT57" s="135">
        <v>38000000</v>
      </c>
      <c r="AU57" s="135">
        <v>5000000</v>
      </c>
      <c r="AV57" s="135">
        <v>4400000</v>
      </c>
      <c r="AW57" s="130"/>
      <c r="AX57" s="130"/>
      <c r="AY57" s="130"/>
      <c r="AZ57" s="130"/>
      <c r="BA57" s="130"/>
      <c r="BB57" s="130"/>
      <c r="BC57" s="130"/>
      <c r="BD57" s="130"/>
      <c r="BE57" s="130"/>
      <c r="BF57" s="138">
        <f t="shared" si="0"/>
        <v>38000000</v>
      </c>
      <c r="BG57" s="138">
        <f t="shared" si="1"/>
        <v>5000000</v>
      </c>
      <c r="BH57" s="138">
        <f t="shared" si="2"/>
        <v>4400000</v>
      </c>
      <c r="BI57" s="141" t="s">
        <v>8</v>
      </c>
    </row>
    <row r="58" spans="1:62" s="288" customFormat="1" ht="86.25" customHeight="1">
      <c r="A58" s="139">
        <v>309</v>
      </c>
      <c r="B58" s="140" t="s">
        <v>281</v>
      </c>
      <c r="C58" s="139">
        <v>1</v>
      </c>
      <c r="D58" s="140" t="s">
        <v>148</v>
      </c>
      <c r="E58" s="139">
        <v>41</v>
      </c>
      <c r="F58" s="140" t="s">
        <v>303</v>
      </c>
      <c r="G58" s="139">
        <v>4101</v>
      </c>
      <c r="H58" s="140" t="s">
        <v>304</v>
      </c>
      <c r="I58" s="139">
        <v>4101</v>
      </c>
      <c r="J58" s="140" t="s">
        <v>305</v>
      </c>
      <c r="K58" s="140" t="s">
        <v>306</v>
      </c>
      <c r="L58" s="137">
        <v>4101038</v>
      </c>
      <c r="M58" s="140" t="s">
        <v>313</v>
      </c>
      <c r="N58" s="137">
        <v>4101038</v>
      </c>
      <c r="O58" s="140" t="s">
        <v>313</v>
      </c>
      <c r="P58" s="137">
        <v>410103800</v>
      </c>
      <c r="Q58" s="142" t="s">
        <v>314</v>
      </c>
      <c r="R58" s="137">
        <v>410103800</v>
      </c>
      <c r="S58" s="142" t="s">
        <v>314</v>
      </c>
      <c r="T58" s="289" t="s">
        <v>157</v>
      </c>
      <c r="U58" s="145">
        <v>12</v>
      </c>
      <c r="V58" s="145"/>
      <c r="W58" s="145">
        <f t="shared" si="8"/>
        <v>12</v>
      </c>
      <c r="X58" s="145">
        <v>2</v>
      </c>
      <c r="Y58" s="146">
        <v>2020003630064</v>
      </c>
      <c r="Z58" s="142" t="s">
        <v>309</v>
      </c>
      <c r="AA58" s="140" t="s">
        <v>310</v>
      </c>
      <c r="AB58" s="130"/>
      <c r="AC58" s="130"/>
      <c r="AD58" s="130"/>
      <c r="AE58" s="130"/>
      <c r="AF58" s="130"/>
      <c r="AG58" s="130"/>
      <c r="AH58" s="130"/>
      <c r="AI58" s="130"/>
      <c r="AJ58" s="130"/>
      <c r="AK58" s="130"/>
      <c r="AL58" s="130"/>
      <c r="AM58" s="130"/>
      <c r="AN58" s="130"/>
      <c r="AO58" s="130"/>
      <c r="AP58" s="130"/>
      <c r="AQ58" s="130"/>
      <c r="AR58" s="130"/>
      <c r="AS58" s="130"/>
      <c r="AT58" s="135">
        <f>39000000+4000000</f>
        <v>43000000</v>
      </c>
      <c r="AU58" s="135">
        <v>4129200</v>
      </c>
      <c r="AV58" s="135">
        <v>129200</v>
      </c>
      <c r="AW58" s="130"/>
      <c r="AX58" s="130"/>
      <c r="AY58" s="130"/>
      <c r="AZ58" s="130"/>
      <c r="BA58" s="130"/>
      <c r="BB58" s="130"/>
      <c r="BC58" s="130"/>
      <c r="BD58" s="130"/>
      <c r="BE58" s="130"/>
      <c r="BF58" s="138">
        <f t="shared" si="0"/>
        <v>43000000</v>
      </c>
      <c r="BG58" s="138">
        <f t="shared" si="1"/>
        <v>4129200</v>
      </c>
      <c r="BH58" s="138">
        <f t="shared" si="2"/>
        <v>129200</v>
      </c>
      <c r="BI58" s="141" t="s">
        <v>8</v>
      </c>
    </row>
    <row r="59" spans="1:62" s="288" customFormat="1" ht="86.25" customHeight="1">
      <c r="A59" s="139">
        <v>309</v>
      </c>
      <c r="B59" s="140" t="s">
        <v>281</v>
      </c>
      <c r="C59" s="139">
        <v>1</v>
      </c>
      <c r="D59" s="140" t="s">
        <v>148</v>
      </c>
      <c r="E59" s="139">
        <v>41</v>
      </c>
      <c r="F59" s="140" t="s">
        <v>303</v>
      </c>
      <c r="G59" s="139">
        <v>4101</v>
      </c>
      <c r="H59" s="140" t="s">
        <v>304</v>
      </c>
      <c r="I59" s="139">
        <v>4101</v>
      </c>
      <c r="J59" s="140" t="s">
        <v>305</v>
      </c>
      <c r="K59" s="140" t="s">
        <v>315</v>
      </c>
      <c r="L59" s="137">
        <v>4101073</v>
      </c>
      <c r="M59" s="140" t="s">
        <v>316</v>
      </c>
      <c r="N59" s="137">
        <v>4101073</v>
      </c>
      <c r="O59" s="140" t="s">
        <v>316</v>
      </c>
      <c r="P59" s="137">
        <v>410107300</v>
      </c>
      <c r="Q59" s="142" t="s">
        <v>317</v>
      </c>
      <c r="R59" s="137">
        <v>410107300</v>
      </c>
      <c r="S59" s="142" t="s">
        <v>317</v>
      </c>
      <c r="T59" s="289" t="s">
        <v>157</v>
      </c>
      <c r="U59" s="145">
        <v>75</v>
      </c>
      <c r="V59" s="145"/>
      <c r="W59" s="145">
        <f t="shared" si="8"/>
        <v>75</v>
      </c>
      <c r="X59" s="145">
        <v>0</v>
      </c>
      <c r="Y59" s="146">
        <v>2020003630064</v>
      </c>
      <c r="Z59" s="142" t="s">
        <v>309</v>
      </c>
      <c r="AA59" s="140" t="s">
        <v>310</v>
      </c>
      <c r="AB59" s="130"/>
      <c r="AC59" s="130"/>
      <c r="AD59" s="130"/>
      <c r="AE59" s="130"/>
      <c r="AF59" s="130"/>
      <c r="AG59" s="130"/>
      <c r="AH59" s="130"/>
      <c r="AI59" s="130"/>
      <c r="AJ59" s="130"/>
      <c r="AK59" s="130"/>
      <c r="AL59" s="130"/>
      <c r="AM59" s="130"/>
      <c r="AN59" s="130"/>
      <c r="AO59" s="130"/>
      <c r="AP59" s="130"/>
      <c r="AQ59" s="130"/>
      <c r="AR59" s="130"/>
      <c r="AS59" s="130"/>
      <c r="AT59" s="135">
        <v>38000000</v>
      </c>
      <c r="AU59" s="135">
        <v>5650000</v>
      </c>
      <c r="AV59" s="135">
        <v>3000000</v>
      </c>
      <c r="AW59" s="130"/>
      <c r="AX59" s="130"/>
      <c r="AY59" s="130"/>
      <c r="AZ59" s="130"/>
      <c r="BA59" s="130"/>
      <c r="BB59" s="130"/>
      <c r="BC59" s="130"/>
      <c r="BD59" s="130"/>
      <c r="BE59" s="130"/>
      <c r="BF59" s="138">
        <f t="shared" si="0"/>
        <v>38000000</v>
      </c>
      <c r="BG59" s="138">
        <f t="shared" si="1"/>
        <v>5650000</v>
      </c>
      <c r="BH59" s="138">
        <f t="shared" si="2"/>
        <v>3000000</v>
      </c>
      <c r="BI59" s="141" t="s">
        <v>8</v>
      </c>
    </row>
    <row r="60" spans="1:62" s="151" customFormat="1" ht="86.25" customHeight="1">
      <c r="A60" s="139">
        <v>309</v>
      </c>
      <c r="B60" s="140" t="s">
        <v>281</v>
      </c>
      <c r="C60" s="139">
        <v>1</v>
      </c>
      <c r="D60" s="140" t="s">
        <v>148</v>
      </c>
      <c r="E60" s="139">
        <v>41</v>
      </c>
      <c r="F60" s="140" t="s">
        <v>303</v>
      </c>
      <c r="G60" s="139">
        <v>4101</v>
      </c>
      <c r="H60" s="140" t="s">
        <v>304</v>
      </c>
      <c r="I60" s="139">
        <v>4101</v>
      </c>
      <c r="J60" s="140" t="s">
        <v>305</v>
      </c>
      <c r="K60" s="140" t="s">
        <v>318</v>
      </c>
      <c r="L60" s="137">
        <v>4101011</v>
      </c>
      <c r="M60" s="140" t="s">
        <v>319</v>
      </c>
      <c r="N60" s="137">
        <v>4101011</v>
      </c>
      <c r="O60" s="140" t="s">
        <v>319</v>
      </c>
      <c r="P60" s="137">
        <v>410101100</v>
      </c>
      <c r="Q60" s="142" t="s">
        <v>320</v>
      </c>
      <c r="R60" s="137">
        <v>410101100</v>
      </c>
      <c r="S60" s="142" t="s">
        <v>320</v>
      </c>
      <c r="T60" s="289" t="s">
        <v>157</v>
      </c>
      <c r="U60" s="145">
        <v>3</v>
      </c>
      <c r="V60" s="145"/>
      <c r="W60" s="145">
        <f t="shared" si="8"/>
        <v>3</v>
      </c>
      <c r="X60" s="145">
        <v>1</v>
      </c>
      <c r="Y60" s="146">
        <v>2020003630064</v>
      </c>
      <c r="Z60" s="142" t="s">
        <v>309</v>
      </c>
      <c r="AA60" s="140" t="s">
        <v>310</v>
      </c>
      <c r="AB60" s="130"/>
      <c r="AC60" s="130"/>
      <c r="AD60" s="130"/>
      <c r="AE60" s="130"/>
      <c r="AF60" s="130"/>
      <c r="AG60" s="130"/>
      <c r="AH60" s="130"/>
      <c r="AI60" s="130"/>
      <c r="AJ60" s="130"/>
      <c r="AK60" s="130"/>
      <c r="AL60" s="130"/>
      <c r="AM60" s="130"/>
      <c r="AN60" s="130"/>
      <c r="AO60" s="130"/>
      <c r="AP60" s="130"/>
      <c r="AQ60" s="130"/>
      <c r="AR60" s="130"/>
      <c r="AS60" s="130"/>
      <c r="AT60" s="135">
        <f>13000000+10000000+5000000</f>
        <v>28000000</v>
      </c>
      <c r="AU60" s="135">
        <v>10885000</v>
      </c>
      <c r="AV60" s="135">
        <v>8000000</v>
      </c>
      <c r="AW60" s="130"/>
      <c r="AX60" s="130"/>
      <c r="AY60" s="130"/>
      <c r="AZ60" s="130"/>
      <c r="BA60" s="130"/>
      <c r="BB60" s="130"/>
      <c r="BC60" s="130"/>
      <c r="BD60" s="130"/>
      <c r="BE60" s="130"/>
      <c r="BF60" s="138">
        <f t="shared" si="0"/>
        <v>28000000</v>
      </c>
      <c r="BG60" s="138">
        <f t="shared" si="1"/>
        <v>10885000</v>
      </c>
      <c r="BH60" s="138">
        <f t="shared" si="2"/>
        <v>8000000</v>
      </c>
      <c r="BI60" s="141" t="s">
        <v>8</v>
      </c>
    </row>
    <row r="61" spans="1:62" s="151" customFormat="1" ht="59.25" customHeight="1">
      <c r="A61" s="139">
        <v>309</v>
      </c>
      <c r="B61" s="140" t="s">
        <v>281</v>
      </c>
      <c r="C61" s="139">
        <v>1</v>
      </c>
      <c r="D61" s="140" t="s">
        <v>148</v>
      </c>
      <c r="E61" s="139">
        <v>41</v>
      </c>
      <c r="F61" s="140" t="s">
        <v>303</v>
      </c>
      <c r="G61" s="139">
        <v>4103</v>
      </c>
      <c r="H61" s="140" t="s">
        <v>321</v>
      </c>
      <c r="I61" s="139">
        <v>4103</v>
      </c>
      <c r="J61" s="140" t="s">
        <v>322</v>
      </c>
      <c r="K61" s="140" t="s">
        <v>323</v>
      </c>
      <c r="L61" s="139" t="s">
        <v>61</v>
      </c>
      <c r="M61" s="140" t="s">
        <v>324</v>
      </c>
      <c r="N61" s="137">
        <v>4103052</v>
      </c>
      <c r="O61" s="140" t="s">
        <v>325</v>
      </c>
      <c r="P61" s="139" t="s">
        <v>61</v>
      </c>
      <c r="Q61" s="142" t="s">
        <v>326</v>
      </c>
      <c r="R61" s="137">
        <v>410305201</v>
      </c>
      <c r="S61" s="142" t="s">
        <v>327</v>
      </c>
      <c r="T61" s="289" t="s">
        <v>157</v>
      </c>
      <c r="U61" s="145">
        <v>25</v>
      </c>
      <c r="V61" s="145"/>
      <c r="W61" s="145">
        <f t="shared" si="8"/>
        <v>25</v>
      </c>
      <c r="X61" s="145">
        <v>0</v>
      </c>
      <c r="Y61" s="146">
        <v>2020003630065</v>
      </c>
      <c r="Z61" s="142" t="s">
        <v>328</v>
      </c>
      <c r="AA61" s="140" t="s">
        <v>329</v>
      </c>
      <c r="AB61" s="130"/>
      <c r="AC61" s="130"/>
      <c r="AD61" s="130"/>
      <c r="AE61" s="130"/>
      <c r="AF61" s="130"/>
      <c r="AG61" s="130"/>
      <c r="AH61" s="130"/>
      <c r="AI61" s="130"/>
      <c r="AJ61" s="130"/>
      <c r="AK61" s="130"/>
      <c r="AL61" s="130"/>
      <c r="AM61" s="130"/>
      <c r="AN61" s="130"/>
      <c r="AO61" s="130"/>
      <c r="AP61" s="130"/>
      <c r="AQ61" s="130"/>
      <c r="AR61" s="130"/>
      <c r="AS61" s="130"/>
      <c r="AT61" s="135">
        <f>18000000+14000000</f>
        <v>32000000</v>
      </c>
      <c r="AU61" s="135">
        <v>16885000</v>
      </c>
      <c r="AV61" s="135">
        <v>6200000</v>
      </c>
      <c r="AW61" s="130"/>
      <c r="AX61" s="130"/>
      <c r="AY61" s="130"/>
      <c r="AZ61" s="130"/>
      <c r="BA61" s="130"/>
      <c r="BB61" s="130"/>
      <c r="BC61" s="130"/>
      <c r="BD61" s="130"/>
      <c r="BE61" s="130"/>
      <c r="BF61" s="138">
        <f t="shared" si="0"/>
        <v>32000000</v>
      </c>
      <c r="BG61" s="138">
        <f t="shared" si="1"/>
        <v>16885000</v>
      </c>
      <c r="BH61" s="138">
        <f t="shared" si="2"/>
        <v>6200000</v>
      </c>
      <c r="BI61" s="141" t="s">
        <v>8</v>
      </c>
    </row>
    <row r="62" spans="1:62" s="151" customFormat="1" ht="99" customHeight="1">
      <c r="A62" s="139">
        <v>309</v>
      </c>
      <c r="B62" s="140" t="s">
        <v>281</v>
      </c>
      <c r="C62" s="139">
        <v>1</v>
      </c>
      <c r="D62" s="140" t="s">
        <v>148</v>
      </c>
      <c r="E62" s="139">
        <v>45</v>
      </c>
      <c r="F62" s="140" t="s">
        <v>60</v>
      </c>
      <c r="G62" s="139">
        <v>4501</v>
      </c>
      <c r="H62" s="140" t="s">
        <v>330</v>
      </c>
      <c r="I62" s="139">
        <v>4501</v>
      </c>
      <c r="J62" s="140" t="s">
        <v>331</v>
      </c>
      <c r="K62" s="140" t="s">
        <v>152</v>
      </c>
      <c r="L62" s="139" t="s">
        <v>61</v>
      </c>
      <c r="M62" s="140" t="s">
        <v>332</v>
      </c>
      <c r="N62" s="137">
        <v>4501029</v>
      </c>
      <c r="O62" s="140" t="s">
        <v>333</v>
      </c>
      <c r="P62" s="139" t="s">
        <v>61</v>
      </c>
      <c r="Q62" s="142" t="s">
        <v>334</v>
      </c>
      <c r="R62" s="137">
        <v>450102900</v>
      </c>
      <c r="S62" s="142" t="s">
        <v>335</v>
      </c>
      <c r="T62" s="289" t="s">
        <v>69</v>
      </c>
      <c r="U62" s="145">
        <v>5</v>
      </c>
      <c r="V62" s="145"/>
      <c r="W62" s="145">
        <f t="shared" si="8"/>
        <v>5</v>
      </c>
      <c r="X62" s="145">
        <v>1</v>
      </c>
      <c r="Y62" s="146">
        <v>2020003630066</v>
      </c>
      <c r="Z62" s="142" t="s">
        <v>336</v>
      </c>
      <c r="AA62" s="140" t="s">
        <v>337</v>
      </c>
      <c r="AB62" s="130"/>
      <c r="AC62" s="130"/>
      <c r="AD62" s="130"/>
      <c r="AE62" s="130"/>
      <c r="AF62" s="130"/>
      <c r="AG62" s="130"/>
      <c r="AH62" s="130"/>
      <c r="AI62" s="130"/>
      <c r="AJ62" s="130"/>
      <c r="AK62" s="130"/>
      <c r="AL62" s="130"/>
      <c r="AM62" s="130"/>
      <c r="AN62" s="130"/>
      <c r="AO62" s="130"/>
      <c r="AP62" s="130"/>
      <c r="AQ62" s="130"/>
      <c r="AR62" s="130"/>
      <c r="AS62" s="130"/>
      <c r="AT62" s="135"/>
      <c r="AU62" s="135"/>
      <c r="AV62" s="135"/>
      <c r="AW62" s="130">
        <f>2314305+3159539006+4131423250.14</f>
        <v>7293276561.1399994</v>
      </c>
      <c r="AX62" s="130">
        <v>901033594.35000002</v>
      </c>
      <c r="AY62" s="130">
        <v>62364735.850000001</v>
      </c>
      <c r="AZ62" s="130"/>
      <c r="BA62" s="130"/>
      <c r="BB62" s="130"/>
      <c r="BC62" s="130"/>
      <c r="BD62" s="130"/>
      <c r="BE62" s="130"/>
      <c r="BF62" s="138">
        <f t="shared" si="0"/>
        <v>7293276561.1399994</v>
      </c>
      <c r="BG62" s="138">
        <f t="shared" si="1"/>
        <v>901033594.35000002</v>
      </c>
      <c r="BH62" s="138">
        <f t="shared" si="2"/>
        <v>62364735.850000001</v>
      </c>
      <c r="BI62" s="141" t="s">
        <v>8</v>
      </c>
    </row>
    <row r="63" spans="1:62" s="151" customFormat="1" ht="98.25" customHeight="1">
      <c r="A63" s="139">
        <v>309</v>
      </c>
      <c r="B63" s="140" t="s">
        <v>281</v>
      </c>
      <c r="C63" s="139">
        <v>1</v>
      </c>
      <c r="D63" s="140" t="s">
        <v>148</v>
      </c>
      <c r="E63" s="139">
        <v>45</v>
      </c>
      <c r="F63" s="140" t="s">
        <v>60</v>
      </c>
      <c r="G63" s="139">
        <v>4501</v>
      </c>
      <c r="H63" s="140" t="s">
        <v>330</v>
      </c>
      <c r="I63" s="139">
        <v>4501</v>
      </c>
      <c r="J63" s="140" t="s">
        <v>331</v>
      </c>
      <c r="K63" s="140" t="s">
        <v>152</v>
      </c>
      <c r="L63" s="139">
        <v>4501001</v>
      </c>
      <c r="M63" s="140" t="s">
        <v>119</v>
      </c>
      <c r="N63" s="139">
        <v>4501001</v>
      </c>
      <c r="O63" s="140" t="s">
        <v>119</v>
      </c>
      <c r="P63" s="139">
        <v>450100100</v>
      </c>
      <c r="Q63" s="142" t="s">
        <v>338</v>
      </c>
      <c r="R63" s="139">
        <v>450100100</v>
      </c>
      <c r="S63" s="142" t="s">
        <v>338</v>
      </c>
      <c r="T63" s="289" t="s">
        <v>69</v>
      </c>
      <c r="U63" s="145">
        <v>12</v>
      </c>
      <c r="V63" s="145"/>
      <c r="W63" s="145">
        <f t="shared" si="8"/>
        <v>12</v>
      </c>
      <c r="X63" s="145">
        <v>2</v>
      </c>
      <c r="Y63" s="146">
        <v>2020003630068</v>
      </c>
      <c r="Z63" s="142" t="s">
        <v>339</v>
      </c>
      <c r="AA63" s="140" t="s">
        <v>340</v>
      </c>
      <c r="AB63" s="290"/>
      <c r="AC63" s="290"/>
      <c r="AD63" s="290"/>
      <c r="AE63" s="130"/>
      <c r="AF63" s="130"/>
      <c r="AG63" s="130"/>
      <c r="AH63" s="130"/>
      <c r="AI63" s="130"/>
      <c r="AJ63" s="130"/>
      <c r="AK63" s="130"/>
      <c r="AL63" s="130"/>
      <c r="AM63" s="130"/>
      <c r="AN63" s="130"/>
      <c r="AO63" s="130"/>
      <c r="AP63" s="130"/>
      <c r="AQ63" s="130"/>
      <c r="AR63" s="130"/>
      <c r="AS63" s="130"/>
      <c r="AT63" s="135">
        <f>34000000+20000000+23000000</f>
        <v>77000000</v>
      </c>
      <c r="AU63" s="135">
        <v>36532500</v>
      </c>
      <c r="AV63" s="135">
        <v>18850000</v>
      </c>
      <c r="AW63" s="130"/>
      <c r="AX63" s="130"/>
      <c r="AY63" s="130"/>
      <c r="AZ63" s="130"/>
      <c r="BA63" s="130"/>
      <c r="BB63" s="130"/>
      <c r="BC63" s="130"/>
      <c r="BD63" s="130"/>
      <c r="BE63" s="130"/>
      <c r="BF63" s="138">
        <f t="shared" si="0"/>
        <v>77000000</v>
      </c>
      <c r="BG63" s="138">
        <f t="shared" si="1"/>
        <v>36532500</v>
      </c>
      <c r="BH63" s="138">
        <f t="shared" si="2"/>
        <v>18850000</v>
      </c>
      <c r="BI63" s="141" t="s">
        <v>8</v>
      </c>
    </row>
    <row r="64" spans="1:62" s="151" customFormat="1" ht="56.25" customHeight="1">
      <c r="A64" s="139">
        <v>309</v>
      </c>
      <c r="B64" s="140" t="s">
        <v>281</v>
      </c>
      <c r="C64" s="139">
        <v>3</v>
      </c>
      <c r="D64" s="140" t="s">
        <v>211</v>
      </c>
      <c r="E64" s="139">
        <v>32</v>
      </c>
      <c r="F64" s="140" t="s">
        <v>226</v>
      </c>
      <c r="G64" s="139">
        <v>3205</v>
      </c>
      <c r="H64" s="140" t="s">
        <v>227</v>
      </c>
      <c r="I64" s="139">
        <v>3205</v>
      </c>
      <c r="J64" s="140" t="s">
        <v>228</v>
      </c>
      <c r="K64" s="140" t="s">
        <v>341</v>
      </c>
      <c r="L64" s="139">
        <v>3205002</v>
      </c>
      <c r="M64" s="140" t="s">
        <v>342</v>
      </c>
      <c r="N64" s="139">
        <v>3205002</v>
      </c>
      <c r="O64" s="140" t="s">
        <v>342</v>
      </c>
      <c r="P64" s="139">
        <v>320500200</v>
      </c>
      <c r="Q64" s="142" t="s">
        <v>343</v>
      </c>
      <c r="R64" s="139">
        <v>320500200</v>
      </c>
      <c r="S64" s="142" t="s">
        <v>343</v>
      </c>
      <c r="T64" s="289" t="s">
        <v>157</v>
      </c>
      <c r="U64" s="145">
        <v>3</v>
      </c>
      <c r="V64" s="145"/>
      <c r="W64" s="145">
        <f t="shared" si="8"/>
        <v>3</v>
      </c>
      <c r="X64" s="145">
        <v>0</v>
      </c>
      <c r="Y64" s="146">
        <v>2020003630069</v>
      </c>
      <c r="Z64" s="142" t="s">
        <v>344</v>
      </c>
      <c r="AA64" s="140" t="s">
        <v>345</v>
      </c>
      <c r="AB64" s="130"/>
      <c r="AC64" s="130"/>
      <c r="AD64" s="130"/>
      <c r="AE64" s="130"/>
      <c r="AF64" s="130"/>
      <c r="AG64" s="130"/>
      <c r="AH64" s="130"/>
      <c r="AI64" s="130"/>
      <c r="AJ64" s="130"/>
      <c r="AK64" s="130"/>
      <c r="AL64" s="130"/>
      <c r="AM64" s="130"/>
      <c r="AN64" s="130"/>
      <c r="AO64" s="130"/>
      <c r="AP64" s="130"/>
      <c r="AQ64" s="130"/>
      <c r="AR64" s="130"/>
      <c r="AS64" s="130"/>
      <c r="AT64" s="291">
        <f>45000000+10000000</f>
        <v>55000000</v>
      </c>
      <c r="AU64" s="291">
        <v>53655000</v>
      </c>
      <c r="AV64" s="291">
        <v>31800000</v>
      </c>
      <c r="AW64" s="130"/>
      <c r="AX64" s="130"/>
      <c r="AY64" s="130"/>
      <c r="AZ64" s="130"/>
      <c r="BA64" s="130"/>
      <c r="BB64" s="130"/>
      <c r="BC64" s="130"/>
      <c r="BD64" s="130"/>
      <c r="BE64" s="130"/>
      <c r="BF64" s="138">
        <f t="shared" si="0"/>
        <v>55000000</v>
      </c>
      <c r="BG64" s="138">
        <f t="shared" si="1"/>
        <v>53655000</v>
      </c>
      <c r="BH64" s="138">
        <f t="shared" si="2"/>
        <v>31800000</v>
      </c>
      <c r="BI64" s="141" t="s">
        <v>8</v>
      </c>
    </row>
    <row r="65" spans="1:61" s="151" customFormat="1" ht="88.5" customHeight="1">
      <c r="A65" s="139">
        <v>309</v>
      </c>
      <c r="B65" s="140" t="s">
        <v>281</v>
      </c>
      <c r="C65" s="139">
        <v>3</v>
      </c>
      <c r="D65" s="140" t="s">
        <v>211</v>
      </c>
      <c r="E65" s="139">
        <v>45</v>
      </c>
      <c r="F65" s="140" t="s">
        <v>60</v>
      </c>
      <c r="G65" s="139">
        <v>4503</v>
      </c>
      <c r="H65" s="140" t="s">
        <v>346</v>
      </c>
      <c r="I65" s="139">
        <v>4503</v>
      </c>
      <c r="J65" s="140" t="s">
        <v>347</v>
      </c>
      <c r="K65" s="140" t="s">
        <v>348</v>
      </c>
      <c r="L65" s="139">
        <v>4503002</v>
      </c>
      <c r="M65" s="140" t="s">
        <v>349</v>
      </c>
      <c r="N65" s="139">
        <v>4503002</v>
      </c>
      <c r="O65" s="140" t="s">
        <v>349</v>
      </c>
      <c r="P65" s="139">
        <v>450300200</v>
      </c>
      <c r="Q65" s="141" t="s">
        <v>350</v>
      </c>
      <c r="R65" s="139">
        <v>450300200</v>
      </c>
      <c r="S65" s="142" t="s">
        <v>350</v>
      </c>
      <c r="T65" s="289" t="s">
        <v>157</v>
      </c>
      <c r="U65" s="145">
        <v>5000</v>
      </c>
      <c r="V65" s="145"/>
      <c r="W65" s="145">
        <f t="shared" si="8"/>
        <v>5000</v>
      </c>
      <c r="X65" s="145">
        <v>1100</v>
      </c>
      <c r="Y65" s="146">
        <v>2020003630070</v>
      </c>
      <c r="Z65" s="260" t="s">
        <v>351</v>
      </c>
      <c r="AA65" s="140" t="s">
        <v>352</v>
      </c>
      <c r="AB65" s="130"/>
      <c r="AC65" s="130"/>
      <c r="AD65" s="130"/>
      <c r="AE65" s="130"/>
      <c r="AF65" s="130"/>
      <c r="AG65" s="130"/>
      <c r="AH65" s="130"/>
      <c r="AI65" s="130"/>
      <c r="AJ65" s="130"/>
      <c r="AK65" s="130"/>
      <c r="AL65" s="130"/>
      <c r="AM65" s="130"/>
      <c r="AN65" s="130"/>
      <c r="AO65" s="130"/>
      <c r="AP65" s="130"/>
      <c r="AQ65" s="130"/>
      <c r="AR65" s="130"/>
      <c r="AS65" s="130"/>
      <c r="AT65" s="135">
        <f>18000000+12000000+10000000</f>
        <v>40000000</v>
      </c>
      <c r="AU65" s="135">
        <v>12000000</v>
      </c>
      <c r="AV65" s="135">
        <v>9200000</v>
      </c>
      <c r="AW65" s="130"/>
      <c r="AX65" s="130"/>
      <c r="AY65" s="130"/>
      <c r="AZ65" s="130"/>
      <c r="BA65" s="130"/>
      <c r="BB65" s="130"/>
      <c r="BC65" s="130"/>
      <c r="BD65" s="130"/>
      <c r="BE65" s="130"/>
      <c r="BF65" s="138">
        <f t="shared" si="0"/>
        <v>40000000</v>
      </c>
      <c r="BG65" s="138">
        <f t="shared" si="1"/>
        <v>12000000</v>
      </c>
      <c r="BH65" s="138">
        <f t="shared" si="2"/>
        <v>9200000</v>
      </c>
      <c r="BI65" s="141" t="s">
        <v>8</v>
      </c>
    </row>
    <row r="66" spans="1:61" s="151" customFormat="1" ht="88.5" customHeight="1">
      <c r="A66" s="139">
        <v>309</v>
      </c>
      <c r="B66" s="140" t="s">
        <v>281</v>
      </c>
      <c r="C66" s="139">
        <v>3</v>
      </c>
      <c r="D66" s="140" t="s">
        <v>211</v>
      </c>
      <c r="E66" s="139">
        <v>45</v>
      </c>
      <c r="F66" s="140" t="s">
        <v>60</v>
      </c>
      <c r="G66" s="139">
        <v>4503</v>
      </c>
      <c r="H66" s="140" t="s">
        <v>346</v>
      </c>
      <c r="I66" s="139">
        <v>4503</v>
      </c>
      <c r="J66" s="140" t="s">
        <v>347</v>
      </c>
      <c r="K66" s="140" t="s">
        <v>353</v>
      </c>
      <c r="L66" s="139">
        <v>4503003</v>
      </c>
      <c r="M66" s="140" t="s">
        <v>119</v>
      </c>
      <c r="N66" s="139">
        <v>4503003</v>
      </c>
      <c r="O66" s="140" t="s">
        <v>119</v>
      </c>
      <c r="P66" s="139">
        <v>450300300</v>
      </c>
      <c r="Q66" s="142" t="s">
        <v>354</v>
      </c>
      <c r="R66" s="139">
        <v>450300300</v>
      </c>
      <c r="S66" s="142" t="s">
        <v>354</v>
      </c>
      <c r="T66" s="143" t="s">
        <v>69</v>
      </c>
      <c r="U66" s="145">
        <v>12</v>
      </c>
      <c r="V66" s="145"/>
      <c r="W66" s="145">
        <f t="shared" si="8"/>
        <v>12</v>
      </c>
      <c r="X66" s="145">
        <v>8</v>
      </c>
      <c r="Y66" s="146">
        <v>2020003630070</v>
      </c>
      <c r="Z66" s="260" t="s">
        <v>351</v>
      </c>
      <c r="AA66" s="260" t="s">
        <v>352</v>
      </c>
      <c r="AB66" s="130"/>
      <c r="AC66" s="130"/>
      <c r="AD66" s="130"/>
      <c r="AE66" s="130"/>
      <c r="AF66" s="130"/>
      <c r="AG66" s="130"/>
      <c r="AH66" s="130"/>
      <c r="AI66" s="130"/>
      <c r="AJ66" s="130"/>
      <c r="AK66" s="130"/>
      <c r="AL66" s="130"/>
      <c r="AM66" s="130"/>
      <c r="AN66" s="130"/>
      <c r="AO66" s="130"/>
      <c r="AP66" s="130"/>
      <c r="AQ66" s="130"/>
      <c r="AR66" s="130"/>
      <c r="AS66" s="130"/>
      <c r="AT66" s="135">
        <f>100000000-6610512+60000000+80000000-10000000</f>
        <v>223389488</v>
      </c>
      <c r="AU66" s="135">
        <v>95744488</v>
      </c>
      <c r="AV66" s="135">
        <v>38600000</v>
      </c>
      <c r="AW66" s="130"/>
      <c r="AX66" s="130"/>
      <c r="AY66" s="130"/>
      <c r="AZ66" s="130"/>
      <c r="BA66" s="130"/>
      <c r="BB66" s="130"/>
      <c r="BC66" s="130"/>
      <c r="BD66" s="130"/>
      <c r="BE66" s="130"/>
      <c r="BF66" s="138">
        <f t="shared" si="0"/>
        <v>223389488</v>
      </c>
      <c r="BG66" s="138">
        <f t="shared" si="1"/>
        <v>95744488</v>
      </c>
      <c r="BH66" s="138">
        <f t="shared" si="2"/>
        <v>38600000</v>
      </c>
      <c r="BI66" s="141" t="s">
        <v>8</v>
      </c>
    </row>
    <row r="67" spans="1:61" s="151" customFormat="1" ht="88.5" customHeight="1">
      <c r="A67" s="139">
        <v>309</v>
      </c>
      <c r="B67" s="140" t="s">
        <v>281</v>
      </c>
      <c r="C67" s="139">
        <v>3</v>
      </c>
      <c r="D67" s="140" t="s">
        <v>211</v>
      </c>
      <c r="E67" s="139">
        <v>45</v>
      </c>
      <c r="F67" s="140" t="s">
        <v>60</v>
      </c>
      <c r="G67" s="139">
        <v>4503</v>
      </c>
      <c r="H67" s="140" t="s">
        <v>346</v>
      </c>
      <c r="I67" s="139">
        <v>4503</v>
      </c>
      <c r="J67" s="140" t="s">
        <v>347</v>
      </c>
      <c r="K67" s="140" t="s">
        <v>353</v>
      </c>
      <c r="L67" s="139">
        <v>4503004</v>
      </c>
      <c r="M67" s="140" t="s">
        <v>355</v>
      </c>
      <c r="N67" s="139">
        <v>4503016</v>
      </c>
      <c r="O67" s="140" t="s">
        <v>356</v>
      </c>
      <c r="P67" s="139" t="s">
        <v>61</v>
      </c>
      <c r="Q67" s="142" t="s">
        <v>357</v>
      </c>
      <c r="R67" s="139">
        <v>450301600</v>
      </c>
      <c r="S67" s="142" t="s">
        <v>358</v>
      </c>
      <c r="T67" s="143" t="s">
        <v>69</v>
      </c>
      <c r="U67" s="145">
        <v>1</v>
      </c>
      <c r="V67" s="145"/>
      <c r="W67" s="145">
        <f t="shared" si="8"/>
        <v>1</v>
      </c>
      <c r="X67" s="145">
        <v>0</v>
      </c>
      <c r="Y67" s="146">
        <v>2020003630070</v>
      </c>
      <c r="Z67" s="260" t="s">
        <v>351</v>
      </c>
      <c r="AA67" s="260" t="s">
        <v>352</v>
      </c>
      <c r="AB67" s="130"/>
      <c r="AC67" s="130"/>
      <c r="AD67" s="130"/>
      <c r="AE67" s="130"/>
      <c r="AF67" s="130"/>
      <c r="AG67" s="130"/>
      <c r="AH67" s="130"/>
      <c r="AI67" s="130"/>
      <c r="AJ67" s="130"/>
      <c r="AK67" s="130"/>
      <c r="AL67" s="130"/>
      <c r="AM67" s="130"/>
      <c r="AN67" s="130"/>
      <c r="AO67" s="130"/>
      <c r="AP67" s="130"/>
      <c r="AQ67" s="130"/>
      <c r="AR67" s="130"/>
      <c r="AS67" s="130"/>
      <c r="AT67" s="135">
        <f>30000000-3000000</f>
        <v>27000000</v>
      </c>
      <c r="AU67" s="135"/>
      <c r="AV67" s="135"/>
      <c r="AW67" s="130"/>
      <c r="AX67" s="130"/>
      <c r="AY67" s="130"/>
      <c r="AZ67" s="130"/>
      <c r="BA67" s="130"/>
      <c r="BB67" s="130"/>
      <c r="BC67" s="130"/>
      <c r="BD67" s="130"/>
      <c r="BE67" s="130"/>
      <c r="BF67" s="138">
        <f t="shared" si="0"/>
        <v>27000000</v>
      </c>
      <c r="BG67" s="138">
        <f t="shared" si="1"/>
        <v>0</v>
      </c>
      <c r="BH67" s="138">
        <f t="shared" si="2"/>
        <v>0</v>
      </c>
      <c r="BI67" s="141" t="s">
        <v>8</v>
      </c>
    </row>
    <row r="68" spans="1:61" s="151" customFormat="1" ht="51">
      <c r="A68" s="139">
        <v>309</v>
      </c>
      <c r="B68" s="140" t="s">
        <v>281</v>
      </c>
      <c r="C68" s="139">
        <v>4</v>
      </c>
      <c r="D68" s="140" t="s">
        <v>59</v>
      </c>
      <c r="E68" s="139">
        <v>45</v>
      </c>
      <c r="F68" s="140" t="s">
        <v>60</v>
      </c>
      <c r="G68" s="139">
        <v>4502</v>
      </c>
      <c r="H68" s="140" t="s">
        <v>78</v>
      </c>
      <c r="I68" s="139">
        <v>4502</v>
      </c>
      <c r="J68" s="140" t="s">
        <v>79</v>
      </c>
      <c r="K68" s="140" t="s">
        <v>359</v>
      </c>
      <c r="L68" s="139">
        <v>4502024</v>
      </c>
      <c r="M68" s="140" t="s">
        <v>360</v>
      </c>
      <c r="N68" s="139">
        <v>4502024</v>
      </c>
      <c r="O68" s="140" t="s">
        <v>360</v>
      </c>
      <c r="P68" s="145">
        <v>450202400</v>
      </c>
      <c r="Q68" s="142" t="s">
        <v>361</v>
      </c>
      <c r="R68" s="145">
        <v>450202400</v>
      </c>
      <c r="S68" s="142" t="s">
        <v>361</v>
      </c>
      <c r="T68" s="143" t="s">
        <v>69</v>
      </c>
      <c r="U68" s="145">
        <v>10</v>
      </c>
      <c r="V68" s="145"/>
      <c r="W68" s="145">
        <f t="shared" si="8"/>
        <v>10</v>
      </c>
      <c r="X68" s="145">
        <v>4</v>
      </c>
      <c r="Y68" s="146">
        <v>2020003630067</v>
      </c>
      <c r="Z68" s="260" t="s">
        <v>362</v>
      </c>
      <c r="AA68" s="140" t="s">
        <v>363</v>
      </c>
      <c r="AB68" s="130"/>
      <c r="AC68" s="130"/>
      <c r="AD68" s="130"/>
      <c r="AE68" s="130"/>
      <c r="AF68" s="130"/>
      <c r="AG68" s="130"/>
      <c r="AH68" s="130"/>
      <c r="AI68" s="130"/>
      <c r="AJ68" s="130"/>
      <c r="AK68" s="130"/>
      <c r="AL68" s="130"/>
      <c r="AM68" s="130"/>
      <c r="AN68" s="130"/>
      <c r="AO68" s="130"/>
      <c r="AP68" s="130"/>
      <c r="AQ68" s="130"/>
      <c r="AR68" s="130"/>
      <c r="AS68" s="130"/>
      <c r="AT68" s="135">
        <f>50000000+20000000+35000000</f>
        <v>105000000</v>
      </c>
      <c r="AU68" s="135">
        <v>38614488</v>
      </c>
      <c r="AV68" s="135">
        <v>12200000</v>
      </c>
      <c r="AW68" s="130"/>
      <c r="AX68" s="130"/>
      <c r="AY68" s="130"/>
      <c r="AZ68" s="130"/>
      <c r="BA68" s="130"/>
      <c r="BB68" s="130"/>
      <c r="BC68" s="130"/>
      <c r="BD68" s="130"/>
      <c r="BE68" s="130"/>
      <c r="BF68" s="138">
        <f t="shared" si="0"/>
        <v>105000000</v>
      </c>
      <c r="BG68" s="138">
        <f t="shared" si="1"/>
        <v>38614488</v>
      </c>
      <c r="BH68" s="138">
        <f t="shared" si="2"/>
        <v>12200000</v>
      </c>
      <c r="BI68" s="141" t="s">
        <v>8</v>
      </c>
    </row>
    <row r="69" spans="1:61" s="151" customFormat="1" ht="126" customHeight="1">
      <c r="A69" s="139">
        <v>309</v>
      </c>
      <c r="B69" s="140" t="s">
        <v>281</v>
      </c>
      <c r="C69" s="139">
        <v>4</v>
      </c>
      <c r="D69" s="140" t="s">
        <v>59</v>
      </c>
      <c r="E69" s="139">
        <v>45</v>
      </c>
      <c r="F69" s="140" t="s">
        <v>60</v>
      </c>
      <c r="G69" s="139">
        <v>4502</v>
      </c>
      <c r="H69" s="140" t="s">
        <v>78</v>
      </c>
      <c r="I69" s="139">
        <v>4502</v>
      </c>
      <c r="J69" s="140" t="s">
        <v>79</v>
      </c>
      <c r="K69" s="140" t="s">
        <v>80</v>
      </c>
      <c r="L69" s="139">
        <v>4502001</v>
      </c>
      <c r="M69" s="140" t="s">
        <v>90</v>
      </c>
      <c r="N69" s="292">
        <v>4502001</v>
      </c>
      <c r="O69" s="140" t="s">
        <v>90</v>
      </c>
      <c r="P69" s="139">
        <v>450200100</v>
      </c>
      <c r="Q69" s="142" t="s">
        <v>364</v>
      </c>
      <c r="R69" s="139">
        <v>450200100</v>
      </c>
      <c r="S69" s="142" t="s">
        <v>92</v>
      </c>
      <c r="T69" s="289" t="s">
        <v>69</v>
      </c>
      <c r="U69" s="145">
        <v>3</v>
      </c>
      <c r="V69" s="145"/>
      <c r="W69" s="145">
        <f t="shared" si="8"/>
        <v>3</v>
      </c>
      <c r="X69" s="145">
        <v>1</v>
      </c>
      <c r="Y69" s="146">
        <v>2020003630071</v>
      </c>
      <c r="Z69" s="260" t="s">
        <v>365</v>
      </c>
      <c r="AA69" s="140" t="s">
        <v>366</v>
      </c>
      <c r="AB69" s="130"/>
      <c r="AC69" s="130"/>
      <c r="AD69" s="130"/>
      <c r="AE69" s="130"/>
      <c r="AF69" s="130"/>
      <c r="AG69" s="130"/>
      <c r="AH69" s="130"/>
      <c r="AI69" s="130"/>
      <c r="AJ69" s="130"/>
      <c r="AK69" s="130"/>
      <c r="AL69" s="130"/>
      <c r="AM69" s="130"/>
      <c r="AN69" s="130"/>
      <c r="AO69" s="130"/>
      <c r="AP69" s="130"/>
      <c r="AQ69" s="130"/>
      <c r="AR69" s="130"/>
      <c r="AS69" s="130"/>
      <c r="AT69" s="135">
        <f>128000000+35000000+47000000</f>
        <v>210000000</v>
      </c>
      <c r="AU69" s="135">
        <v>89213012</v>
      </c>
      <c r="AV69" s="135">
        <v>36150000</v>
      </c>
      <c r="AW69" s="130"/>
      <c r="AX69" s="130"/>
      <c r="AY69" s="130"/>
      <c r="AZ69" s="130"/>
      <c r="BA69" s="130"/>
      <c r="BB69" s="130"/>
      <c r="BC69" s="130"/>
      <c r="BD69" s="130"/>
      <c r="BE69" s="130"/>
      <c r="BF69" s="138">
        <f t="shared" si="0"/>
        <v>210000000</v>
      </c>
      <c r="BG69" s="138">
        <f t="shared" si="1"/>
        <v>89213012</v>
      </c>
      <c r="BH69" s="138">
        <f t="shared" si="2"/>
        <v>36150000</v>
      </c>
      <c r="BI69" s="141" t="s">
        <v>8</v>
      </c>
    </row>
    <row r="70" spans="1:61" s="151" customFormat="1" ht="126" customHeight="1">
      <c r="A70" s="139">
        <v>309</v>
      </c>
      <c r="B70" s="140" t="s">
        <v>281</v>
      </c>
      <c r="C70" s="139">
        <v>4</v>
      </c>
      <c r="D70" s="140" t="s">
        <v>59</v>
      </c>
      <c r="E70" s="139">
        <v>45</v>
      </c>
      <c r="F70" s="140" t="s">
        <v>60</v>
      </c>
      <c r="G70" s="139">
        <v>4502</v>
      </c>
      <c r="H70" s="140" t="s">
        <v>78</v>
      </c>
      <c r="I70" s="139">
        <v>4502</v>
      </c>
      <c r="J70" s="140" t="s">
        <v>79</v>
      </c>
      <c r="K70" s="140" t="s">
        <v>80</v>
      </c>
      <c r="L70" s="139" t="s">
        <v>61</v>
      </c>
      <c r="M70" s="140" t="s">
        <v>367</v>
      </c>
      <c r="N70" s="292">
        <v>4502001</v>
      </c>
      <c r="O70" s="140" t="s">
        <v>90</v>
      </c>
      <c r="P70" s="139" t="s">
        <v>61</v>
      </c>
      <c r="Q70" s="142" t="s">
        <v>368</v>
      </c>
      <c r="R70" s="292">
        <v>450200111</v>
      </c>
      <c r="S70" s="142" t="s">
        <v>369</v>
      </c>
      <c r="T70" s="289" t="s">
        <v>69</v>
      </c>
      <c r="U70" s="293">
        <v>1</v>
      </c>
      <c r="V70" s="293"/>
      <c r="W70" s="145">
        <f t="shared" si="8"/>
        <v>1</v>
      </c>
      <c r="X70" s="145">
        <v>0.25</v>
      </c>
      <c r="Y70" s="146">
        <v>2020003630071</v>
      </c>
      <c r="Z70" s="260" t="s">
        <v>365</v>
      </c>
      <c r="AA70" s="140" t="s">
        <v>366</v>
      </c>
      <c r="AB70" s="130"/>
      <c r="AC70" s="130"/>
      <c r="AD70" s="130"/>
      <c r="AE70" s="130"/>
      <c r="AF70" s="130"/>
      <c r="AG70" s="130"/>
      <c r="AH70" s="130"/>
      <c r="AI70" s="130"/>
      <c r="AJ70" s="130"/>
      <c r="AK70" s="130"/>
      <c r="AL70" s="130"/>
      <c r="AM70" s="130"/>
      <c r="AN70" s="130"/>
      <c r="AO70" s="130"/>
      <c r="AP70" s="130"/>
      <c r="AQ70" s="130"/>
      <c r="AR70" s="130"/>
      <c r="AS70" s="130"/>
      <c r="AT70" s="135">
        <f>72000000+25000000+10000000</f>
        <v>107000000</v>
      </c>
      <c r="AU70" s="135">
        <v>19050000</v>
      </c>
      <c r="AV70" s="135">
        <v>6800000</v>
      </c>
      <c r="AW70" s="130"/>
      <c r="AX70" s="130"/>
      <c r="AY70" s="130"/>
      <c r="AZ70" s="130"/>
      <c r="BA70" s="130"/>
      <c r="BB70" s="130"/>
      <c r="BC70" s="130"/>
      <c r="BD70" s="130"/>
      <c r="BE70" s="130"/>
      <c r="BF70" s="138">
        <f t="shared" si="0"/>
        <v>107000000</v>
      </c>
      <c r="BG70" s="138">
        <f t="shared" si="1"/>
        <v>19050000</v>
      </c>
      <c r="BH70" s="138">
        <f t="shared" si="2"/>
        <v>6800000</v>
      </c>
      <c r="BI70" s="141" t="s">
        <v>8</v>
      </c>
    </row>
    <row r="71" spans="1:61" s="151" customFormat="1" ht="126" customHeight="1">
      <c r="A71" s="139">
        <v>309</v>
      </c>
      <c r="B71" s="140" t="s">
        <v>281</v>
      </c>
      <c r="C71" s="139">
        <v>4</v>
      </c>
      <c r="D71" s="140" t="s">
        <v>59</v>
      </c>
      <c r="E71" s="139">
        <v>45</v>
      </c>
      <c r="F71" s="140" t="s">
        <v>60</v>
      </c>
      <c r="G71" s="139">
        <v>4502</v>
      </c>
      <c r="H71" s="140" t="s">
        <v>78</v>
      </c>
      <c r="I71" s="139">
        <v>4502</v>
      </c>
      <c r="J71" s="140" t="s">
        <v>79</v>
      </c>
      <c r="K71" s="140" t="s">
        <v>80</v>
      </c>
      <c r="L71" s="139" t="s">
        <v>61</v>
      </c>
      <c r="M71" s="140" t="s">
        <v>370</v>
      </c>
      <c r="N71" s="139">
        <v>4502001</v>
      </c>
      <c r="O71" s="140" t="s">
        <v>90</v>
      </c>
      <c r="P71" s="139" t="s">
        <v>61</v>
      </c>
      <c r="Q71" s="142" t="s">
        <v>371</v>
      </c>
      <c r="R71" s="139">
        <v>450200109</v>
      </c>
      <c r="S71" s="142" t="s">
        <v>372</v>
      </c>
      <c r="T71" s="289" t="s">
        <v>69</v>
      </c>
      <c r="U71" s="145">
        <v>12</v>
      </c>
      <c r="V71" s="145"/>
      <c r="W71" s="145">
        <f t="shared" si="8"/>
        <v>12</v>
      </c>
      <c r="X71" s="145">
        <v>3</v>
      </c>
      <c r="Y71" s="146">
        <v>2020003630071</v>
      </c>
      <c r="Z71" s="260" t="s">
        <v>365</v>
      </c>
      <c r="AA71" s="140" t="s">
        <v>366</v>
      </c>
      <c r="AB71" s="130"/>
      <c r="AC71" s="130"/>
      <c r="AD71" s="130"/>
      <c r="AE71" s="130"/>
      <c r="AF71" s="130"/>
      <c r="AG71" s="130"/>
      <c r="AH71" s="130"/>
      <c r="AI71" s="130"/>
      <c r="AJ71" s="130"/>
      <c r="AK71" s="130"/>
      <c r="AL71" s="130"/>
      <c r="AM71" s="130"/>
      <c r="AN71" s="130"/>
      <c r="AO71" s="130"/>
      <c r="AP71" s="130"/>
      <c r="AQ71" s="130"/>
      <c r="AR71" s="130"/>
      <c r="AS71" s="130"/>
      <c r="AT71" s="135">
        <f>35000000+20000000+100000000</f>
        <v>155000000</v>
      </c>
      <c r="AU71" s="135">
        <v>5000000</v>
      </c>
      <c r="AV71" s="135"/>
      <c r="AW71" s="130"/>
      <c r="AX71" s="130"/>
      <c r="AY71" s="130"/>
      <c r="AZ71" s="130"/>
      <c r="BA71" s="130"/>
      <c r="BB71" s="130"/>
      <c r="BC71" s="130"/>
      <c r="BD71" s="130"/>
      <c r="BE71" s="130"/>
      <c r="BF71" s="138">
        <f t="shared" si="0"/>
        <v>155000000</v>
      </c>
      <c r="BG71" s="138">
        <f t="shared" si="1"/>
        <v>5000000</v>
      </c>
      <c r="BH71" s="138">
        <f t="shared" si="2"/>
        <v>0</v>
      </c>
      <c r="BI71" s="141" t="s">
        <v>8</v>
      </c>
    </row>
    <row r="72" spans="1:61" s="151" customFormat="1" ht="126" customHeight="1">
      <c r="A72" s="139">
        <v>309</v>
      </c>
      <c r="B72" s="140" t="s">
        <v>281</v>
      </c>
      <c r="C72" s="139">
        <v>4</v>
      </c>
      <c r="D72" s="140" t="s">
        <v>59</v>
      </c>
      <c r="E72" s="139">
        <v>45</v>
      </c>
      <c r="F72" s="140" t="s">
        <v>60</v>
      </c>
      <c r="G72" s="139">
        <v>4502</v>
      </c>
      <c r="H72" s="140" t="s">
        <v>78</v>
      </c>
      <c r="I72" s="139">
        <v>4502</v>
      </c>
      <c r="J72" s="140" t="s">
        <v>79</v>
      </c>
      <c r="K72" s="140" t="s">
        <v>80</v>
      </c>
      <c r="L72" s="139" t="s">
        <v>61</v>
      </c>
      <c r="M72" s="140" t="s">
        <v>373</v>
      </c>
      <c r="N72" s="292">
        <v>4502035</v>
      </c>
      <c r="O72" s="140" t="s">
        <v>374</v>
      </c>
      <c r="P72" s="139" t="s">
        <v>61</v>
      </c>
      <c r="Q72" s="142" t="s">
        <v>375</v>
      </c>
      <c r="R72" s="292">
        <v>450203501</v>
      </c>
      <c r="S72" s="142" t="s">
        <v>376</v>
      </c>
      <c r="T72" s="289" t="s">
        <v>157</v>
      </c>
      <c r="U72" s="145">
        <v>0.2</v>
      </c>
      <c r="V72" s="145"/>
      <c r="W72" s="145">
        <f t="shared" si="8"/>
        <v>0.2</v>
      </c>
      <c r="X72" s="145">
        <v>0.1</v>
      </c>
      <c r="Y72" s="146">
        <v>2020003630071</v>
      </c>
      <c r="Z72" s="260" t="s">
        <v>365</v>
      </c>
      <c r="AA72" s="140" t="s">
        <v>366</v>
      </c>
      <c r="AB72" s="130"/>
      <c r="AC72" s="130"/>
      <c r="AD72" s="130"/>
      <c r="AE72" s="130"/>
      <c r="AF72" s="130"/>
      <c r="AG72" s="130"/>
      <c r="AH72" s="130"/>
      <c r="AI72" s="130"/>
      <c r="AJ72" s="130"/>
      <c r="AK72" s="130"/>
      <c r="AL72" s="130"/>
      <c r="AM72" s="130"/>
      <c r="AN72" s="130"/>
      <c r="AO72" s="130"/>
      <c r="AP72" s="130"/>
      <c r="AQ72" s="130"/>
      <c r="AR72" s="130"/>
      <c r="AS72" s="130"/>
      <c r="AT72" s="135">
        <f>25000000+25000000</f>
        <v>50000000</v>
      </c>
      <c r="AU72" s="135">
        <v>13600000</v>
      </c>
      <c r="AV72" s="135">
        <v>6400000</v>
      </c>
      <c r="AW72" s="130"/>
      <c r="AX72" s="130"/>
      <c r="AY72" s="130"/>
      <c r="AZ72" s="130"/>
      <c r="BA72" s="130"/>
      <c r="BB72" s="130"/>
      <c r="BC72" s="130"/>
      <c r="BD72" s="130"/>
      <c r="BE72" s="130"/>
      <c r="BF72" s="138">
        <f t="shared" ref="BF72:BF135" si="9">AB72+AE72+AH72+AK72+AN72+AQ72+AT72+AW72+BC72+AZ72</f>
        <v>50000000</v>
      </c>
      <c r="BG72" s="138">
        <f t="shared" ref="BG72:BG135" si="10">AC72+AF72+AI72+AL72+AO72+AR72+AU72+AX72+BD72+BA72</f>
        <v>13600000</v>
      </c>
      <c r="BH72" s="138">
        <f t="shared" ref="BH72:BH135" si="11">AD72+AG72+AJ72+AM72+AP72+AS72+AV72+AY72+BE72+BB72</f>
        <v>6400000</v>
      </c>
      <c r="BI72" s="141" t="s">
        <v>8</v>
      </c>
    </row>
    <row r="73" spans="1:61" s="151" customFormat="1" ht="126" customHeight="1">
      <c r="A73" s="139">
        <v>310</v>
      </c>
      <c r="B73" s="140" t="s">
        <v>377</v>
      </c>
      <c r="C73" s="139">
        <v>1</v>
      </c>
      <c r="D73" s="140" t="s">
        <v>148</v>
      </c>
      <c r="E73" s="139">
        <v>33</v>
      </c>
      <c r="F73" s="140" t="s">
        <v>170</v>
      </c>
      <c r="G73" s="139">
        <v>3301</v>
      </c>
      <c r="H73" s="140" t="s">
        <v>171</v>
      </c>
      <c r="I73" s="139">
        <v>3301</v>
      </c>
      <c r="J73" s="140" t="s">
        <v>172</v>
      </c>
      <c r="K73" s="140" t="s">
        <v>378</v>
      </c>
      <c r="L73" s="139">
        <v>3301087</v>
      </c>
      <c r="M73" s="140" t="s">
        <v>379</v>
      </c>
      <c r="N73" s="139">
        <v>3301087</v>
      </c>
      <c r="O73" s="140" t="s">
        <v>379</v>
      </c>
      <c r="P73" s="139">
        <v>330108701</v>
      </c>
      <c r="Q73" s="141" t="s">
        <v>350</v>
      </c>
      <c r="R73" s="139">
        <v>330108701</v>
      </c>
      <c r="S73" s="142" t="s">
        <v>350</v>
      </c>
      <c r="T73" s="143" t="s">
        <v>157</v>
      </c>
      <c r="U73" s="145">
        <v>5750</v>
      </c>
      <c r="V73" s="145"/>
      <c r="W73" s="145">
        <f>U73+V73</f>
        <v>5750</v>
      </c>
      <c r="X73" s="145">
        <v>2337</v>
      </c>
      <c r="Y73" s="146">
        <v>2020003630021</v>
      </c>
      <c r="Z73" s="260" t="s">
        <v>380</v>
      </c>
      <c r="AA73" s="140" t="s">
        <v>381</v>
      </c>
      <c r="AB73" s="273"/>
      <c r="AC73" s="273"/>
      <c r="AD73" s="273"/>
      <c r="AE73" s="130"/>
      <c r="AF73" s="130"/>
      <c r="AG73" s="130"/>
      <c r="AH73" s="130"/>
      <c r="AI73" s="130"/>
      <c r="AJ73" s="130"/>
      <c r="AK73" s="130"/>
      <c r="AL73" s="130"/>
      <c r="AM73" s="130"/>
      <c r="AN73" s="130"/>
      <c r="AO73" s="130"/>
      <c r="AP73" s="130"/>
      <c r="AQ73" s="130"/>
      <c r="AR73" s="130"/>
      <c r="AS73" s="130"/>
      <c r="AT73" s="136">
        <v>336838679</v>
      </c>
      <c r="AU73" s="136">
        <v>139578333</v>
      </c>
      <c r="AV73" s="136">
        <v>42383333</v>
      </c>
      <c r="AW73" s="130"/>
      <c r="AX73" s="130"/>
      <c r="AY73" s="130"/>
      <c r="AZ73" s="130"/>
      <c r="BA73" s="130"/>
      <c r="BB73" s="130"/>
      <c r="BC73" s="130"/>
      <c r="BD73" s="130"/>
      <c r="BE73" s="130"/>
      <c r="BF73" s="138">
        <f t="shared" si="9"/>
        <v>336838679</v>
      </c>
      <c r="BG73" s="138">
        <f t="shared" si="10"/>
        <v>139578333</v>
      </c>
      <c r="BH73" s="138">
        <f t="shared" si="11"/>
        <v>42383333</v>
      </c>
      <c r="BI73" s="141" t="s">
        <v>11</v>
      </c>
    </row>
    <row r="74" spans="1:61" s="151" customFormat="1" ht="126" customHeight="1">
      <c r="A74" s="139">
        <v>310</v>
      </c>
      <c r="B74" s="140" t="s">
        <v>377</v>
      </c>
      <c r="C74" s="139">
        <v>1</v>
      </c>
      <c r="D74" s="140" t="s">
        <v>148</v>
      </c>
      <c r="E74" s="139">
        <v>33</v>
      </c>
      <c r="F74" s="140" t="s">
        <v>170</v>
      </c>
      <c r="G74" s="139">
        <v>3301</v>
      </c>
      <c r="H74" s="140" t="s">
        <v>171</v>
      </c>
      <c r="I74" s="139">
        <v>3301</v>
      </c>
      <c r="J74" s="140" t="s">
        <v>172</v>
      </c>
      <c r="K74" s="140" t="s">
        <v>382</v>
      </c>
      <c r="L74" s="139">
        <v>3301073</v>
      </c>
      <c r="M74" s="140" t="s">
        <v>383</v>
      </c>
      <c r="N74" s="139">
        <v>3301073</v>
      </c>
      <c r="O74" s="140" t="s">
        <v>383</v>
      </c>
      <c r="P74" s="139">
        <v>330107301</v>
      </c>
      <c r="Q74" s="142" t="s">
        <v>384</v>
      </c>
      <c r="R74" s="139">
        <v>330107301</v>
      </c>
      <c r="S74" s="142" t="s">
        <v>384</v>
      </c>
      <c r="T74" s="143" t="s">
        <v>157</v>
      </c>
      <c r="U74" s="145">
        <v>550</v>
      </c>
      <c r="V74" s="145"/>
      <c r="W74" s="145">
        <f t="shared" ref="W74:W82" si="12">U74+V74</f>
        <v>550</v>
      </c>
      <c r="X74" s="145">
        <v>18</v>
      </c>
      <c r="Y74" s="146">
        <v>2020003630021</v>
      </c>
      <c r="Z74" s="260" t="s">
        <v>380</v>
      </c>
      <c r="AA74" s="140" t="s">
        <v>381</v>
      </c>
      <c r="AB74" s="130">
        <f>1498231249+405865979.33+71938618.98</f>
        <v>1976035847.3099999</v>
      </c>
      <c r="AC74" s="130">
        <v>81455000</v>
      </c>
      <c r="AD74" s="130">
        <v>31285000</v>
      </c>
      <c r="AE74" s="130"/>
      <c r="AF74" s="130"/>
      <c r="AG74" s="130"/>
      <c r="AH74" s="130"/>
      <c r="AI74" s="130"/>
      <c r="AJ74" s="130"/>
      <c r="AK74" s="130"/>
      <c r="AL74" s="130"/>
      <c r="AM74" s="130"/>
      <c r="AN74" s="130"/>
      <c r="AO74" s="130"/>
      <c r="AP74" s="130"/>
      <c r="AQ74" s="130"/>
      <c r="AR74" s="130"/>
      <c r="AS74" s="130"/>
      <c r="AT74" s="135">
        <f>150000000+320000000</f>
        <v>470000000</v>
      </c>
      <c r="AU74" s="135">
        <v>75121666.670000002</v>
      </c>
      <c r="AV74" s="135">
        <v>33351666.670000002</v>
      </c>
      <c r="AW74" s="130"/>
      <c r="AX74" s="130"/>
      <c r="AY74" s="130"/>
      <c r="AZ74" s="130"/>
      <c r="BA74" s="130"/>
      <c r="BB74" s="130"/>
      <c r="BC74" s="130"/>
      <c r="BD74" s="130"/>
      <c r="BE74" s="130"/>
      <c r="BF74" s="138">
        <f t="shared" si="9"/>
        <v>2446035847.3099999</v>
      </c>
      <c r="BG74" s="138">
        <f t="shared" si="10"/>
        <v>156576666.67000002</v>
      </c>
      <c r="BH74" s="138">
        <f t="shared" si="11"/>
        <v>64636666.670000002</v>
      </c>
      <c r="BI74" s="141" t="s">
        <v>11</v>
      </c>
    </row>
    <row r="75" spans="1:61" s="288" customFormat="1" ht="126" customHeight="1">
      <c r="A75" s="139">
        <v>310</v>
      </c>
      <c r="B75" s="140" t="s">
        <v>377</v>
      </c>
      <c r="C75" s="139">
        <v>1</v>
      </c>
      <c r="D75" s="140" t="s">
        <v>148</v>
      </c>
      <c r="E75" s="139">
        <v>33</v>
      </c>
      <c r="F75" s="140" t="s">
        <v>170</v>
      </c>
      <c r="G75" s="139">
        <v>3301</v>
      </c>
      <c r="H75" s="140" t="s">
        <v>171</v>
      </c>
      <c r="I75" s="139">
        <v>3301</v>
      </c>
      <c r="J75" s="140" t="s">
        <v>172</v>
      </c>
      <c r="K75" s="142" t="s">
        <v>173</v>
      </c>
      <c r="L75" s="139" t="s">
        <v>61</v>
      </c>
      <c r="M75" s="140" t="s">
        <v>385</v>
      </c>
      <c r="N75" s="139">
        <v>3301070</v>
      </c>
      <c r="O75" s="140" t="s">
        <v>386</v>
      </c>
      <c r="P75" s="139" t="s">
        <v>61</v>
      </c>
      <c r="Q75" s="142" t="s">
        <v>387</v>
      </c>
      <c r="R75" s="139">
        <v>330107000</v>
      </c>
      <c r="S75" s="142" t="s">
        <v>103</v>
      </c>
      <c r="T75" s="143" t="s">
        <v>157</v>
      </c>
      <c r="U75" s="145">
        <v>0.3</v>
      </c>
      <c r="V75" s="145">
        <v>0.05</v>
      </c>
      <c r="W75" s="145">
        <f t="shared" si="12"/>
        <v>0.35</v>
      </c>
      <c r="X75" s="145">
        <v>0.1</v>
      </c>
      <c r="Y75" s="146">
        <v>2020003630021</v>
      </c>
      <c r="Z75" s="260" t="s">
        <v>380</v>
      </c>
      <c r="AA75" s="140" t="s">
        <v>381</v>
      </c>
      <c r="AB75" s="294"/>
      <c r="AC75" s="294"/>
      <c r="AD75" s="294"/>
      <c r="AE75" s="130"/>
      <c r="AF75" s="130"/>
      <c r="AG75" s="130"/>
      <c r="AH75" s="130"/>
      <c r="AI75" s="130"/>
      <c r="AJ75" s="130"/>
      <c r="AK75" s="130"/>
      <c r="AL75" s="130"/>
      <c r="AM75" s="130"/>
      <c r="AN75" s="130"/>
      <c r="AO75" s="130"/>
      <c r="AP75" s="130"/>
      <c r="AQ75" s="130"/>
      <c r="AR75" s="130"/>
      <c r="AS75" s="130"/>
      <c r="AT75" s="136">
        <v>36000000</v>
      </c>
      <c r="AU75" s="136">
        <v>24600000</v>
      </c>
      <c r="AV75" s="136">
        <v>8200000</v>
      </c>
      <c r="AW75" s="130"/>
      <c r="AX75" s="130"/>
      <c r="AY75" s="130"/>
      <c r="AZ75" s="130"/>
      <c r="BA75" s="130"/>
      <c r="BB75" s="130"/>
      <c r="BC75" s="130"/>
      <c r="BD75" s="130"/>
      <c r="BE75" s="130"/>
      <c r="BF75" s="138">
        <f t="shared" si="9"/>
        <v>36000000</v>
      </c>
      <c r="BG75" s="138">
        <f t="shared" si="10"/>
        <v>24600000</v>
      </c>
      <c r="BH75" s="138">
        <f t="shared" si="11"/>
        <v>8200000</v>
      </c>
      <c r="BI75" s="141" t="s">
        <v>11</v>
      </c>
    </row>
    <row r="76" spans="1:61" s="288" customFormat="1" ht="126" customHeight="1">
      <c r="A76" s="139">
        <v>310</v>
      </c>
      <c r="B76" s="140" t="s">
        <v>377</v>
      </c>
      <c r="C76" s="139">
        <v>1</v>
      </c>
      <c r="D76" s="140" t="s">
        <v>148</v>
      </c>
      <c r="E76" s="139">
        <v>33</v>
      </c>
      <c r="F76" s="140" t="s">
        <v>170</v>
      </c>
      <c r="G76" s="139">
        <v>3301</v>
      </c>
      <c r="H76" s="140" t="s">
        <v>171</v>
      </c>
      <c r="I76" s="139">
        <v>3301</v>
      </c>
      <c r="J76" s="140" t="s">
        <v>172</v>
      </c>
      <c r="K76" s="140" t="s">
        <v>382</v>
      </c>
      <c r="L76" s="139">
        <v>3301099</v>
      </c>
      <c r="M76" s="140" t="s">
        <v>388</v>
      </c>
      <c r="N76" s="139">
        <v>3301099</v>
      </c>
      <c r="O76" s="140" t="s">
        <v>388</v>
      </c>
      <c r="P76" s="139">
        <v>330109900</v>
      </c>
      <c r="Q76" s="142" t="s">
        <v>389</v>
      </c>
      <c r="R76" s="139">
        <v>330109900</v>
      </c>
      <c r="S76" s="142" t="s">
        <v>389</v>
      </c>
      <c r="T76" s="145" t="s">
        <v>69</v>
      </c>
      <c r="U76" s="145">
        <v>1</v>
      </c>
      <c r="V76" s="145"/>
      <c r="W76" s="145">
        <f t="shared" si="12"/>
        <v>1</v>
      </c>
      <c r="X76" s="145">
        <v>0.4</v>
      </c>
      <c r="Y76" s="146">
        <v>2020003630021</v>
      </c>
      <c r="Z76" s="260" t="s">
        <v>380</v>
      </c>
      <c r="AA76" s="140" t="s">
        <v>381</v>
      </c>
      <c r="AB76" s="294"/>
      <c r="AC76" s="294"/>
      <c r="AD76" s="294"/>
      <c r="AE76" s="130"/>
      <c r="AF76" s="130"/>
      <c r="AG76" s="130"/>
      <c r="AH76" s="130"/>
      <c r="AI76" s="130"/>
      <c r="AJ76" s="130"/>
      <c r="AK76" s="130"/>
      <c r="AL76" s="130"/>
      <c r="AM76" s="130"/>
      <c r="AN76" s="130"/>
      <c r="AO76" s="130"/>
      <c r="AP76" s="130"/>
      <c r="AQ76" s="130"/>
      <c r="AR76" s="130"/>
      <c r="AS76" s="130"/>
      <c r="AT76" s="136">
        <v>30000000</v>
      </c>
      <c r="AU76" s="136">
        <v>13750000</v>
      </c>
      <c r="AV76" s="136">
        <v>2450000</v>
      </c>
      <c r="AW76" s="130"/>
      <c r="AX76" s="130"/>
      <c r="AY76" s="130"/>
      <c r="AZ76" s="130"/>
      <c r="BA76" s="130"/>
      <c r="BB76" s="130"/>
      <c r="BC76" s="130"/>
      <c r="BD76" s="130"/>
      <c r="BE76" s="130"/>
      <c r="BF76" s="138">
        <f t="shared" si="9"/>
        <v>30000000</v>
      </c>
      <c r="BG76" s="138">
        <f t="shared" si="10"/>
        <v>13750000</v>
      </c>
      <c r="BH76" s="138">
        <f t="shared" si="11"/>
        <v>2450000</v>
      </c>
      <c r="BI76" s="141" t="s">
        <v>11</v>
      </c>
    </row>
    <row r="77" spans="1:61" s="288" customFormat="1" ht="126" customHeight="1">
      <c r="A77" s="139">
        <v>310</v>
      </c>
      <c r="B77" s="140" t="s">
        <v>377</v>
      </c>
      <c r="C77" s="139">
        <v>1</v>
      </c>
      <c r="D77" s="140" t="s">
        <v>148</v>
      </c>
      <c r="E77" s="139">
        <v>33</v>
      </c>
      <c r="F77" s="140" t="s">
        <v>170</v>
      </c>
      <c r="G77" s="139">
        <v>3301</v>
      </c>
      <c r="H77" s="140" t="s">
        <v>171</v>
      </c>
      <c r="I77" s="139">
        <v>3301</v>
      </c>
      <c r="J77" s="140" t="s">
        <v>172</v>
      </c>
      <c r="K77" s="140" t="s">
        <v>378</v>
      </c>
      <c r="L77" s="139">
        <v>3301052</v>
      </c>
      <c r="M77" s="140" t="s">
        <v>390</v>
      </c>
      <c r="N77" s="139">
        <v>3301052</v>
      </c>
      <c r="O77" s="140" t="s">
        <v>390</v>
      </c>
      <c r="P77" s="295">
        <v>330105203</v>
      </c>
      <c r="Q77" s="142" t="s">
        <v>391</v>
      </c>
      <c r="R77" s="295">
        <v>330105203</v>
      </c>
      <c r="S77" s="142" t="s">
        <v>391</v>
      </c>
      <c r="T77" s="145" t="s">
        <v>69</v>
      </c>
      <c r="U77" s="145">
        <v>135</v>
      </c>
      <c r="V77" s="145"/>
      <c r="W77" s="145">
        <f t="shared" si="12"/>
        <v>135</v>
      </c>
      <c r="X77" s="145">
        <v>0</v>
      </c>
      <c r="Y77" s="146">
        <v>2020003630021</v>
      </c>
      <c r="Z77" s="260" t="s">
        <v>380</v>
      </c>
      <c r="AA77" s="140" t="s">
        <v>381</v>
      </c>
      <c r="AB77" s="294"/>
      <c r="AC77" s="294"/>
      <c r="AD77" s="294"/>
      <c r="AE77" s="130"/>
      <c r="AF77" s="130"/>
      <c r="AG77" s="130"/>
      <c r="AH77" s="130"/>
      <c r="AI77" s="130"/>
      <c r="AJ77" s="130"/>
      <c r="AK77" s="130"/>
      <c r="AL77" s="130"/>
      <c r="AM77" s="130"/>
      <c r="AN77" s="130"/>
      <c r="AO77" s="130"/>
      <c r="AP77" s="130"/>
      <c r="AQ77" s="130"/>
      <c r="AR77" s="130"/>
      <c r="AS77" s="130"/>
      <c r="AT77" s="136">
        <v>20000000</v>
      </c>
      <c r="AU77" s="136"/>
      <c r="AV77" s="136"/>
      <c r="AW77" s="130"/>
      <c r="AX77" s="130"/>
      <c r="AY77" s="130"/>
      <c r="AZ77" s="130"/>
      <c r="BA77" s="130"/>
      <c r="BB77" s="130"/>
      <c r="BC77" s="130"/>
      <c r="BD77" s="130"/>
      <c r="BE77" s="130"/>
      <c r="BF77" s="138">
        <f t="shared" si="9"/>
        <v>20000000</v>
      </c>
      <c r="BG77" s="138">
        <f t="shared" si="10"/>
        <v>0</v>
      </c>
      <c r="BH77" s="138">
        <f t="shared" si="11"/>
        <v>0</v>
      </c>
      <c r="BI77" s="141" t="s">
        <v>11</v>
      </c>
    </row>
    <row r="78" spans="1:61" s="288" customFormat="1" ht="126" customHeight="1">
      <c r="A78" s="139">
        <v>310</v>
      </c>
      <c r="B78" s="140" t="s">
        <v>377</v>
      </c>
      <c r="C78" s="139">
        <v>1</v>
      </c>
      <c r="D78" s="140" t="s">
        <v>148</v>
      </c>
      <c r="E78" s="139">
        <v>33</v>
      </c>
      <c r="F78" s="140" t="s">
        <v>170</v>
      </c>
      <c r="G78" s="139">
        <v>3301</v>
      </c>
      <c r="H78" s="140" t="s">
        <v>171</v>
      </c>
      <c r="I78" s="139">
        <v>3301</v>
      </c>
      <c r="J78" s="140" t="s">
        <v>172</v>
      </c>
      <c r="K78" s="140" t="s">
        <v>392</v>
      </c>
      <c r="L78" s="139">
        <v>3301085</v>
      </c>
      <c r="M78" s="140" t="s">
        <v>393</v>
      </c>
      <c r="N78" s="139">
        <v>3301085</v>
      </c>
      <c r="O78" s="140" t="s">
        <v>393</v>
      </c>
      <c r="P78" s="139" t="s">
        <v>394</v>
      </c>
      <c r="Q78" s="142" t="s">
        <v>395</v>
      </c>
      <c r="R78" s="139" t="s">
        <v>394</v>
      </c>
      <c r="S78" s="142" t="s">
        <v>395</v>
      </c>
      <c r="T78" s="143" t="s">
        <v>157</v>
      </c>
      <c r="U78" s="296">
        <v>115000</v>
      </c>
      <c r="V78" s="296"/>
      <c r="W78" s="297">
        <f t="shared" si="12"/>
        <v>115000</v>
      </c>
      <c r="X78" s="297">
        <v>20240</v>
      </c>
      <c r="Y78" s="146">
        <v>2020003630020</v>
      </c>
      <c r="Z78" s="260" t="s">
        <v>396</v>
      </c>
      <c r="AA78" s="260" t="s">
        <v>397</v>
      </c>
      <c r="AB78" s="136">
        <f>139705208+73048930.18</f>
        <v>212754138.18000001</v>
      </c>
      <c r="AC78" s="136">
        <v>137300000</v>
      </c>
      <c r="AD78" s="136">
        <v>54100000</v>
      </c>
      <c r="AE78" s="130"/>
      <c r="AF78" s="130"/>
      <c r="AG78" s="130"/>
      <c r="AH78" s="130"/>
      <c r="AI78" s="130"/>
      <c r="AJ78" s="130"/>
      <c r="AK78" s="130"/>
      <c r="AL78" s="130"/>
      <c r="AM78" s="130"/>
      <c r="AN78" s="130"/>
      <c r="AO78" s="130"/>
      <c r="AP78" s="130"/>
      <c r="AQ78" s="130"/>
      <c r="AR78" s="130"/>
      <c r="AS78" s="130"/>
      <c r="AT78" s="135">
        <v>20000000</v>
      </c>
      <c r="AU78" s="135">
        <v>10000000</v>
      </c>
      <c r="AV78" s="135"/>
      <c r="AW78" s="130"/>
      <c r="AX78" s="130"/>
      <c r="AY78" s="130"/>
      <c r="AZ78" s="130"/>
      <c r="BA78" s="130"/>
      <c r="BB78" s="130"/>
      <c r="BC78" s="130"/>
      <c r="BD78" s="130"/>
      <c r="BE78" s="130"/>
      <c r="BF78" s="138">
        <f t="shared" si="9"/>
        <v>232754138.18000001</v>
      </c>
      <c r="BG78" s="138">
        <f t="shared" si="10"/>
        <v>147300000</v>
      </c>
      <c r="BH78" s="138">
        <f t="shared" si="11"/>
        <v>54100000</v>
      </c>
      <c r="BI78" s="141" t="s">
        <v>11</v>
      </c>
    </row>
    <row r="79" spans="1:61" s="288" customFormat="1" ht="126" customHeight="1">
      <c r="A79" s="139">
        <v>310</v>
      </c>
      <c r="B79" s="140" t="s">
        <v>377</v>
      </c>
      <c r="C79" s="139">
        <v>1</v>
      </c>
      <c r="D79" s="140" t="s">
        <v>148</v>
      </c>
      <c r="E79" s="139">
        <v>33</v>
      </c>
      <c r="F79" s="140" t="s">
        <v>170</v>
      </c>
      <c r="G79" s="139">
        <v>3301</v>
      </c>
      <c r="H79" s="140" t="s">
        <v>171</v>
      </c>
      <c r="I79" s="139">
        <v>3301</v>
      </c>
      <c r="J79" s="140" t="s">
        <v>172</v>
      </c>
      <c r="K79" s="140" t="s">
        <v>392</v>
      </c>
      <c r="L79" s="139">
        <v>3301100</v>
      </c>
      <c r="M79" s="140" t="s">
        <v>398</v>
      </c>
      <c r="N79" s="139">
        <v>3301100</v>
      </c>
      <c r="O79" s="140" t="s">
        <v>398</v>
      </c>
      <c r="P79" s="295" t="s">
        <v>399</v>
      </c>
      <c r="Q79" s="142" t="s">
        <v>400</v>
      </c>
      <c r="R79" s="295" t="s">
        <v>399</v>
      </c>
      <c r="S79" s="142" t="s">
        <v>400</v>
      </c>
      <c r="T79" s="143" t="s">
        <v>157</v>
      </c>
      <c r="U79" s="145">
        <v>10</v>
      </c>
      <c r="V79" s="145"/>
      <c r="W79" s="145">
        <f t="shared" si="12"/>
        <v>10</v>
      </c>
      <c r="X79" s="145">
        <v>0</v>
      </c>
      <c r="Y79" s="146">
        <v>2020003630020</v>
      </c>
      <c r="Z79" s="141" t="s">
        <v>396</v>
      </c>
      <c r="AA79" s="260" t="s">
        <v>397</v>
      </c>
      <c r="AB79" s="136">
        <v>110000000</v>
      </c>
      <c r="AC79" s="136">
        <v>15000000</v>
      </c>
      <c r="AD79" s="136">
        <v>5300000</v>
      </c>
      <c r="AE79" s="130"/>
      <c r="AF79" s="130"/>
      <c r="AG79" s="130"/>
      <c r="AH79" s="130"/>
      <c r="AI79" s="130"/>
      <c r="AJ79" s="130"/>
      <c r="AK79" s="130"/>
      <c r="AL79" s="130"/>
      <c r="AM79" s="130"/>
      <c r="AN79" s="130"/>
      <c r="AO79" s="130"/>
      <c r="AP79" s="130"/>
      <c r="AQ79" s="130"/>
      <c r="AR79" s="130"/>
      <c r="AS79" s="130"/>
      <c r="AT79" s="130">
        <f>18000000+100000000</f>
        <v>118000000</v>
      </c>
      <c r="AU79" s="130">
        <v>18000000</v>
      </c>
      <c r="AV79" s="130">
        <v>10600000</v>
      </c>
      <c r="AW79" s="130"/>
      <c r="AX79" s="130"/>
      <c r="AY79" s="130"/>
      <c r="AZ79" s="130"/>
      <c r="BA79" s="130"/>
      <c r="BB79" s="130"/>
      <c r="BC79" s="130"/>
      <c r="BD79" s="130"/>
      <c r="BE79" s="130"/>
      <c r="BF79" s="138">
        <f t="shared" si="9"/>
        <v>228000000</v>
      </c>
      <c r="BG79" s="138">
        <f t="shared" si="10"/>
        <v>33000000</v>
      </c>
      <c r="BH79" s="138">
        <f t="shared" si="11"/>
        <v>15900000</v>
      </c>
      <c r="BI79" s="141" t="s">
        <v>11</v>
      </c>
    </row>
    <row r="80" spans="1:61" s="288" customFormat="1" ht="126" customHeight="1">
      <c r="A80" s="139">
        <v>310</v>
      </c>
      <c r="B80" s="140" t="s">
        <v>377</v>
      </c>
      <c r="C80" s="139">
        <v>1</v>
      </c>
      <c r="D80" s="140" t="s">
        <v>148</v>
      </c>
      <c r="E80" s="139">
        <v>33</v>
      </c>
      <c r="F80" s="140" t="s">
        <v>170</v>
      </c>
      <c r="G80" s="139">
        <v>3301</v>
      </c>
      <c r="H80" s="140" t="s">
        <v>171</v>
      </c>
      <c r="I80" s="139">
        <v>3301</v>
      </c>
      <c r="J80" s="140" t="s">
        <v>172</v>
      </c>
      <c r="K80" s="140" t="s">
        <v>382</v>
      </c>
      <c r="L80" s="139">
        <v>3301095</v>
      </c>
      <c r="M80" s="140" t="s">
        <v>401</v>
      </c>
      <c r="N80" s="139">
        <v>3301095</v>
      </c>
      <c r="O80" s="140" t="s">
        <v>401</v>
      </c>
      <c r="P80" s="139" t="s">
        <v>402</v>
      </c>
      <c r="Q80" s="142" t="s">
        <v>403</v>
      </c>
      <c r="R80" s="139" t="s">
        <v>402</v>
      </c>
      <c r="S80" s="141" t="s">
        <v>403</v>
      </c>
      <c r="T80" s="143" t="s">
        <v>157</v>
      </c>
      <c r="U80" s="145">
        <v>150</v>
      </c>
      <c r="V80" s="145">
        <v>130</v>
      </c>
      <c r="W80" s="145">
        <f t="shared" si="12"/>
        <v>280</v>
      </c>
      <c r="X80" s="145">
        <v>0</v>
      </c>
      <c r="Y80" s="146">
        <v>2020003630072</v>
      </c>
      <c r="Z80" s="260" t="s">
        <v>404</v>
      </c>
      <c r="AA80" s="141" t="s">
        <v>405</v>
      </c>
      <c r="AB80" s="130">
        <f>249705208+99878270.55</f>
        <v>349583478.55000001</v>
      </c>
      <c r="AC80" s="130"/>
      <c r="AD80" s="130"/>
      <c r="AE80" s="130"/>
      <c r="AF80" s="130"/>
      <c r="AG80" s="130"/>
      <c r="AH80" s="130"/>
      <c r="AI80" s="130"/>
      <c r="AJ80" s="130"/>
      <c r="AK80" s="130"/>
      <c r="AL80" s="130"/>
      <c r="AM80" s="130"/>
      <c r="AN80" s="130"/>
      <c r="AO80" s="130"/>
      <c r="AP80" s="130"/>
      <c r="AQ80" s="130"/>
      <c r="AR80" s="130"/>
      <c r="AS80" s="130"/>
      <c r="AT80" s="136">
        <v>20000000</v>
      </c>
      <c r="AU80" s="136">
        <v>6300000</v>
      </c>
      <c r="AV80" s="136">
        <v>2100000</v>
      </c>
      <c r="AW80" s="130"/>
      <c r="AX80" s="130"/>
      <c r="AY80" s="130"/>
      <c r="AZ80" s="130"/>
      <c r="BA80" s="130"/>
      <c r="BB80" s="130"/>
      <c r="BC80" s="130"/>
      <c r="BD80" s="130"/>
      <c r="BE80" s="130"/>
      <c r="BF80" s="138">
        <f t="shared" si="9"/>
        <v>369583478.55000001</v>
      </c>
      <c r="BG80" s="138">
        <f t="shared" si="10"/>
        <v>6300000</v>
      </c>
      <c r="BH80" s="138">
        <f t="shared" si="11"/>
        <v>2100000</v>
      </c>
      <c r="BI80" s="141" t="s">
        <v>11</v>
      </c>
    </row>
    <row r="81" spans="1:61" s="288" customFormat="1" ht="126" customHeight="1">
      <c r="A81" s="139">
        <v>310</v>
      </c>
      <c r="B81" s="140" t="s">
        <v>377</v>
      </c>
      <c r="C81" s="139">
        <v>1</v>
      </c>
      <c r="D81" s="140" t="s">
        <v>148</v>
      </c>
      <c r="E81" s="139">
        <v>33</v>
      </c>
      <c r="F81" s="140" t="s">
        <v>170</v>
      </c>
      <c r="G81" s="139">
        <v>3302</v>
      </c>
      <c r="H81" s="140" t="s">
        <v>406</v>
      </c>
      <c r="I81" s="139">
        <v>3302</v>
      </c>
      <c r="J81" s="140" t="s">
        <v>407</v>
      </c>
      <c r="K81" s="140" t="s">
        <v>408</v>
      </c>
      <c r="L81" s="281">
        <v>3302042</v>
      </c>
      <c r="M81" s="140" t="s">
        <v>409</v>
      </c>
      <c r="N81" s="281">
        <v>3302042</v>
      </c>
      <c r="O81" s="140" t="s">
        <v>409</v>
      </c>
      <c r="P81" s="139" t="s">
        <v>410</v>
      </c>
      <c r="Q81" s="142" t="s">
        <v>411</v>
      </c>
      <c r="R81" s="139" t="s">
        <v>410</v>
      </c>
      <c r="S81" s="142" t="s">
        <v>411</v>
      </c>
      <c r="T81" s="143" t="s">
        <v>157</v>
      </c>
      <c r="U81" s="145">
        <v>12</v>
      </c>
      <c r="V81" s="145"/>
      <c r="W81" s="145">
        <f t="shared" si="12"/>
        <v>12</v>
      </c>
      <c r="X81" s="145">
        <v>4</v>
      </c>
      <c r="Y81" s="146">
        <v>2020003630073</v>
      </c>
      <c r="Z81" s="260" t="s">
        <v>412</v>
      </c>
      <c r="AA81" s="140" t="s">
        <v>413</v>
      </c>
      <c r="AB81" s="130"/>
      <c r="AC81" s="130"/>
      <c r="AD81" s="130"/>
      <c r="AE81" s="130"/>
      <c r="AF81" s="130"/>
      <c r="AG81" s="130"/>
      <c r="AH81" s="130"/>
      <c r="AI81" s="130"/>
      <c r="AJ81" s="130"/>
      <c r="AK81" s="130"/>
      <c r="AL81" s="130"/>
      <c r="AM81" s="130"/>
      <c r="AN81" s="130"/>
      <c r="AO81" s="130"/>
      <c r="AP81" s="130"/>
      <c r="AQ81" s="130"/>
      <c r="AR81" s="130"/>
      <c r="AS81" s="130"/>
      <c r="AT81" s="135">
        <v>66500000</v>
      </c>
      <c r="AU81" s="135">
        <v>24985000</v>
      </c>
      <c r="AV81" s="135">
        <v>18185000</v>
      </c>
      <c r="AW81" s="273"/>
      <c r="AX81" s="273"/>
      <c r="AY81" s="273"/>
      <c r="AZ81" s="273"/>
      <c r="BA81" s="273"/>
      <c r="BB81" s="273"/>
      <c r="BC81" s="138"/>
      <c r="BD81" s="138"/>
      <c r="BE81" s="138"/>
      <c r="BF81" s="138">
        <f t="shared" si="9"/>
        <v>66500000</v>
      </c>
      <c r="BG81" s="138">
        <f t="shared" si="10"/>
        <v>24985000</v>
      </c>
      <c r="BH81" s="138">
        <f t="shared" si="11"/>
        <v>18185000</v>
      </c>
      <c r="BI81" s="141" t="s">
        <v>11</v>
      </c>
    </row>
    <row r="82" spans="1:61" s="288" customFormat="1" ht="126" customHeight="1">
      <c r="A82" s="139">
        <v>310</v>
      </c>
      <c r="B82" s="140" t="s">
        <v>377</v>
      </c>
      <c r="C82" s="139">
        <v>1</v>
      </c>
      <c r="D82" s="140" t="s">
        <v>148</v>
      </c>
      <c r="E82" s="139">
        <v>33</v>
      </c>
      <c r="F82" s="140" t="s">
        <v>170</v>
      </c>
      <c r="G82" s="139">
        <v>3302</v>
      </c>
      <c r="H82" s="140" t="s">
        <v>406</v>
      </c>
      <c r="I82" s="139">
        <v>3302</v>
      </c>
      <c r="J82" s="140" t="s">
        <v>407</v>
      </c>
      <c r="K82" s="140" t="s">
        <v>408</v>
      </c>
      <c r="L82" s="281">
        <v>3302070</v>
      </c>
      <c r="M82" s="140" t="s">
        <v>414</v>
      </c>
      <c r="N82" s="281">
        <v>3302070</v>
      </c>
      <c r="O82" s="140" t="s">
        <v>414</v>
      </c>
      <c r="P82" s="295" t="s">
        <v>415</v>
      </c>
      <c r="Q82" s="142" t="s">
        <v>400</v>
      </c>
      <c r="R82" s="295" t="s">
        <v>415</v>
      </c>
      <c r="S82" s="142" t="s">
        <v>400</v>
      </c>
      <c r="T82" s="143" t="s">
        <v>69</v>
      </c>
      <c r="U82" s="145">
        <v>4</v>
      </c>
      <c r="V82" s="145"/>
      <c r="W82" s="145">
        <f t="shared" si="12"/>
        <v>4</v>
      </c>
      <c r="X82" s="145">
        <v>0</v>
      </c>
      <c r="Y82" s="146">
        <v>2020003630073</v>
      </c>
      <c r="Z82" s="260" t="s">
        <v>412</v>
      </c>
      <c r="AA82" s="140" t="s">
        <v>413</v>
      </c>
      <c r="AB82" s="273"/>
      <c r="AC82" s="273"/>
      <c r="AD82" s="273"/>
      <c r="AE82" s="130"/>
      <c r="AF82" s="130"/>
      <c r="AG82" s="130"/>
      <c r="AH82" s="130"/>
      <c r="AI82" s="130"/>
      <c r="AJ82" s="130"/>
      <c r="AK82" s="130"/>
      <c r="AL82" s="130"/>
      <c r="AM82" s="130"/>
      <c r="AN82" s="130"/>
      <c r="AO82" s="130"/>
      <c r="AP82" s="130"/>
      <c r="AQ82" s="130"/>
      <c r="AR82" s="130"/>
      <c r="AS82" s="130"/>
      <c r="AT82" s="135">
        <v>66500000</v>
      </c>
      <c r="AU82" s="135">
        <v>34925000</v>
      </c>
      <c r="AV82" s="135">
        <v>8585000</v>
      </c>
      <c r="AW82" s="138">
        <f>145398717+23893855.3-41573728</f>
        <v>127718844.30000001</v>
      </c>
      <c r="AX82" s="138"/>
      <c r="AY82" s="138"/>
      <c r="AZ82" s="138"/>
      <c r="BA82" s="138"/>
      <c r="BB82" s="138"/>
      <c r="BC82" s="138"/>
      <c r="BD82" s="138"/>
      <c r="BE82" s="138"/>
      <c r="BF82" s="138">
        <f t="shared" si="9"/>
        <v>194218844.30000001</v>
      </c>
      <c r="BG82" s="138">
        <f t="shared" si="10"/>
        <v>34925000</v>
      </c>
      <c r="BH82" s="138">
        <f t="shared" si="11"/>
        <v>8585000</v>
      </c>
      <c r="BI82" s="141" t="s">
        <v>11</v>
      </c>
    </row>
    <row r="83" spans="1:61" s="151" customFormat="1" ht="126" customHeight="1">
      <c r="A83" s="139">
        <v>311</v>
      </c>
      <c r="B83" s="140" t="s">
        <v>416</v>
      </c>
      <c r="C83" s="292">
        <v>2</v>
      </c>
      <c r="D83" s="140" t="s">
        <v>199</v>
      </c>
      <c r="E83" s="139">
        <v>35</v>
      </c>
      <c r="F83" s="140" t="s">
        <v>417</v>
      </c>
      <c r="G83" s="139">
        <v>3502</v>
      </c>
      <c r="H83" s="140" t="s">
        <v>418</v>
      </c>
      <c r="I83" s="139">
        <v>3502</v>
      </c>
      <c r="J83" s="140" t="s">
        <v>419</v>
      </c>
      <c r="K83" s="140" t="s">
        <v>420</v>
      </c>
      <c r="L83" s="139">
        <v>3502006</v>
      </c>
      <c r="M83" s="140" t="s">
        <v>421</v>
      </c>
      <c r="N83" s="292">
        <v>3502006</v>
      </c>
      <c r="O83" s="140" t="s">
        <v>421</v>
      </c>
      <c r="P83" s="139" t="s">
        <v>422</v>
      </c>
      <c r="Q83" s="142" t="s">
        <v>423</v>
      </c>
      <c r="R83" s="139" t="s">
        <v>422</v>
      </c>
      <c r="S83" s="142" t="s">
        <v>423</v>
      </c>
      <c r="T83" s="289" t="s">
        <v>157</v>
      </c>
      <c r="U83" s="145">
        <v>1</v>
      </c>
      <c r="V83" s="145"/>
      <c r="W83" s="145">
        <f>U83+V83</f>
        <v>1</v>
      </c>
      <c r="X83" s="145">
        <v>0.25</v>
      </c>
      <c r="Y83" s="146">
        <v>2020003630074</v>
      </c>
      <c r="Z83" s="260" t="s">
        <v>424</v>
      </c>
      <c r="AA83" s="140" t="s">
        <v>425</v>
      </c>
      <c r="AB83" s="130"/>
      <c r="AC83" s="130"/>
      <c r="AD83" s="130"/>
      <c r="AE83" s="130"/>
      <c r="AF83" s="130"/>
      <c r="AG83" s="130"/>
      <c r="AH83" s="130"/>
      <c r="AI83" s="130"/>
      <c r="AJ83" s="130"/>
      <c r="AK83" s="130"/>
      <c r="AL83" s="130"/>
      <c r="AM83" s="130"/>
      <c r="AN83" s="130"/>
      <c r="AO83" s="130"/>
      <c r="AP83" s="130"/>
      <c r="AQ83" s="130"/>
      <c r="AR83" s="130"/>
      <c r="AS83" s="130"/>
      <c r="AT83" s="138">
        <f>30000000+24000000</f>
        <v>54000000</v>
      </c>
      <c r="AU83" s="138">
        <v>29230000</v>
      </c>
      <c r="AV83" s="138">
        <v>18000000</v>
      </c>
      <c r="AW83" s="130"/>
      <c r="AX83" s="130"/>
      <c r="AY83" s="130"/>
      <c r="AZ83" s="130"/>
      <c r="BA83" s="130"/>
      <c r="BB83" s="130"/>
      <c r="BC83" s="130"/>
      <c r="BD83" s="130"/>
      <c r="BE83" s="130"/>
      <c r="BF83" s="138">
        <f t="shared" si="9"/>
        <v>54000000</v>
      </c>
      <c r="BG83" s="138">
        <f t="shared" si="10"/>
        <v>29230000</v>
      </c>
      <c r="BH83" s="138">
        <f t="shared" si="11"/>
        <v>18000000</v>
      </c>
      <c r="BI83" s="141" t="s">
        <v>12</v>
      </c>
    </row>
    <row r="84" spans="1:61" s="151" customFormat="1" ht="126" customHeight="1">
      <c r="A84" s="139">
        <v>311</v>
      </c>
      <c r="B84" s="140" t="s">
        <v>416</v>
      </c>
      <c r="C84" s="292">
        <v>2</v>
      </c>
      <c r="D84" s="140" t="s">
        <v>199</v>
      </c>
      <c r="E84" s="139">
        <v>35</v>
      </c>
      <c r="F84" s="140" t="s">
        <v>417</v>
      </c>
      <c r="G84" s="139">
        <v>3502</v>
      </c>
      <c r="H84" s="140" t="s">
        <v>418</v>
      </c>
      <c r="I84" s="139">
        <v>3502</v>
      </c>
      <c r="J84" s="140" t="s">
        <v>419</v>
      </c>
      <c r="K84" s="140" t="s">
        <v>420</v>
      </c>
      <c r="L84" s="139">
        <v>3502007</v>
      </c>
      <c r="M84" s="140" t="s">
        <v>426</v>
      </c>
      <c r="N84" s="292">
        <v>3502007</v>
      </c>
      <c r="O84" s="140" t="s">
        <v>426</v>
      </c>
      <c r="P84" s="139" t="s">
        <v>427</v>
      </c>
      <c r="Q84" s="142" t="s">
        <v>428</v>
      </c>
      <c r="R84" s="139">
        <v>350200700</v>
      </c>
      <c r="S84" s="142" t="s">
        <v>428</v>
      </c>
      <c r="T84" s="289" t="s">
        <v>69</v>
      </c>
      <c r="U84" s="145">
        <v>7</v>
      </c>
      <c r="V84" s="145"/>
      <c r="W84" s="145">
        <f t="shared" ref="W84:W92" si="13">U84+V84</f>
        <v>7</v>
      </c>
      <c r="X84" s="145">
        <v>4</v>
      </c>
      <c r="Y84" s="146">
        <v>2020003630074</v>
      </c>
      <c r="Z84" s="260" t="s">
        <v>424</v>
      </c>
      <c r="AA84" s="140" t="s">
        <v>425</v>
      </c>
      <c r="AB84" s="130"/>
      <c r="AC84" s="130"/>
      <c r="AD84" s="130"/>
      <c r="AE84" s="130"/>
      <c r="AF84" s="130"/>
      <c r="AG84" s="130"/>
      <c r="AH84" s="130"/>
      <c r="AI84" s="130"/>
      <c r="AJ84" s="130"/>
      <c r="AK84" s="130"/>
      <c r="AL84" s="130"/>
      <c r="AM84" s="130"/>
      <c r="AN84" s="130"/>
      <c r="AO84" s="130"/>
      <c r="AP84" s="130"/>
      <c r="AQ84" s="130"/>
      <c r="AR84" s="130"/>
      <c r="AS84" s="130"/>
      <c r="AT84" s="138">
        <v>50000000</v>
      </c>
      <c r="AU84" s="138">
        <v>18318928</v>
      </c>
      <c r="AV84" s="138">
        <v>9600000</v>
      </c>
      <c r="AW84" s="130"/>
      <c r="AX84" s="130"/>
      <c r="AY84" s="130"/>
      <c r="AZ84" s="130"/>
      <c r="BA84" s="130"/>
      <c r="BB84" s="130"/>
      <c r="BC84" s="130"/>
      <c r="BD84" s="130"/>
      <c r="BE84" s="130"/>
      <c r="BF84" s="138">
        <f t="shared" si="9"/>
        <v>50000000</v>
      </c>
      <c r="BG84" s="138">
        <f t="shared" si="10"/>
        <v>18318928</v>
      </c>
      <c r="BH84" s="138">
        <f t="shared" si="11"/>
        <v>9600000</v>
      </c>
      <c r="BI84" s="141" t="s">
        <v>12</v>
      </c>
    </row>
    <row r="85" spans="1:61" s="151" customFormat="1" ht="126" customHeight="1">
      <c r="A85" s="139">
        <v>311</v>
      </c>
      <c r="B85" s="140" t="s">
        <v>416</v>
      </c>
      <c r="C85" s="292">
        <v>2</v>
      </c>
      <c r="D85" s="140" t="s">
        <v>199</v>
      </c>
      <c r="E85" s="139">
        <v>35</v>
      </c>
      <c r="F85" s="140" t="s">
        <v>417</v>
      </c>
      <c r="G85" s="139">
        <v>3502</v>
      </c>
      <c r="H85" s="140" t="s">
        <v>418</v>
      </c>
      <c r="I85" s="139">
        <v>3502</v>
      </c>
      <c r="J85" s="140" t="s">
        <v>419</v>
      </c>
      <c r="K85" s="140" t="s">
        <v>420</v>
      </c>
      <c r="L85" s="137">
        <v>3502022</v>
      </c>
      <c r="M85" s="140" t="s">
        <v>429</v>
      </c>
      <c r="N85" s="137">
        <v>3502022</v>
      </c>
      <c r="O85" s="140" t="s">
        <v>429</v>
      </c>
      <c r="P85" s="132" t="s">
        <v>430</v>
      </c>
      <c r="Q85" s="142" t="s">
        <v>431</v>
      </c>
      <c r="R85" s="132" t="s">
        <v>430</v>
      </c>
      <c r="S85" s="142" t="s">
        <v>431</v>
      </c>
      <c r="T85" s="145" t="s">
        <v>69</v>
      </c>
      <c r="U85" s="145">
        <v>14</v>
      </c>
      <c r="V85" s="145"/>
      <c r="W85" s="145">
        <f t="shared" si="13"/>
        <v>14</v>
      </c>
      <c r="X85" s="145">
        <v>3</v>
      </c>
      <c r="Y85" s="146">
        <v>2020003630075</v>
      </c>
      <c r="Z85" s="260" t="s">
        <v>432</v>
      </c>
      <c r="AA85" s="140" t="s">
        <v>433</v>
      </c>
      <c r="AB85" s="130"/>
      <c r="AC85" s="130"/>
      <c r="AD85" s="130"/>
      <c r="AE85" s="130"/>
      <c r="AF85" s="130"/>
      <c r="AG85" s="130"/>
      <c r="AH85" s="130"/>
      <c r="AI85" s="130"/>
      <c r="AJ85" s="130"/>
      <c r="AK85" s="130"/>
      <c r="AL85" s="130"/>
      <c r="AM85" s="130"/>
      <c r="AN85" s="130"/>
      <c r="AO85" s="130"/>
      <c r="AP85" s="130"/>
      <c r="AQ85" s="130"/>
      <c r="AR85" s="130"/>
      <c r="AS85" s="130"/>
      <c r="AT85" s="138">
        <v>137351072</v>
      </c>
      <c r="AU85" s="138">
        <v>37351072</v>
      </c>
      <c r="AV85" s="138">
        <v>23910000</v>
      </c>
      <c r="AW85" s="130"/>
      <c r="AX85" s="130"/>
      <c r="AY85" s="130"/>
      <c r="AZ85" s="130"/>
      <c r="BA85" s="130"/>
      <c r="BB85" s="130"/>
      <c r="BC85" s="130"/>
      <c r="BD85" s="130"/>
      <c r="BE85" s="130"/>
      <c r="BF85" s="138">
        <f t="shared" si="9"/>
        <v>137351072</v>
      </c>
      <c r="BG85" s="138">
        <f t="shared" si="10"/>
        <v>37351072</v>
      </c>
      <c r="BH85" s="138">
        <f t="shared" si="11"/>
        <v>23910000</v>
      </c>
      <c r="BI85" s="141" t="s">
        <v>12</v>
      </c>
    </row>
    <row r="86" spans="1:61" s="151" customFormat="1" ht="126" customHeight="1">
      <c r="A86" s="139">
        <v>311</v>
      </c>
      <c r="B86" s="140" t="s">
        <v>416</v>
      </c>
      <c r="C86" s="292">
        <v>2</v>
      </c>
      <c r="D86" s="140" t="s">
        <v>199</v>
      </c>
      <c r="E86" s="139">
        <v>35</v>
      </c>
      <c r="F86" s="140" t="s">
        <v>417</v>
      </c>
      <c r="G86" s="139">
        <v>3502</v>
      </c>
      <c r="H86" s="140" t="s">
        <v>418</v>
      </c>
      <c r="I86" s="139">
        <v>3502</v>
      </c>
      <c r="J86" s="140" t="s">
        <v>419</v>
      </c>
      <c r="K86" s="140" t="s">
        <v>434</v>
      </c>
      <c r="L86" s="137">
        <v>3502039</v>
      </c>
      <c r="M86" s="140" t="s">
        <v>435</v>
      </c>
      <c r="N86" s="137">
        <v>3502039</v>
      </c>
      <c r="O86" s="140" t="s">
        <v>435</v>
      </c>
      <c r="P86" s="139" t="s">
        <v>436</v>
      </c>
      <c r="Q86" s="142" t="s">
        <v>121</v>
      </c>
      <c r="R86" s="139" t="s">
        <v>436</v>
      </c>
      <c r="S86" s="142" t="s">
        <v>121</v>
      </c>
      <c r="T86" s="143" t="s">
        <v>69</v>
      </c>
      <c r="U86" s="145">
        <v>12</v>
      </c>
      <c r="V86" s="145"/>
      <c r="W86" s="145">
        <f t="shared" si="13"/>
        <v>12</v>
      </c>
      <c r="X86" s="145">
        <v>12</v>
      </c>
      <c r="Y86" s="146">
        <v>2020003630076</v>
      </c>
      <c r="Z86" s="260" t="s">
        <v>437</v>
      </c>
      <c r="AA86" s="140" t="s">
        <v>438</v>
      </c>
      <c r="AB86" s="130"/>
      <c r="AC86" s="130"/>
      <c r="AD86" s="130"/>
      <c r="AE86" s="130"/>
      <c r="AF86" s="130"/>
      <c r="AG86" s="130"/>
      <c r="AH86" s="130"/>
      <c r="AI86" s="130"/>
      <c r="AJ86" s="130"/>
      <c r="AK86" s="130"/>
      <c r="AL86" s="130"/>
      <c r="AM86" s="130"/>
      <c r="AN86" s="130"/>
      <c r="AO86" s="130"/>
      <c r="AP86" s="130"/>
      <c r="AQ86" s="130"/>
      <c r="AR86" s="130"/>
      <c r="AS86" s="130"/>
      <c r="AT86" s="138">
        <f>138213547+56000000</f>
        <v>194213547</v>
      </c>
      <c r="AU86" s="138">
        <v>92300000</v>
      </c>
      <c r="AV86" s="138">
        <v>45450000</v>
      </c>
      <c r="AW86" s="130"/>
      <c r="AX86" s="130"/>
      <c r="AY86" s="130"/>
      <c r="AZ86" s="130"/>
      <c r="BA86" s="130"/>
      <c r="BB86" s="130"/>
      <c r="BC86" s="130"/>
      <c r="BD86" s="130"/>
      <c r="BE86" s="130"/>
      <c r="BF86" s="138">
        <f t="shared" si="9"/>
        <v>194213547</v>
      </c>
      <c r="BG86" s="138">
        <f t="shared" si="10"/>
        <v>92300000</v>
      </c>
      <c r="BH86" s="138">
        <f t="shared" si="11"/>
        <v>45450000</v>
      </c>
      <c r="BI86" s="141" t="s">
        <v>12</v>
      </c>
    </row>
    <row r="87" spans="1:61" s="151" customFormat="1" ht="126" customHeight="1">
      <c r="A87" s="139">
        <v>311</v>
      </c>
      <c r="B87" s="140" t="s">
        <v>416</v>
      </c>
      <c r="C87" s="292">
        <v>2</v>
      </c>
      <c r="D87" s="140" t="s">
        <v>199</v>
      </c>
      <c r="E87" s="139">
        <v>35</v>
      </c>
      <c r="F87" s="140" t="s">
        <v>417</v>
      </c>
      <c r="G87" s="139">
        <v>3502</v>
      </c>
      <c r="H87" s="140" t="s">
        <v>418</v>
      </c>
      <c r="I87" s="139">
        <v>3502</v>
      </c>
      <c r="J87" s="140" t="s">
        <v>419</v>
      </c>
      <c r="K87" s="140" t="s">
        <v>434</v>
      </c>
      <c r="L87" s="137">
        <v>3502039</v>
      </c>
      <c r="M87" s="140" t="s">
        <v>435</v>
      </c>
      <c r="N87" s="137">
        <v>3502039</v>
      </c>
      <c r="O87" s="140" t="s">
        <v>435</v>
      </c>
      <c r="P87" s="132">
        <v>350203910</v>
      </c>
      <c r="Q87" s="142" t="s">
        <v>439</v>
      </c>
      <c r="R87" s="132">
        <v>350203910</v>
      </c>
      <c r="S87" s="142" t="s">
        <v>439</v>
      </c>
      <c r="T87" s="289" t="s">
        <v>157</v>
      </c>
      <c r="U87" s="145">
        <v>2</v>
      </c>
      <c r="V87" s="145"/>
      <c r="W87" s="145">
        <f t="shared" si="13"/>
        <v>2</v>
      </c>
      <c r="X87" s="145">
        <v>0</v>
      </c>
      <c r="Y87" s="146">
        <v>2020003630076</v>
      </c>
      <c r="Z87" s="260" t="s">
        <v>437</v>
      </c>
      <c r="AA87" s="140" t="s">
        <v>438</v>
      </c>
      <c r="AB87" s="130"/>
      <c r="AC87" s="130"/>
      <c r="AD87" s="130"/>
      <c r="AE87" s="130"/>
      <c r="AF87" s="130"/>
      <c r="AG87" s="130"/>
      <c r="AH87" s="130"/>
      <c r="AI87" s="130"/>
      <c r="AJ87" s="130"/>
      <c r="AK87" s="130"/>
      <c r="AL87" s="130"/>
      <c r="AM87" s="130"/>
      <c r="AN87" s="130"/>
      <c r="AO87" s="130"/>
      <c r="AP87" s="130"/>
      <c r="AQ87" s="130"/>
      <c r="AR87" s="130"/>
      <c r="AS87" s="130"/>
      <c r="AT87" s="138">
        <f>50709524+119531727+180468273</f>
        <v>350709524</v>
      </c>
      <c r="AU87" s="138"/>
      <c r="AV87" s="138"/>
      <c r="AW87" s="130"/>
      <c r="AX87" s="130"/>
      <c r="AY87" s="130"/>
      <c r="AZ87" s="130"/>
      <c r="BA87" s="130"/>
      <c r="BB87" s="130"/>
      <c r="BC87" s="130"/>
      <c r="BD87" s="130"/>
      <c r="BE87" s="130"/>
      <c r="BF87" s="138">
        <f t="shared" si="9"/>
        <v>350709524</v>
      </c>
      <c r="BG87" s="138">
        <f t="shared" si="10"/>
        <v>0</v>
      </c>
      <c r="BH87" s="138">
        <f t="shared" si="11"/>
        <v>0</v>
      </c>
      <c r="BI87" s="141" t="s">
        <v>12</v>
      </c>
    </row>
    <row r="88" spans="1:61" s="151" customFormat="1" ht="126" customHeight="1">
      <c r="A88" s="139">
        <v>311</v>
      </c>
      <c r="B88" s="140" t="s">
        <v>416</v>
      </c>
      <c r="C88" s="292">
        <v>2</v>
      </c>
      <c r="D88" s="140" t="s">
        <v>199</v>
      </c>
      <c r="E88" s="139">
        <v>35</v>
      </c>
      <c r="F88" s="140" t="s">
        <v>417</v>
      </c>
      <c r="G88" s="139">
        <v>3502</v>
      </c>
      <c r="H88" s="140" t="s">
        <v>418</v>
      </c>
      <c r="I88" s="139">
        <v>3502</v>
      </c>
      <c r="J88" s="140" t="s">
        <v>419</v>
      </c>
      <c r="K88" s="140" t="s">
        <v>434</v>
      </c>
      <c r="L88" s="137">
        <v>3502046</v>
      </c>
      <c r="M88" s="140" t="s">
        <v>440</v>
      </c>
      <c r="N88" s="137">
        <v>3502046</v>
      </c>
      <c r="O88" s="140" t="s">
        <v>440</v>
      </c>
      <c r="P88" s="139" t="s">
        <v>441</v>
      </c>
      <c r="Q88" s="142" t="s">
        <v>442</v>
      </c>
      <c r="R88" s="139" t="s">
        <v>441</v>
      </c>
      <c r="S88" s="142" t="s">
        <v>442</v>
      </c>
      <c r="T88" s="289" t="s">
        <v>157</v>
      </c>
      <c r="U88" s="145">
        <v>1</v>
      </c>
      <c r="V88" s="145"/>
      <c r="W88" s="145">
        <f t="shared" si="13"/>
        <v>1</v>
      </c>
      <c r="X88" s="145">
        <v>0.4</v>
      </c>
      <c r="Y88" s="146">
        <v>2020003630077</v>
      </c>
      <c r="Z88" s="260" t="s">
        <v>443</v>
      </c>
      <c r="AA88" s="140" t="s">
        <v>444</v>
      </c>
      <c r="AB88" s="130"/>
      <c r="AC88" s="130"/>
      <c r="AD88" s="130"/>
      <c r="AE88" s="130"/>
      <c r="AF88" s="130"/>
      <c r="AG88" s="130"/>
      <c r="AH88" s="130"/>
      <c r="AI88" s="130"/>
      <c r="AJ88" s="130"/>
      <c r="AK88" s="130"/>
      <c r="AL88" s="130"/>
      <c r="AM88" s="130"/>
      <c r="AN88" s="130"/>
      <c r="AO88" s="130"/>
      <c r="AP88" s="130"/>
      <c r="AQ88" s="130"/>
      <c r="AR88" s="130"/>
      <c r="AS88" s="130"/>
      <c r="AT88" s="138">
        <f>256000000+40000000</f>
        <v>296000000</v>
      </c>
      <c r="AU88" s="138"/>
      <c r="AV88" s="138"/>
      <c r="AW88" s="138">
        <f>864000000+246031030.9</f>
        <v>1110031030.9000001</v>
      </c>
      <c r="AX88" s="138">
        <v>565142000</v>
      </c>
      <c r="AY88" s="138">
        <v>243651999.00999999</v>
      </c>
      <c r="AZ88" s="138"/>
      <c r="BA88" s="138"/>
      <c r="BB88" s="138"/>
      <c r="BC88" s="148"/>
      <c r="BD88" s="148"/>
      <c r="BE88" s="148"/>
      <c r="BF88" s="138">
        <f t="shared" si="9"/>
        <v>1406031030.9000001</v>
      </c>
      <c r="BG88" s="138">
        <f t="shared" si="10"/>
        <v>565142000</v>
      </c>
      <c r="BH88" s="138">
        <f t="shared" si="11"/>
        <v>243651999.00999999</v>
      </c>
      <c r="BI88" s="141" t="s">
        <v>12</v>
      </c>
    </row>
    <row r="89" spans="1:61" s="151" customFormat="1" ht="126" customHeight="1">
      <c r="A89" s="139">
        <v>311</v>
      </c>
      <c r="B89" s="140" t="s">
        <v>416</v>
      </c>
      <c r="C89" s="292">
        <v>2</v>
      </c>
      <c r="D89" s="140" t="s">
        <v>199</v>
      </c>
      <c r="E89" s="139">
        <v>36</v>
      </c>
      <c r="F89" s="140" t="s">
        <v>445</v>
      </c>
      <c r="G89" s="139">
        <v>3602</v>
      </c>
      <c r="H89" s="140" t="s">
        <v>446</v>
      </c>
      <c r="I89" s="139">
        <v>3602</v>
      </c>
      <c r="J89" s="140" t="s">
        <v>447</v>
      </c>
      <c r="K89" s="140" t="s">
        <v>420</v>
      </c>
      <c r="L89" s="139">
        <v>3602018</v>
      </c>
      <c r="M89" s="140" t="s">
        <v>448</v>
      </c>
      <c r="N89" s="139">
        <v>3602018</v>
      </c>
      <c r="O89" s="140" t="s">
        <v>448</v>
      </c>
      <c r="P89" s="132" t="s">
        <v>449</v>
      </c>
      <c r="Q89" s="142" t="s">
        <v>450</v>
      </c>
      <c r="R89" s="132" t="s">
        <v>449</v>
      </c>
      <c r="S89" s="142" t="s">
        <v>450</v>
      </c>
      <c r="T89" s="289" t="s">
        <v>157</v>
      </c>
      <c r="U89" s="145">
        <v>4</v>
      </c>
      <c r="V89" s="145"/>
      <c r="W89" s="145">
        <f t="shared" si="13"/>
        <v>4</v>
      </c>
      <c r="X89" s="145">
        <v>0</v>
      </c>
      <c r="Y89" s="146">
        <v>2020003630078</v>
      </c>
      <c r="Z89" s="260" t="s">
        <v>451</v>
      </c>
      <c r="AA89" s="140" t="s">
        <v>452</v>
      </c>
      <c r="AB89" s="130"/>
      <c r="AC89" s="130"/>
      <c r="AD89" s="130"/>
      <c r="AE89" s="130"/>
      <c r="AF89" s="130"/>
      <c r="AG89" s="130"/>
      <c r="AH89" s="130"/>
      <c r="AI89" s="130"/>
      <c r="AJ89" s="130"/>
      <c r="AK89" s="130"/>
      <c r="AL89" s="130"/>
      <c r="AM89" s="130"/>
      <c r="AN89" s="130"/>
      <c r="AO89" s="130"/>
      <c r="AP89" s="130"/>
      <c r="AQ89" s="130"/>
      <c r="AR89" s="130"/>
      <c r="AS89" s="130"/>
      <c r="AT89" s="138">
        <v>200000000</v>
      </c>
      <c r="AU89" s="138"/>
      <c r="AV89" s="138"/>
      <c r="AW89" s="130"/>
      <c r="AX89" s="130"/>
      <c r="AY89" s="130"/>
      <c r="AZ89" s="130"/>
      <c r="BA89" s="130"/>
      <c r="BB89" s="130"/>
      <c r="BC89" s="130"/>
      <c r="BD89" s="130"/>
      <c r="BE89" s="130"/>
      <c r="BF89" s="138">
        <f t="shared" si="9"/>
        <v>200000000</v>
      </c>
      <c r="BG89" s="138">
        <f t="shared" si="10"/>
        <v>0</v>
      </c>
      <c r="BH89" s="138">
        <f t="shared" si="11"/>
        <v>0</v>
      </c>
      <c r="BI89" s="141" t="s">
        <v>12</v>
      </c>
    </row>
    <row r="90" spans="1:61" s="151" customFormat="1" ht="126" customHeight="1">
      <c r="A90" s="139">
        <v>311</v>
      </c>
      <c r="B90" s="140" t="s">
        <v>416</v>
      </c>
      <c r="C90" s="292">
        <v>2</v>
      </c>
      <c r="D90" s="140" t="s">
        <v>199</v>
      </c>
      <c r="E90" s="139">
        <v>36</v>
      </c>
      <c r="F90" s="140" t="s">
        <v>445</v>
      </c>
      <c r="G90" s="139">
        <v>3602</v>
      </c>
      <c r="H90" s="140" t="s">
        <v>446</v>
      </c>
      <c r="I90" s="139">
        <v>3602</v>
      </c>
      <c r="J90" s="140" t="s">
        <v>447</v>
      </c>
      <c r="K90" s="140" t="s">
        <v>420</v>
      </c>
      <c r="L90" s="139">
        <v>3602032</v>
      </c>
      <c r="M90" s="140" t="s">
        <v>453</v>
      </c>
      <c r="N90" s="292">
        <v>3602032</v>
      </c>
      <c r="O90" s="140" t="s">
        <v>453</v>
      </c>
      <c r="P90" s="132" t="s">
        <v>454</v>
      </c>
      <c r="Q90" s="142" t="s">
        <v>455</v>
      </c>
      <c r="R90" s="132" t="s">
        <v>454</v>
      </c>
      <c r="S90" s="142" t="s">
        <v>455</v>
      </c>
      <c r="T90" s="145" t="s">
        <v>69</v>
      </c>
      <c r="U90" s="145">
        <v>14</v>
      </c>
      <c r="V90" s="145"/>
      <c r="W90" s="145">
        <f t="shared" si="13"/>
        <v>14</v>
      </c>
      <c r="X90" s="145">
        <v>3</v>
      </c>
      <c r="Y90" s="146">
        <v>2020003630078</v>
      </c>
      <c r="Z90" s="260" t="s">
        <v>451</v>
      </c>
      <c r="AA90" s="142" t="s">
        <v>452</v>
      </c>
      <c r="AB90" s="130"/>
      <c r="AC90" s="130"/>
      <c r="AD90" s="130"/>
      <c r="AE90" s="130"/>
      <c r="AF90" s="130"/>
      <c r="AG90" s="130"/>
      <c r="AH90" s="130"/>
      <c r="AI90" s="130"/>
      <c r="AJ90" s="130"/>
      <c r="AK90" s="130"/>
      <c r="AL90" s="130"/>
      <c r="AM90" s="130"/>
      <c r="AN90" s="130"/>
      <c r="AO90" s="130"/>
      <c r="AP90" s="130"/>
      <c r="AQ90" s="130"/>
      <c r="AR90" s="130"/>
      <c r="AS90" s="130"/>
      <c r="AT90" s="138">
        <f>50000000+50000000</f>
        <v>100000000</v>
      </c>
      <c r="AU90" s="138">
        <v>24400000</v>
      </c>
      <c r="AV90" s="138">
        <v>5400000</v>
      </c>
      <c r="AW90" s="130"/>
      <c r="AX90" s="130"/>
      <c r="AY90" s="130"/>
      <c r="AZ90" s="130"/>
      <c r="BA90" s="130"/>
      <c r="BB90" s="130"/>
      <c r="BC90" s="130"/>
      <c r="BD90" s="130"/>
      <c r="BE90" s="130"/>
      <c r="BF90" s="138">
        <f t="shared" si="9"/>
        <v>100000000</v>
      </c>
      <c r="BG90" s="138">
        <f t="shared" si="10"/>
        <v>24400000</v>
      </c>
      <c r="BH90" s="138">
        <f t="shared" si="11"/>
        <v>5400000</v>
      </c>
      <c r="BI90" s="141" t="s">
        <v>12</v>
      </c>
    </row>
    <row r="91" spans="1:61" s="151" customFormat="1" ht="126" customHeight="1">
      <c r="A91" s="139">
        <v>311</v>
      </c>
      <c r="B91" s="140" t="s">
        <v>416</v>
      </c>
      <c r="C91" s="292">
        <v>2</v>
      </c>
      <c r="D91" s="140" t="s">
        <v>199</v>
      </c>
      <c r="E91" s="139">
        <v>36</v>
      </c>
      <c r="F91" s="140" t="s">
        <v>445</v>
      </c>
      <c r="G91" s="139">
        <v>3602</v>
      </c>
      <c r="H91" s="140" t="s">
        <v>446</v>
      </c>
      <c r="I91" s="139">
        <v>3602</v>
      </c>
      <c r="J91" s="140" t="s">
        <v>447</v>
      </c>
      <c r="K91" s="140" t="s">
        <v>420</v>
      </c>
      <c r="L91" s="139">
        <v>3602029</v>
      </c>
      <c r="M91" s="140" t="s">
        <v>456</v>
      </c>
      <c r="N91" s="292">
        <v>3602029</v>
      </c>
      <c r="O91" s="140" t="s">
        <v>456</v>
      </c>
      <c r="P91" s="132" t="s">
        <v>457</v>
      </c>
      <c r="Q91" s="142" t="s">
        <v>458</v>
      </c>
      <c r="R91" s="132" t="s">
        <v>457</v>
      </c>
      <c r="S91" s="142" t="s">
        <v>458</v>
      </c>
      <c r="T91" s="289" t="s">
        <v>157</v>
      </c>
      <c r="U91" s="145">
        <v>13</v>
      </c>
      <c r="V91" s="145"/>
      <c r="W91" s="145">
        <f t="shared" si="13"/>
        <v>13</v>
      </c>
      <c r="X91" s="145">
        <v>4</v>
      </c>
      <c r="Y91" s="146">
        <v>2020003630078</v>
      </c>
      <c r="Z91" s="142" t="s">
        <v>451</v>
      </c>
      <c r="AA91" s="142" t="s">
        <v>452</v>
      </c>
      <c r="AB91" s="130"/>
      <c r="AC91" s="130"/>
      <c r="AD91" s="130"/>
      <c r="AE91" s="130"/>
      <c r="AF91" s="130"/>
      <c r="AG91" s="130"/>
      <c r="AH91" s="130"/>
      <c r="AI91" s="130"/>
      <c r="AJ91" s="130"/>
      <c r="AK91" s="130"/>
      <c r="AL91" s="130"/>
      <c r="AM91" s="130"/>
      <c r="AN91" s="130"/>
      <c r="AO91" s="130"/>
      <c r="AP91" s="130"/>
      <c r="AQ91" s="130"/>
      <c r="AR91" s="130"/>
      <c r="AS91" s="130"/>
      <c r="AT91" s="138">
        <v>49500000</v>
      </c>
      <c r="AU91" s="138">
        <v>49500000</v>
      </c>
      <c r="AV91" s="138">
        <v>10890000</v>
      </c>
      <c r="AW91" s="130"/>
      <c r="AX91" s="130"/>
      <c r="AY91" s="130"/>
      <c r="AZ91" s="130"/>
      <c r="BA91" s="130"/>
      <c r="BB91" s="130"/>
      <c r="BC91" s="130"/>
      <c r="BD91" s="130"/>
      <c r="BE91" s="130"/>
      <c r="BF91" s="138">
        <f t="shared" si="9"/>
        <v>49500000</v>
      </c>
      <c r="BG91" s="138">
        <f t="shared" si="10"/>
        <v>49500000</v>
      </c>
      <c r="BH91" s="138">
        <f t="shared" si="11"/>
        <v>10890000</v>
      </c>
      <c r="BI91" s="141" t="s">
        <v>12</v>
      </c>
    </row>
    <row r="92" spans="1:61" s="151" customFormat="1" ht="126" customHeight="1">
      <c r="A92" s="139">
        <v>311</v>
      </c>
      <c r="B92" s="140" t="s">
        <v>416</v>
      </c>
      <c r="C92" s="292">
        <v>2</v>
      </c>
      <c r="D92" s="140" t="s">
        <v>199</v>
      </c>
      <c r="E92" s="139">
        <v>36</v>
      </c>
      <c r="F92" s="140" t="s">
        <v>445</v>
      </c>
      <c r="G92" s="139">
        <v>3602</v>
      </c>
      <c r="H92" s="140" t="s">
        <v>446</v>
      </c>
      <c r="I92" s="139">
        <v>3602</v>
      </c>
      <c r="J92" s="140" t="s">
        <v>447</v>
      </c>
      <c r="K92" s="140" t="s">
        <v>420</v>
      </c>
      <c r="L92" s="139">
        <v>3602030</v>
      </c>
      <c r="M92" s="140" t="s">
        <v>459</v>
      </c>
      <c r="N92" s="292">
        <v>3602030</v>
      </c>
      <c r="O92" s="140" t="s">
        <v>459</v>
      </c>
      <c r="P92" s="132" t="s">
        <v>460</v>
      </c>
      <c r="Q92" s="142" t="s">
        <v>461</v>
      </c>
      <c r="R92" s="132" t="s">
        <v>460</v>
      </c>
      <c r="S92" s="142" t="s">
        <v>461</v>
      </c>
      <c r="T92" s="289" t="s">
        <v>157</v>
      </c>
      <c r="U92" s="145">
        <v>4</v>
      </c>
      <c r="V92" s="145"/>
      <c r="W92" s="145">
        <f t="shared" si="13"/>
        <v>4</v>
      </c>
      <c r="X92" s="145">
        <v>0</v>
      </c>
      <c r="Y92" s="146">
        <v>2020003630078</v>
      </c>
      <c r="Z92" s="142" t="s">
        <v>451</v>
      </c>
      <c r="AA92" s="142" t="s">
        <v>452</v>
      </c>
      <c r="AB92" s="130"/>
      <c r="AC92" s="130"/>
      <c r="AD92" s="130"/>
      <c r="AE92" s="130"/>
      <c r="AF92" s="130"/>
      <c r="AG92" s="130"/>
      <c r="AH92" s="130"/>
      <c r="AI92" s="130"/>
      <c r="AJ92" s="130"/>
      <c r="AK92" s="130"/>
      <c r="AL92" s="130"/>
      <c r="AM92" s="130"/>
      <c r="AN92" s="130"/>
      <c r="AO92" s="130"/>
      <c r="AP92" s="130"/>
      <c r="AQ92" s="130"/>
      <c r="AR92" s="130"/>
      <c r="AS92" s="130"/>
      <c r="AT92" s="138">
        <f>25000000+30000000</f>
        <v>55000000</v>
      </c>
      <c r="AU92" s="138">
        <v>21600000</v>
      </c>
      <c r="AV92" s="138"/>
      <c r="AW92" s="130"/>
      <c r="AX92" s="130"/>
      <c r="AY92" s="130"/>
      <c r="AZ92" s="130"/>
      <c r="BA92" s="130"/>
      <c r="BB92" s="130"/>
      <c r="BC92" s="130"/>
      <c r="BD92" s="130"/>
      <c r="BE92" s="130"/>
      <c r="BF92" s="138">
        <f t="shared" si="9"/>
        <v>55000000</v>
      </c>
      <c r="BG92" s="138">
        <f t="shared" si="10"/>
        <v>21600000</v>
      </c>
      <c r="BH92" s="138">
        <f t="shared" si="11"/>
        <v>0</v>
      </c>
      <c r="BI92" s="141" t="s">
        <v>12</v>
      </c>
    </row>
    <row r="93" spans="1:61" s="151" customFormat="1" ht="126" customHeight="1">
      <c r="A93" s="139">
        <v>311</v>
      </c>
      <c r="B93" s="143" t="s">
        <v>416</v>
      </c>
      <c r="C93" s="292">
        <v>2</v>
      </c>
      <c r="D93" s="143" t="s">
        <v>199</v>
      </c>
      <c r="E93" s="139">
        <v>36</v>
      </c>
      <c r="F93" s="143" t="s">
        <v>417</v>
      </c>
      <c r="G93" s="139">
        <v>3602</v>
      </c>
      <c r="H93" s="141" t="s">
        <v>418</v>
      </c>
      <c r="I93" s="139">
        <v>3602</v>
      </c>
      <c r="J93" s="141" t="s">
        <v>419</v>
      </c>
      <c r="K93" s="141" t="s">
        <v>434</v>
      </c>
      <c r="L93" s="146">
        <v>3502046</v>
      </c>
      <c r="M93" s="141" t="s">
        <v>440</v>
      </c>
      <c r="N93" s="146">
        <v>3502046</v>
      </c>
      <c r="O93" s="141" t="s">
        <v>440</v>
      </c>
      <c r="P93" s="146">
        <v>350204600</v>
      </c>
      <c r="Q93" s="141" t="s">
        <v>442</v>
      </c>
      <c r="R93" s="146">
        <v>350204600</v>
      </c>
      <c r="S93" s="141" t="s">
        <v>442</v>
      </c>
      <c r="T93" s="143" t="s">
        <v>157</v>
      </c>
      <c r="U93" s="146">
        <v>1</v>
      </c>
      <c r="V93" s="143"/>
      <c r="W93" s="145">
        <f>U93+V93</f>
        <v>1</v>
      </c>
      <c r="X93" s="145">
        <v>0</v>
      </c>
      <c r="Y93" s="146">
        <v>2022003630013</v>
      </c>
      <c r="Z93" s="141" t="s">
        <v>1457</v>
      </c>
      <c r="AA93" s="141" t="s">
        <v>1458</v>
      </c>
      <c r="AB93" s="130"/>
      <c r="AC93" s="130"/>
      <c r="AD93" s="130"/>
      <c r="AE93" s="130"/>
      <c r="AF93" s="130"/>
      <c r="AG93" s="130"/>
      <c r="AH93" s="130"/>
      <c r="AI93" s="130"/>
      <c r="AJ93" s="130"/>
      <c r="AK93" s="130"/>
      <c r="AL93" s="130"/>
      <c r="AM93" s="130"/>
      <c r="AN93" s="130"/>
      <c r="AO93" s="130"/>
      <c r="AP93" s="130"/>
      <c r="AQ93" s="130"/>
      <c r="AR93" s="130"/>
      <c r="AS93" s="130"/>
      <c r="AT93" s="138">
        <v>144105000</v>
      </c>
      <c r="AU93" s="138">
        <v>144105000</v>
      </c>
      <c r="AV93" s="138"/>
      <c r="AW93" s="130"/>
      <c r="AX93" s="130"/>
      <c r="AY93" s="130"/>
      <c r="AZ93" s="130"/>
      <c r="BA93" s="130"/>
      <c r="BB93" s="130"/>
      <c r="BC93" s="138"/>
      <c r="BD93" s="138"/>
      <c r="BE93" s="138"/>
      <c r="BF93" s="138">
        <f t="shared" si="9"/>
        <v>144105000</v>
      </c>
      <c r="BG93" s="138">
        <f t="shared" si="10"/>
        <v>144105000</v>
      </c>
      <c r="BH93" s="138">
        <f t="shared" si="11"/>
        <v>0</v>
      </c>
      <c r="BI93" s="141" t="s">
        <v>12</v>
      </c>
    </row>
    <row r="94" spans="1:61" s="151" customFormat="1" ht="126" customHeight="1">
      <c r="A94" s="139">
        <v>312</v>
      </c>
      <c r="B94" s="140" t="s">
        <v>462</v>
      </c>
      <c r="C94" s="139">
        <v>2</v>
      </c>
      <c r="D94" s="140" t="s">
        <v>199</v>
      </c>
      <c r="E94" s="139">
        <v>17</v>
      </c>
      <c r="F94" s="140" t="s">
        <v>200</v>
      </c>
      <c r="G94" s="139">
        <v>1702</v>
      </c>
      <c r="H94" s="140" t="s">
        <v>463</v>
      </c>
      <c r="I94" s="139">
        <v>1702</v>
      </c>
      <c r="J94" s="140" t="s">
        <v>464</v>
      </c>
      <c r="K94" s="140" t="s">
        <v>203</v>
      </c>
      <c r="L94" s="137">
        <v>1702011</v>
      </c>
      <c r="M94" s="140" t="s">
        <v>465</v>
      </c>
      <c r="N94" s="137">
        <v>1702011</v>
      </c>
      <c r="O94" s="140" t="s">
        <v>465</v>
      </c>
      <c r="P94" s="139" t="s">
        <v>466</v>
      </c>
      <c r="Q94" s="257" t="s">
        <v>467</v>
      </c>
      <c r="R94" s="139" t="s">
        <v>466</v>
      </c>
      <c r="S94" s="142" t="s">
        <v>467</v>
      </c>
      <c r="T94" s="143" t="s">
        <v>69</v>
      </c>
      <c r="U94" s="145">
        <v>30</v>
      </c>
      <c r="V94" s="145"/>
      <c r="W94" s="145">
        <f>U94+V94</f>
        <v>30</v>
      </c>
      <c r="X94" s="145">
        <v>23</v>
      </c>
      <c r="Y94" s="146">
        <v>2020003630079</v>
      </c>
      <c r="Z94" s="140" t="s">
        <v>468</v>
      </c>
      <c r="AA94" s="140" t="s">
        <v>469</v>
      </c>
      <c r="AB94" s="130"/>
      <c r="AC94" s="130"/>
      <c r="AD94" s="130"/>
      <c r="AE94" s="130"/>
      <c r="AF94" s="130"/>
      <c r="AG94" s="130"/>
      <c r="AH94" s="130"/>
      <c r="AI94" s="130"/>
      <c r="AJ94" s="130"/>
      <c r="AK94" s="130"/>
      <c r="AL94" s="130"/>
      <c r="AM94" s="130"/>
      <c r="AN94" s="130"/>
      <c r="AO94" s="130"/>
      <c r="AP94" s="130"/>
      <c r="AQ94" s="130"/>
      <c r="AR94" s="130"/>
      <c r="AS94" s="130"/>
      <c r="AT94" s="136">
        <f>100000000+30000000</f>
        <v>130000000</v>
      </c>
      <c r="AU94" s="136">
        <v>96000000</v>
      </c>
      <c r="AV94" s="136">
        <v>50500000</v>
      </c>
      <c r="AW94" s="148"/>
      <c r="AX94" s="148"/>
      <c r="AY94" s="148"/>
      <c r="AZ94" s="148"/>
      <c r="BA94" s="148"/>
      <c r="BB94" s="148"/>
      <c r="BC94" s="148"/>
      <c r="BD94" s="148"/>
      <c r="BE94" s="148"/>
      <c r="BF94" s="138">
        <f t="shared" si="9"/>
        <v>130000000</v>
      </c>
      <c r="BG94" s="138">
        <f t="shared" si="10"/>
        <v>96000000</v>
      </c>
      <c r="BH94" s="138">
        <f t="shared" si="11"/>
        <v>50500000</v>
      </c>
      <c r="BI94" s="298" t="s">
        <v>9</v>
      </c>
    </row>
    <row r="95" spans="1:61" s="151" customFormat="1" ht="126" customHeight="1">
      <c r="A95" s="139">
        <v>312</v>
      </c>
      <c r="B95" s="140" t="s">
        <v>462</v>
      </c>
      <c r="C95" s="139">
        <v>2</v>
      </c>
      <c r="D95" s="140" t="s">
        <v>199</v>
      </c>
      <c r="E95" s="139">
        <v>17</v>
      </c>
      <c r="F95" s="140" t="s">
        <v>200</v>
      </c>
      <c r="G95" s="139">
        <v>1702</v>
      </c>
      <c r="H95" s="140" t="s">
        <v>463</v>
      </c>
      <c r="I95" s="139">
        <v>1702</v>
      </c>
      <c r="J95" s="140" t="s">
        <v>464</v>
      </c>
      <c r="K95" s="140" t="s">
        <v>203</v>
      </c>
      <c r="L95" s="137">
        <v>1702007</v>
      </c>
      <c r="M95" s="140" t="s">
        <v>470</v>
      </c>
      <c r="N95" s="137">
        <v>1702007</v>
      </c>
      <c r="O95" s="140" t="s">
        <v>470</v>
      </c>
      <c r="P95" s="132" t="s">
        <v>471</v>
      </c>
      <c r="Q95" s="142" t="s">
        <v>472</v>
      </c>
      <c r="R95" s="132" t="s">
        <v>471</v>
      </c>
      <c r="S95" s="142" t="s">
        <v>472</v>
      </c>
      <c r="T95" s="299" t="s">
        <v>157</v>
      </c>
      <c r="U95" s="145">
        <v>3</v>
      </c>
      <c r="V95" s="145">
        <v>5</v>
      </c>
      <c r="W95" s="145">
        <f t="shared" ref="W95:W130" si="14">U95+V95</f>
        <v>8</v>
      </c>
      <c r="X95" s="145">
        <v>0</v>
      </c>
      <c r="Y95" s="146">
        <v>2020003630079</v>
      </c>
      <c r="Z95" s="140" t="s">
        <v>468</v>
      </c>
      <c r="AA95" s="140" t="s">
        <v>469</v>
      </c>
      <c r="AB95" s="130"/>
      <c r="AC95" s="130"/>
      <c r="AD95" s="130"/>
      <c r="AE95" s="130"/>
      <c r="AF95" s="130"/>
      <c r="AG95" s="130"/>
      <c r="AH95" s="130"/>
      <c r="AI95" s="130"/>
      <c r="AJ95" s="130"/>
      <c r="AK95" s="130"/>
      <c r="AL95" s="130"/>
      <c r="AM95" s="130"/>
      <c r="AN95" s="130"/>
      <c r="AO95" s="130"/>
      <c r="AP95" s="130"/>
      <c r="AQ95" s="130"/>
      <c r="AR95" s="130"/>
      <c r="AS95" s="130"/>
      <c r="AT95" s="136">
        <f>287529712+98800000</f>
        <v>386329712</v>
      </c>
      <c r="AU95" s="136"/>
      <c r="AV95" s="136"/>
      <c r="AW95" s="148"/>
      <c r="AX95" s="148"/>
      <c r="AY95" s="148"/>
      <c r="AZ95" s="148"/>
      <c r="BA95" s="148"/>
      <c r="BB95" s="148"/>
      <c r="BC95" s="148"/>
      <c r="BD95" s="148"/>
      <c r="BE95" s="148"/>
      <c r="BF95" s="138">
        <f t="shared" si="9"/>
        <v>386329712</v>
      </c>
      <c r="BG95" s="138">
        <f t="shared" si="10"/>
        <v>0</v>
      </c>
      <c r="BH95" s="138">
        <f t="shared" si="11"/>
        <v>0</v>
      </c>
      <c r="BI95" s="298" t="s">
        <v>9</v>
      </c>
    </row>
    <row r="96" spans="1:61" s="151" customFormat="1" ht="126" customHeight="1">
      <c r="A96" s="139">
        <v>312</v>
      </c>
      <c r="B96" s="140" t="s">
        <v>462</v>
      </c>
      <c r="C96" s="139">
        <v>2</v>
      </c>
      <c r="D96" s="140" t="s">
        <v>199</v>
      </c>
      <c r="E96" s="139">
        <v>17</v>
      </c>
      <c r="F96" s="140" t="s">
        <v>200</v>
      </c>
      <c r="G96" s="139">
        <v>1702</v>
      </c>
      <c r="H96" s="140" t="s">
        <v>463</v>
      </c>
      <c r="I96" s="139">
        <v>1702</v>
      </c>
      <c r="J96" s="140" t="s">
        <v>464</v>
      </c>
      <c r="K96" s="140" t="s">
        <v>203</v>
      </c>
      <c r="L96" s="137">
        <v>1702009</v>
      </c>
      <c r="M96" s="140" t="s">
        <v>473</v>
      </c>
      <c r="N96" s="137">
        <v>1702009</v>
      </c>
      <c r="O96" s="140" t="s">
        <v>473</v>
      </c>
      <c r="P96" s="132" t="s">
        <v>474</v>
      </c>
      <c r="Q96" s="142" t="s">
        <v>475</v>
      </c>
      <c r="R96" s="132" t="s">
        <v>474</v>
      </c>
      <c r="S96" s="142" t="s">
        <v>475</v>
      </c>
      <c r="T96" s="299" t="s">
        <v>157</v>
      </c>
      <c r="U96" s="145">
        <v>166</v>
      </c>
      <c r="V96" s="145"/>
      <c r="W96" s="145">
        <f t="shared" si="14"/>
        <v>166</v>
      </c>
      <c r="X96" s="145">
        <v>0</v>
      </c>
      <c r="Y96" s="146">
        <v>2020003630079</v>
      </c>
      <c r="Z96" s="140" t="s">
        <v>468</v>
      </c>
      <c r="AA96" s="140" t="s">
        <v>469</v>
      </c>
      <c r="AB96" s="130"/>
      <c r="AC96" s="130"/>
      <c r="AD96" s="130"/>
      <c r="AE96" s="130"/>
      <c r="AF96" s="130"/>
      <c r="AG96" s="130"/>
      <c r="AH96" s="130"/>
      <c r="AI96" s="130"/>
      <c r="AJ96" s="130"/>
      <c r="AK96" s="130"/>
      <c r="AL96" s="130"/>
      <c r="AM96" s="130"/>
      <c r="AN96" s="130"/>
      <c r="AO96" s="130"/>
      <c r="AP96" s="130"/>
      <c r="AQ96" s="130"/>
      <c r="AR96" s="130"/>
      <c r="AS96" s="130"/>
      <c r="AT96" s="136">
        <f>20000000+3600000</f>
        <v>23600000</v>
      </c>
      <c r="AU96" s="136"/>
      <c r="AV96" s="136"/>
      <c r="AW96" s="148"/>
      <c r="AX96" s="148"/>
      <c r="AY96" s="148"/>
      <c r="AZ96" s="148"/>
      <c r="BA96" s="148"/>
      <c r="BB96" s="148"/>
      <c r="BC96" s="148"/>
      <c r="BD96" s="148"/>
      <c r="BE96" s="148"/>
      <c r="BF96" s="138">
        <f t="shared" si="9"/>
        <v>23600000</v>
      </c>
      <c r="BG96" s="138">
        <f t="shared" si="10"/>
        <v>0</v>
      </c>
      <c r="BH96" s="138">
        <f t="shared" si="11"/>
        <v>0</v>
      </c>
      <c r="BI96" s="298" t="s">
        <v>9</v>
      </c>
    </row>
    <row r="97" spans="1:61" s="151" customFormat="1" ht="126" customHeight="1">
      <c r="A97" s="139">
        <v>312</v>
      </c>
      <c r="B97" s="140" t="s">
        <v>462</v>
      </c>
      <c r="C97" s="139">
        <v>2</v>
      </c>
      <c r="D97" s="140" t="s">
        <v>199</v>
      </c>
      <c r="E97" s="139">
        <v>17</v>
      </c>
      <c r="F97" s="140" t="s">
        <v>200</v>
      </c>
      <c r="G97" s="139">
        <v>1702</v>
      </c>
      <c r="H97" s="140" t="s">
        <v>463</v>
      </c>
      <c r="I97" s="139">
        <v>1702</v>
      </c>
      <c r="J97" s="140" t="s">
        <v>464</v>
      </c>
      <c r="K97" s="140" t="s">
        <v>203</v>
      </c>
      <c r="L97" s="137">
        <v>1702017</v>
      </c>
      <c r="M97" s="140" t="s">
        <v>476</v>
      </c>
      <c r="N97" s="300">
        <v>1702017</v>
      </c>
      <c r="O97" s="140" t="s">
        <v>476</v>
      </c>
      <c r="P97" s="132" t="s">
        <v>477</v>
      </c>
      <c r="Q97" s="142" t="s">
        <v>478</v>
      </c>
      <c r="R97" s="132" t="s">
        <v>477</v>
      </c>
      <c r="S97" s="142" t="s">
        <v>478</v>
      </c>
      <c r="T97" s="299" t="s">
        <v>157</v>
      </c>
      <c r="U97" s="145">
        <v>100</v>
      </c>
      <c r="V97" s="145"/>
      <c r="W97" s="145">
        <f t="shared" si="14"/>
        <v>100</v>
      </c>
      <c r="X97" s="145">
        <v>50</v>
      </c>
      <c r="Y97" s="146">
        <v>2020003630023</v>
      </c>
      <c r="Z97" s="142" t="s">
        <v>479</v>
      </c>
      <c r="AA97" s="142" t="s">
        <v>480</v>
      </c>
      <c r="AB97" s="130"/>
      <c r="AC97" s="130"/>
      <c r="AD97" s="130"/>
      <c r="AE97" s="130"/>
      <c r="AF97" s="130"/>
      <c r="AG97" s="130"/>
      <c r="AH97" s="130"/>
      <c r="AI97" s="130"/>
      <c r="AJ97" s="130"/>
      <c r="AK97" s="130"/>
      <c r="AL97" s="130"/>
      <c r="AM97" s="130"/>
      <c r="AN97" s="130"/>
      <c r="AO97" s="130"/>
      <c r="AP97" s="130"/>
      <c r="AQ97" s="130"/>
      <c r="AR97" s="130"/>
      <c r="AS97" s="130"/>
      <c r="AT97" s="136">
        <f>125000000+37500000</f>
        <v>162500000</v>
      </c>
      <c r="AU97" s="136">
        <v>42046666</v>
      </c>
      <c r="AV97" s="136">
        <v>16596666</v>
      </c>
      <c r="AW97" s="148"/>
      <c r="AX97" s="148"/>
      <c r="AY97" s="148"/>
      <c r="AZ97" s="148"/>
      <c r="BA97" s="148"/>
      <c r="BB97" s="148"/>
      <c r="BC97" s="148"/>
      <c r="BD97" s="148"/>
      <c r="BE97" s="148"/>
      <c r="BF97" s="138">
        <f t="shared" si="9"/>
        <v>162500000</v>
      </c>
      <c r="BG97" s="138">
        <f t="shared" si="10"/>
        <v>42046666</v>
      </c>
      <c r="BH97" s="138">
        <f t="shared" si="11"/>
        <v>16596666</v>
      </c>
      <c r="BI97" s="298" t="s">
        <v>9</v>
      </c>
    </row>
    <row r="98" spans="1:61" s="151" customFormat="1" ht="123" customHeight="1">
      <c r="A98" s="139">
        <v>312</v>
      </c>
      <c r="B98" s="140" t="s">
        <v>462</v>
      </c>
      <c r="C98" s="139">
        <v>2</v>
      </c>
      <c r="D98" s="140" t="s">
        <v>199</v>
      </c>
      <c r="E98" s="139">
        <v>17</v>
      </c>
      <c r="F98" s="140" t="s">
        <v>200</v>
      </c>
      <c r="G98" s="139">
        <v>1702</v>
      </c>
      <c r="H98" s="140" t="s">
        <v>463</v>
      </c>
      <c r="I98" s="139">
        <v>1702</v>
      </c>
      <c r="J98" s="140" t="s">
        <v>464</v>
      </c>
      <c r="K98" s="140" t="s">
        <v>203</v>
      </c>
      <c r="L98" s="137">
        <v>1702014</v>
      </c>
      <c r="M98" s="140" t="s">
        <v>481</v>
      </c>
      <c r="N98" s="137">
        <v>1702014</v>
      </c>
      <c r="O98" s="140" t="s">
        <v>481</v>
      </c>
      <c r="P98" s="132" t="s">
        <v>482</v>
      </c>
      <c r="Q98" s="142" t="s">
        <v>483</v>
      </c>
      <c r="R98" s="132" t="s">
        <v>482</v>
      </c>
      <c r="S98" s="142" t="s">
        <v>483</v>
      </c>
      <c r="T98" s="299" t="s">
        <v>157</v>
      </c>
      <c r="U98" s="145">
        <v>25</v>
      </c>
      <c r="V98" s="145"/>
      <c r="W98" s="145">
        <f t="shared" si="14"/>
        <v>25</v>
      </c>
      <c r="X98" s="145">
        <v>0</v>
      </c>
      <c r="Y98" s="146">
        <v>2020003630023</v>
      </c>
      <c r="Z98" s="142" t="s">
        <v>479</v>
      </c>
      <c r="AA98" s="142" t="s">
        <v>480</v>
      </c>
      <c r="AB98" s="130"/>
      <c r="AC98" s="130"/>
      <c r="AD98" s="130"/>
      <c r="AE98" s="130"/>
      <c r="AF98" s="130"/>
      <c r="AG98" s="130"/>
      <c r="AH98" s="130"/>
      <c r="AI98" s="130"/>
      <c r="AJ98" s="130"/>
      <c r="AK98" s="130"/>
      <c r="AL98" s="130"/>
      <c r="AM98" s="130"/>
      <c r="AN98" s="130"/>
      <c r="AO98" s="130"/>
      <c r="AP98" s="130"/>
      <c r="AQ98" s="130"/>
      <c r="AR98" s="130"/>
      <c r="AS98" s="130"/>
      <c r="AT98" s="136">
        <f>50000000+15000000</f>
        <v>65000000</v>
      </c>
      <c r="AU98" s="136"/>
      <c r="AV98" s="136"/>
      <c r="AW98" s="148"/>
      <c r="AX98" s="148"/>
      <c r="AY98" s="148"/>
      <c r="AZ98" s="148"/>
      <c r="BA98" s="148"/>
      <c r="BB98" s="148"/>
      <c r="BC98" s="148"/>
      <c r="BD98" s="148"/>
      <c r="BE98" s="148"/>
      <c r="BF98" s="138">
        <f t="shared" si="9"/>
        <v>65000000</v>
      </c>
      <c r="BG98" s="138">
        <f t="shared" si="10"/>
        <v>0</v>
      </c>
      <c r="BH98" s="138">
        <f t="shared" si="11"/>
        <v>0</v>
      </c>
      <c r="BI98" s="298" t="s">
        <v>9</v>
      </c>
    </row>
    <row r="99" spans="1:61" s="151" customFormat="1" ht="121.5" customHeight="1">
      <c r="A99" s="139">
        <v>312</v>
      </c>
      <c r="B99" s="140" t="s">
        <v>462</v>
      </c>
      <c r="C99" s="139">
        <v>2</v>
      </c>
      <c r="D99" s="140" t="s">
        <v>199</v>
      </c>
      <c r="E99" s="139">
        <v>17</v>
      </c>
      <c r="F99" s="140" t="s">
        <v>200</v>
      </c>
      <c r="G99" s="139">
        <v>1702</v>
      </c>
      <c r="H99" s="140" t="s">
        <v>463</v>
      </c>
      <c r="I99" s="139">
        <v>1702</v>
      </c>
      <c r="J99" s="140" t="s">
        <v>464</v>
      </c>
      <c r="K99" s="140" t="s">
        <v>203</v>
      </c>
      <c r="L99" s="137">
        <v>1702021</v>
      </c>
      <c r="M99" s="140" t="s">
        <v>484</v>
      </c>
      <c r="N99" s="137">
        <v>1702021</v>
      </c>
      <c r="O99" s="140" t="s">
        <v>484</v>
      </c>
      <c r="P99" s="132" t="s">
        <v>485</v>
      </c>
      <c r="Q99" s="142" t="s">
        <v>486</v>
      </c>
      <c r="R99" s="132" t="s">
        <v>485</v>
      </c>
      <c r="S99" s="142" t="s">
        <v>486</v>
      </c>
      <c r="T99" s="299" t="s">
        <v>157</v>
      </c>
      <c r="U99" s="145">
        <v>150</v>
      </c>
      <c r="V99" s="145"/>
      <c r="W99" s="145">
        <f t="shared" si="14"/>
        <v>150</v>
      </c>
      <c r="X99" s="145">
        <v>0</v>
      </c>
      <c r="Y99" s="146">
        <v>2020003630023</v>
      </c>
      <c r="Z99" s="142" t="s">
        <v>479</v>
      </c>
      <c r="AA99" s="142" t="s">
        <v>480</v>
      </c>
      <c r="AB99" s="130"/>
      <c r="AC99" s="130"/>
      <c r="AD99" s="130"/>
      <c r="AE99" s="130"/>
      <c r="AF99" s="130"/>
      <c r="AG99" s="130"/>
      <c r="AH99" s="130"/>
      <c r="AI99" s="130"/>
      <c r="AJ99" s="130"/>
      <c r="AK99" s="130"/>
      <c r="AL99" s="130"/>
      <c r="AM99" s="130"/>
      <c r="AN99" s="130"/>
      <c r="AO99" s="130"/>
      <c r="AP99" s="130"/>
      <c r="AQ99" s="130"/>
      <c r="AR99" s="130"/>
      <c r="AS99" s="130"/>
      <c r="AT99" s="136">
        <f>20000000+6000000</f>
        <v>26000000</v>
      </c>
      <c r="AU99" s="136">
        <v>2100000</v>
      </c>
      <c r="AV99" s="136"/>
      <c r="AW99" s="148"/>
      <c r="AX99" s="148"/>
      <c r="AY99" s="148"/>
      <c r="AZ99" s="148"/>
      <c r="BA99" s="148"/>
      <c r="BB99" s="148"/>
      <c r="BC99" s="148"/>
      <c r="BD99" s="148"/>
      <c r="BE99" s="148"/>
      <c r="BF99" s="138">
        <f t="shared" si="9"/>
        <v>26000000</v>
      </c>
      <c r="BG99" s="138">
        <f t="shared" si="10"/>
        <v>2100000</v>
      </c>
      <c r="BH99" s="138">
        <f t="shared" si="11"/>
        <v>0</v>
      </c>
      <c r="BI99" s="298" t="s">
        <v>9</v>
      </c>
    </row>
    <row r="100" spans="1:61" s="151" customFormat="1" ht="63.75">
      <c r="A100" s="139">
        <v>312</v>
      </c>
      <c r="B100" s="140" t="s">
        <v>462</v>
      </c>
      <c r="C100" s="139">
        <v>2</v>
      </c>
      <c r="D100" s="140" t="s">
        <v>199</v>
      </c>
      <c r="E100" s="139">
        <v>17</v>
      </c>
      <c r="F100" s="140" t="s">
        <v>200</v>
      </c>
      <c r="G100" s="139">
        <v>1702</v>
      </c>
      <c r="H100" s="140" t="s">
        <v>463</v>
      </c>
      <c r="I100" s="139">
        <v>1702</v>
      </c>
      <c r="J100" s="140" t="s">
        <v>464</v>
      </c>
      <c r="K100" s="140" t="s">
        <v>203</v>
      </c>
      <c r="L100" s="137">
        <v>1702038</v>
      </c>
      <c r="M100" s="140" t="s">
        <v>487</v>
      </c>
      <c r="N100" s="137">
        <v>1702038</v>
      </c>
      <c r="O100" s="140" t="s">
        <v>487</v>
      </c>
      <c r="P100" s="139" t="s">
        <v>488</v>
      </c>
      <c r="Q100" s="142" t="s">
        <v>489</v>
      </c>
      <c r="R100" s="139" t="s">
        <v>488</v>
      </c>
      <c r="S100" s="142" t="s">
        <v>489</v>
      </c>
      <c r="T100" s="145" t="s">
        <v>69</v>
      </c>
      <c r="U100" s="145">
        <v>30</v>
      </c>
      <c r="V100" s="145"/>
      <c r="W100" s="145">
        <f t="shared" si="14"/>
        <v>30</v>
      </c>
      <c r="X100" s="145">
        <v>30</v>
      </c>
      <c r="Y100" s="146">
        <v>2020003630080</v>
      </c>
      <c r="Z100" s="134" t="s">
        <v>490</v>
      </c>
      <c r="AA100" s="140" t="s">
        <v>491</v>
      </c>
      <c r="AB100" s="130"/>
      <c r="AC100" s="130"/>
      <c r="AD100" s="130"/>
      <c r="AE100" s="130"/>
      <c r="AF100" s="130"/>
      <c r="AG100" s="130"/>
      <c r="AH100" s="130"/>
      <c r="AI100" s="130"/>
      <c r="AJ100" s="130"/>
      <c r="AK100" s="130"/>
      <c r="AL100" s="130"/>
      <c r="AM100" s="130"/>
      <c r="AN100" s="130"/>
      <c r="AO100" s="130"/>
      <c r="AP100" s="130"/>
      <c r="AQ100" s="130"/>
      <c r="AR100" s="130"/>
      <c r="AS100" s="130"/>
      <c r="AT100" s="136">
        <f>65000000+19500000</f>
        <v>84500000</v>
      </c>
      <c r="AU100" s="136">
        <v>29200000</v>
      </c>
      <c r="AV100" s="136">
        <v>12500000</v>
      </c>
      <c r="AW100" s="148"/>
      <c r="AX100" s="148"/>
      <c r="AY100" s="148"/>
      <c r="AZ100" s="148"/>
      <c r="BA100" s="148"/>
      <c r="BB100" s="148"/>
      <c r="BC100" s="148"/>
      <c r="BD100" s="148"/>
      <c r="BE100" s="148"/>
      <c r="BF100" s="138">
        <f t="shared" si="9"/>
        <v>84500000</v>
      </c>
      <c r="BG100" s="138">
        <f t="shared" si="10"/>
        <v>29200000</v>
      </c>
      <c r="BH100" s="138">
        <f t="shared" si="11"/>
        <v>12500000</v>
      </c>
      <c r="BI100" s="298" t="s">
        <v>9</v>
      </c>
    </row>
    <row r="101" spans="1:61" s="151" customFormat="1" ht="88.5" customHeight="1">
      <c r="A101" s="139">
        <v>312</v>
      </c>
      <c r="B101" s="140" t="s">
        <v>462</v>
      </c>
      <c r="C101" s="139">
        <v>2</v>
      </c>
      <c r="D101" s="140" t="s">
        <v>199</v>
      </c>
      <c r="E101" s="139">
        <v>17</v>
      </c>
      <c r="F101" s="140" t="s">
        <v>200</v>
      </c>
      <c r="G101" s="139">
        <v>1702</v>
      </c>
      <c r="H101" s="140" t="s">
        <v>463</v>
      </c>
      <c r="I101" s="139">
        <v>1702</v>
      </c>
      <c r="J101" s="140" t="s">
        <v>464</v>
      </c>
      <c r="K101" s="140" t="s">
        <v>203</v>
      </c>
      <c r="L101" s="137">
        <v>1702038</v>
      </c>
      <c r="M101" s="140" t="s">
        <v>487</v>
      </c>
      <c r="N101" s="137">
        <v>1702038</v>
      </c>
      <c r="O101" s="140" t="s">
        <v>487</v>
      </c>
      <c r="P101" s="139" t="s">
        <v>492</v>
      </c>
      <c r="Q101" s="142" t="s">
        <v>493</v>
      </c>
      <c r="R101" s="139" t="s">
        <v>492</v>
      </c>
      <c r="S101" s="142" t="s">
        <v>493</v>
      </c>
      <c r="T101" s="299" t="s">
        <v>157</v>
      </c>
      <c r="U101" s="145">
        <v>80</v>
      </c>
      <c r="V101" s="145"/>
      <c r="W101" s="145">
        <f t="shared" si="14"/>
        <v>80</v>
      </c>
      <c r="X101" s="145">
        <v>0</v>
      </c>
      <c r="Y101" s="146">
        <v>2020003630080</v>
      </c>
      <c r="Z101" s="134" t="s">
        <v>490</v>
      </c>
      <c r="AA101" s="140" t="s">
        <v>491</v>
      </c>
      <c r="AB101" s="130"/>
      <c r="AC101" s="130"/>
      <c r="AD101" s="130"/>
      <c r="AE101" s="130"/>
      <c r="AF101" s="130"/>
      <c r="AG101" s="130"/>
      <c r="AH101" s="130"/>
      <c r="AI101" s="130"/>
      <c r="AJ101" s="130"/>
      <c r="AK101" s="130"/>
      <c r="AL101" s="130"/>
      <c r="AM101" s="130"/>
      <c r="AN101" s="130"/>
      <c r="AO101" s="130"/>
      <c r="AP101" s="130"/>
      <c r="AQ101" s="130"/>
      <c r="AR101" s="130"/>
      <c r="AS101" s="130"/>
      <c r="AT101" s="136">
        <v>18000000</v>
      </c>
      <c r="AU101" s="136"/>
      <c r="AV101" s="136"/>
      <c r="AW101" s="148"/>
      <c r="AX101" s="148"/>
      <c r="AY101" s="148"/>
      <c r="AZ101" s="148"/>
      <c r="BA101" s="148"/>
      <c r="BB101" s="148"/>
      <c r="BC101" s="148"/>
      <c r="BD101" s="148"/>
      <c r="BE101" s="148"/>
      <c r="BF101" s="138">
        <f t="shared" si="9"/>
        <v>18000000</v>
      </c>
      <c r="BG101" s="138">
        <f t="shared" si="10"/>
        <v>0</v>
      </c>
      <c r="BH101" s="138">
        <f t="shared" si="11"/>
        <v>0</v>
      </c>
      <c r="BI101" s="298" t="s">
        <v>9</v>
      </c>
    </row>
    <row r="102" spans="1:61" s="151" customFormat="1" ht="63.75">
      <c r="A102" s="139">
        <v>312</v>
      </c>
      <c r="B102" s="140" t="s">
        <v>462</v>
      </c>
      <c r="C102" s="139">
        <v>2</v>
      </c>
      <c r="D102" s="140" t="s">
        <v>199</v>
      </c>
      <c r="E102" s="139">
        <v>17</v>
      </c>
      <c r="F102" s="140" t="s">
        <v>200</v>
      </c>
      <c r="G102" s="139">
        <v>1702</v>
      </c>
      <c r="H102" s="140" t="s">
        <v>463</v>
      </c>
      <c r="I102" s="139">
        <v>1702</v>
      </c>
      <c r="J102" s="140" t="s">
        <v>464</v>
      </c>
      <c r="K102" s="140" t="s">
        <v>203</v>
      </c>
      <c r="L102" s="137">
        <v>1702023</v>
      </c>
      <c r="M102" s="140" t="s">
        <v>253</v>
      </c>
      <c r="N102" s="137">
        <v>1702023</v>
      </c>
      <c r="O102" s="140" t="s">
        <v>253</v>
      </c>
      <c r="P102" s="139" t="s">
        <v>494</v>
      </c>
      <c r="Q102" s="142" t="s">
        <v>495</v>
      </c>
      <c r="R102" s="139" t="s">
        <v>494</v>
      </c>
      <c r="S102" s="141" t="s">
        <v>495</v>
      </c>
      <c r="T102" s="299" t="s">
        <v>69</v>
      </c>
      <c r="U102" s="145">
        <v>1</v>
      </c>
      <c r="V102" s="145"/>
      <c r="W102" s="145">
        <f t="shared" si="14"/>
        <v>1</v>
      </c>
      <c r="X102" s="145">
        <v>0.08</v>
      </c>
      <c r="Y102" s="146">
        <v>2020003630022</v>
      </c>
      <c r="Z102" s="260" t="s">
        <v>496</v>
      </c>
      <c r="AA102" s="140" t="s">
        <v>497</v>
      </c>
      <c r="AB102" s="130"/>
      <c r="AC102" s="130"/>
      <c r="AD102" s="130"/>
      <c r="AE102" s="130"/>
      <c r="AF102" s="130"/>
      <c r="AG102" s="130"/>
      <c r="AH102" s="130"/>
      <c r="AI102" s="130"/>
      <c r="AJ102" s="130"/>
      <c r="AK102" s="130"/>
      <c r="AL102" s="130"/>
      <c r="AM102" s="130"/>
      <c r="AN102" s="130"/>
      <c r="AO102" s="130"/>
      <c r="AP102" s="130"/>
      <c r="AQ102" s="130"/>
      <c r="AR102" s="130"/>
      <c r="AS102" s="130"/>
      <c r="AT102" s="136">
        <f>30000000+9000000</f>
        <v>39000000</v>
      </c>
      <c r="AU102" s="136">
        <v>9600000</v>
      </c>
      <c r="AV102" s="136">
        <v>3200000</v>
      </c>
      <c r="AW102" s="148"/>
      <c r="AX102" s="148"/>
      <c r="AY102" s="148"/>
      <c r="AZ102" s="148"/>
      <c r="BA102" s="148"/>
      <c r="BB102" s="148"/>
      <c r="BC102" s="148"/>
      <c r="BD102" s="148"/>
      <c r="BE102" s="148"/>
      <c r="BF102" s="138">
        <f t="shared" si="9"/>
        <v>39000000</v>
      </c>
      <c r="BG102" s="138">
        <f t="shared" si="10"/>
        <v>9600000</v>
      </c>
      <c r="BH102" s="138">
        <f t="shared" si="11"/>
        <v>3200000</v>
      </c>
      <c r="BI102" s="298" t="s">
        <v>9</v>
      </c>
    </row>
    <row r="103" spans="1:61" s="151" customFormat="1" ht="63.75">
      <c r="A103" s="139">
        <v>312</v>
      </c>
      <c r="B103" s="140" t="s">
        <v>462</v>
      </c>
      <c r="C103" s="139">
        <v>2</v>
      </c>
      <c r="D103" s="140" t="s">
        <v>199</v>
      </c>
      <c r="E103" s="139">
        <v>17</v>
      </c>
      <c r="F103" s="140" t="s">
        <v>200</v>
      </c>
      <c r="G103" s="139">
        <v>1702</v>
      </c>
      <c r="H103" s="140" t="s">
        <v>463</v>
      </c>
      <c r="I103" s="139">
        <v>1702</v>
      </c>
      <c r="J103" s="140" t="s">
        <v>464</v>
      </c>
      <c r="K103" s="140" t="s">
        <v>203</v>
      </c>
      <c r="L103" s="137">
        <v>1702024</v>
      </c>
      <c r="M103" s="140" t="s">
        <v>498</v>
      </c>
      <c r="N103" s="137">
        <v>1702024</v>
      </c>
      <c r="O103" s="140" t="s">
        <v>498</v>
      </c>
      <c r="P103" s="132" t="s">
        <v>499</v>
      </c>
      <c r="Q103" s="142" t="s">
        <v>500</v>
      </c>
      <c r="R103" s="132" t="s">
        <v>499</v>
      </c>
      <c r="S103" s="142" t="s">
        <v>500</v>
      </c>
      <c r="T103" s="299" t="s">
        <v>69</v>
      </c>
      <c r="U103" s="145">
        <v>12</v>
      </c>
      <c r="V103" s="145"/>
      <c r="W103" s="145">
        <f t="shared" si="14"/>
        <v>12</v>
      </c>
      <c r="X103" s="145">
        <v>12</v>
      </c>
      <c r="Y103" s="146">
        <v>2020003630022</v>
      </c>
      <c r="Z103" s="134" t="s">
        <v>496</v>
      </c>
      <c r="AA103" s="140" t="s">
        <v>497</v>
      </c>
      <c r="AB103" s="130"/>
      <c r="AC103" s="130"/>
      <c r="AD103" s="130"/>
      <c r="AE103" s="130"/>
      <c r="AF103" s="130"/>
      <c r="AG103" s="130"/>
      <c r="AH103" s="130"/>
      <c r="AI103" s="130"/>
      <c r="AJ103" s="130"/>
      <c r="AK103" s="130"/>
      <c r="AL103" s="130"/>
      <c r="AM103" s="130"/>
      <c r="AN103" s="130"/>
      <c r="AO103" s="130"/>
      <c r="AP103" s="130"/>
      <c r="AQ103" s="130"/>
      <c r="AR103" s="130"/>
      <c r="AS103" s="130"/>
      <c r="AT103" s="136">
        <f>60000000+18000000</f>
        <v>78000000</v>
      </c>
      <c r="AU103" s="136">
        <v>15900000</v>
      </c>
      <c r="AV103" s="136">
        <v>8500000</v>
      </c>
      <c r="AW103" s="148"/>
      <c r="AX103" s="148"/>
      <c r="AY103" s="148"/>
      <c r="AZ103" s="148"/>
      <c r="BA103" s="148"/>
      <c r="BB103" s="148"/>
      <c r="BC103" s="148"/>
      <c r="BD103" s="148"/>
      <c r="BE103" s="148"/>
      <c r="BF103" s="138">
        <f t="shared" si="9"/>
        <v>78000000</v>
      </c>
      <c r="BG103" s="138">
        <f t="shared" si="10"/>
        <v>15900000</v>
      </c>
      <c r="BH103" s="138">
        <f t="shared" si="11"/>
        <v>8500000</v>
      </c>
      <c r="BI103" s="298" t="s">
        <v>9</v>
      </c>
    </row>
    <row r="104" spans="1:61" s="151" customFormat="1" ht="111" customHeight="1">
      <c r="A104" s="139">
        <v>312</v>
      </c>
      <c r="B104" s="140" t="s">
        <v>462</v>
      </c>
      <c r="C104" s="139">
        <v>2</v>
      </c>
      <c r="D104" s="140" t="s">
        <v>199</v>
      </c>
      <c r="E104" s="139">
        <v>17</v>
      </c>
      <c r="F104" s="140" t="s">
        <v>200</v>
      </c>
      <c r="G104" s="139">
        <v>1702</v>
      </c>
      <c r="H104" s="140" t="s">
        <v>463</v>
      </c>
      <c r="I104" s="139">
        <v>1702</v>
      </c>
      <c r="J104" s="140" t="s">
        <v>464</v>
      </c>
      <c r="K104" s="140" t="s">
        <v>203</v>
      </c>
      <c r="L104" s="137">
        <v>1702025</v>
      </c>
      <c r="M104" s="140" t="s">
        <v>501</v>
      </c>
      <c r="N104" s="137">
        <v>1702025</v>
      </c>
      <c r="O104" s="140" t="s">
        <v>501</v>
      </c>
      <c r="P104" s="132" t="s">
        <v>502</v>
      </c>
      <c r="Q104" s="142" t="s">
        <v>503</v>
      </c>
      <c r="R104" s="132" t="s">
        <v>502</v>
      </c>
      <c r="S104" s="142" t="s">
        <v>503</v>
      </c>
      <c r="T104" s="299" t="s">
        <v>157</v>
      </c>
      <c r="U104" s="145">
        <v>25</v>
      </c>
      <c r="V104" s="145"/>
      <c r="W104" s="145">
        <f t="shared" si="14"/>
        <v>25</v>
      </c>
      <c r="X104" s="145">
        <v>4</v>
      </c>
      <c r="Y104" s="146">
        <v>2020003630081</v>
      </c>
      <c r="Z104" s="260" t="s">
        <v>504</v>
      </c>
      <c r="AA104" s="140" t="s">
        <v>505</v>
      </c>
      <c r="AB104" s="130"/>
      <c r="AC104" s="130"/>
      <c r="AD104" s="130"/>
      <c r="AE104" s="130"/>
      <c r="AF104" s="130"/>
      <c r="AG104" s="130"/>
      <c r="AH104" s="130"/>
      <c r="AI104" s="130"/>
      <c r="AJ104" s="130"/>
      <c r="AK104" s="130"/>
      <c r="AL104" s="130"/>
      <c r="AM104" s="130"/>
      <c r="AN104" s="130"/>
      <c r="AO104" s="130"/>
      <c r="AP104" s="130"/>
      <c r="AQ104" s="130"/>
      <c r="AR104" s="130"/>
      <c r="AS104" s="130"/>
      <c r="AT104" s="136">
        <v>27000000</v>
      </c>
      <c r="AU104" s="136">
        <v>4800000</v>
      </c>
      <c r="AV104" s="136">
        <v>4800000</v>
      </c>
      <c r="AW104" s="148"/>
      <c r="AX104" s="148"/>
      <c r="AY104" s="148"/>
      <c r="AZ104" s="148"/>
      <c r="BA104" s="148"/>
      <c r="BB104" s="148"/>
      <c r="BC104" s="148"/>
      <c r="BD104" s="148"/>
      <c r="BE104" s="148"/>
      <c r="BF104" s="138">
        <f t="shared" si="9"/>
        <v>27000000</v>
      </c>
      <c r="BG104" s="138">
        <f t="shared" si="10"/>
        <v>4800000</v>
      </c>
      <c r="BH104" s="138">
        <f t="shared" si="11"/>
        <v>4800000</v>
      </c>
      <c r="BI104" s="298" t="s">
        <v>9</v>
      </c>
    </row>
    <row r="105" spans="1:61" s="151" customFormat="1" ht="97.5" customHeight="1">
      <c r="A105" s="139">
        <v>312</v>
      </c>
      <c r="B105" s="140" t="s">
        <v>462</v>
      </c>
      <c r="C105" s="139">
        <v>2</v>
      </c>
      <c r="D105" s="140" t="s">
        <v>199</v>
      </c>
      <c r="E105" s="139">
        <v>17</v>
      </c>
      <c r="F105" s="140" t="s">
        <v>200</v>
      </c>
      <c r="G105" s="139">
        <v>1703</v>
      </c>
      <c r="H105" s="140" t="s">
        <v>506</v>
      </c>
      <c r="I105" s="139">
        <v>1703</v>
      </c>
      <c r="J105" s="140" t="s">
        <v>507</v>
      </c>
      <c r="K105" s="140" t="s">
        <v>203</v>
      </c>
      <c r="L105" s="137">
        <v>1703013</v>
      </c>
      <c r="M105" s="140" t="s">
        <v>508</v>
      </c>
      <c r="N105" s="137">
        <v>1703013</v>
      </c>
      <c r="O105" s="140" t="s">
        <v>508</v>
      </c>
      <c r="P105" s="132" t="s">
        <v>509</v>
      </c>
      <c r="Q105" s="142" t="s">
        <v>510</v>
      </c>
      <c r="R105" s="132" t="s">
        <v>509</v>
      </c>
      <c r="S105" s="142" t="s">
        <v>510</v>
      </c>
      <c r="T105" s="299" t="s">
        <v>157</v>
      </c>
      <c r="U105" s="145">
        <v>55</v>
      </c>
      <c r="V105" s="145"/>
      <c r="W105" s="145">
        <f t="shared" si="14"/>
        <v>55</v>
      </c>
      <c r="X105" s="145">
        <v>0</v>
      </c>
      <c r="Y105" s="146">
        <v>2020003630082</v>
      </c>
      <c r="Z105" s="134" t="s">
        <v>511</v>
      </c>
      <c r="AA105" s="140" t="s">
        <v>512</v>
      </c>
      <c r="AB105" s="130"/>
      <c r="AC105" s="130"/>
      <c r="AD105" s="130"/>
      <c r="AE105" s="130"/>
      <c r="AF105" s="130"/>
      <c r="AG105" s="130"/>
      <c r="AH105" s="130"/>
      <c r="AI105" s="130"/>
      <c r="AJ105" s="130"/>
      <c r="AK105" s="130"/>
      <c r="AL105" s="130"/>
      <c r="AM105" s="130"/>
      <c r="AN105" s="130"/>
      <c r="AO105" s="130"/>
      <c r="AP105" s="130"/>
      <c r="AQ105" s="130"/>
      <c r="AR105" s="130"/>
      <c r="AS105" s="130"/>
      <c r="AT105" s="136">
        <f>32907909+3400000</f>
        <v>36307909</v>
      </c>
      <c r="AU105" s="136">
        <v>6400000</v>
      </c>
      <c r="AV105" s="136"/>
      <c r="AW105" s="148"/>
      <c r="AX105" s="148"/>
      <c r="AY105" s="148"/>
      <c r="AZ105" s="148"/>
      <c r="BA105" s="148"/>
      <c r="BB105" s="148"/>
      <c r="BC105" s="148"/>
      <c r="BD105" s="148"/>
      <c r="BE105" s="148"/>
      <c r="BF105" s="138">
        <f t="shared" si="9"/>
        <v>36307909</v>
      </c>
      <c r="BG105" s="138">
        <f t="shared" si="10"/>
        <v>6400000</v>
      </c>
      <c r="BH105" s="138">
        <f t="shared" si="11"/>
        <v>0</v>
      </c>
      <c r="BI105" s="298" t="s">
        <v>9</v>
      </c>
    </row>
    <row r="106" spans="1:61" s="151" customFormat="1" ht="97.5" customHeight="1">
      <c r="A106" s="139">
        <v>312</v>
      </c>
      <c r="B106" s="140" t="s">
        <v>462</v>
      </c>
      <c r="C106" s="139">
        <v>2</v>
      </c>
      <c r="D106" s="140" t="s">
        <v>199</v>
      </c>
      <c r="E106" s="139">
        <v>17</v>
      </c>
      <c r="F106" s="140" t="s">
        <v>200</v>
      </c>
      <c r="G106" s="139">
        <v>1704</v>
      </c>
      <c r="H106" s="140" t="s">
        <v>513</v>
      </c>
      <c r="I106" s="139">
        <v>1704</v>
      </c>
      <c r="J106" s="140" t="s">
        <v>514</v>
      </c>
      <c r="K106" s="140" t="s">
        <v>203</v>
      </c>
      <c r="L106" s="137">
        <v>1704002</v>
      </c>
      <c r="M106" s="140" t="s">
        <v>101</v>
      </c>
      <c r="N106" s="137">
        <v>1704002</v>
      </c>
      <c r="O106" s="140" t="s">
        <v>101</v>
      </c>
      <c r="P106" s="139" t="s">
        <v>515</v>
      </c>
      <c r="Q106" s="142" t="s">
        <v>516</v>
      </c>
      <c r="R106" s="139" t="s">
        <v>515</v>
      </c>
      <c r="S106" s="142" t="s">
        <v>516</v>
      </c>
      <c r="T106" s="145" t="s">
        <v>69</v>
      </c>
      <c r="U106" s="145">
        <v>1</v>
      </c>
      <c r="V106" s="145"/>
      <c r="W106" s="145">
        <f t="shared" si="14"/>
        <v>1</v>
      </c>
      <c r="X106" s="145">
        <v>0.1</v>
      </c>
      <c r="Y106" s="146">
        <v>2020003630025</v>
      </c>
      <c r="Z106" s="134" t="s">
        <v>517</v>
      </c>
      <c r="AA106" s="140" t="s">
        <v>518</v>
      </c>
      <c r="AB106" s="301"/>
      <c r="AC106" s="302"/>
      <c r="AD106" s="302"/>
      <c r="AE106" s="273"/>
      <c r="AF106" s="273"/>
      <c r="AG106" s="273"/>
      <c r="AH106" s="273"/>
      <c r="AI106" s="273"/>
      <c r="AJ106" s="273"/>
      <c r="AK106" s="273"/>
      <c r="AL106" s="273"/>
      <c r="AM106" s="273"/>
      <c r="AN106" s="273"/>
      <c r="AO106" s="273"/>
      <c r="AP106" s="273"/>
      <c r="AQ106" s="273"/>
      <c r="AR106" s="273"/>
      <c r="AS106" s="273"/>
      <c r="AT106" s="148">
        <f>42000000+16000000</f>
        <v>58000000</v>
      </c>
      <c r="AU106" s="148">
        <v>13200000</v>
      </c>
      <c r="AV106" s="148">
        <v>10000000</v>
      </c>
      <c r="AW106" s="148"/>
      <c r="AX106" s="148"/>
      <c r="AY106" s="148"/>
      <c r="AZ106" s="148"/>
      <c r="BA106" s="148"/>
      <c r="BB106" s="148"/>
      <c r="BC106" s="148"/>
      <c r="BD106" s="148"/>
      <c r="BE106" s="148"/>
      <c r="BF106" s="138">
        <f t="shared" si="9"/>
        <v>58000000</v>
      </c>
      <c r="BG106" s="138">
        <f t="shared" si="10"/>
        <v>13200000</v>
      </c>
      <c r="BH106" s="138">
        <f t="shared" si="11"/>
        <v>10000000</v>
      </c>
      <c r="BI106" s="298" t="s">
        <v>9</v>
      </c>
    </row>
    <row r="107" spans="1:61" s="151" customFormat="1" ht="97.5" customHeight="1">
      <c r="A107" s="139">
        <v>312</v>
      </c>
      <c r="B107" s="140" t="s">
        <v>462</v>
      </c>
      <c r="C107" s="139">
        <v>2</v>
      </c>
      <c r="D107" s="140" t="s">
        <v>199</v>
      </c>
      <c r="E107" s="139">
        <v>17</v>
      </c>
      <c r="F107" s="140" t="s">
        <v>200</v>
      </c>
      <c r="G107" s="139">
        <v>1704</v>
      </c>
      <c r="H107" s="140" t="s">
        <v>513</v>
      </c>
      <c r="I107" s="139">
        <v>1704</v>
      </c>
      <c r="J107" s="140" t="s">
        <v>514</v>
      </c>
      <c r="K107" s="140" t="s">
        <v>203</v>
      </c>
      <c r="L107" s="137">
        <v>1704017</v>
      </c>
      <c r="M107" s="140" t="s">
        <v>519</v>
      </c>
      <c r="N107" s="137">
        <v>1704017</v>
      </c>
      <c r="O107" s="140" t="s">
        <v>519</v>
      </c>
      <c r="P107" s="139" t="s">
        <v>520</v>
      </c>
      <c r="Q107" s="142" t="s">
        <v>521</v>
      </c>
      <c r="R107" s="139" t="s">
        <v>520</v>
      </c>
      <c r="S107" s="142" t="s">
        <v>521</v>
      </c>
      <c r="T107" s="299" t="s">
        <v>157</v>
      </c>
      <c r="U107" s="145">
        <v>150</v>
      </c>
      <c r="V107" s="145"/>
      <c r="W107" s="145">
        <f t="shared" si="14"/>
        <v>150</v>
      </c>
      <c r="X107" s="145">
        <v>26</v>
      </c>
      <c r="Y107" s="146">
        <v>2020003630025</v>
      </c>
      <c r="Z107" s="134" t="s">
        <v>517</v>
      </c>
      <c r="AA107" s="140" t="s">
        <v>518</v>
      </c>
      <c r="AB107" s="273"/>
      <c r="AC107" s="273"/>
      <c r="AD107" s="273"/>
      <c r="AE107" s="273"/>
      <c r="AF107" s="273"/>
      <c r="AG107" s="273"/>
      <c r="AH107" s="273"/>
      <c r="AI107" s="273"/>
      <c r="AJ107" s="273"/>
      <c r="AK107" s="273"/>
      <c r="AL107" s="273"/>
      <c r="AM107" s="273"/>
      <c r="AN107" s="273"/>
      <c r="AO107" s="273"/>
      <c r="AP107" s="273"/>
      <c r="AQ107" s="273"/>
      <c r="AR107" s="273"/>
      <c r="AS107" s="273"/>
      <c r="AT107" s="148">
        <f>28000000+11000000</f>
        <v>39000000</v>
      </c>
      <c r="AU107" s="303">
        <v>17100000</v>
      </c>
      <c r="AV107" s="303">
        <v>7800000</v>
      </c>
      <c r="AW107" s="303"/>
      <c r="AX107" s="303"/>
      <c r="AY107" s="303"/>
      <c r="AZ107" s="303"/>
      <c r="BA107" s="303"/>
      <c r="BB107" s="303"/>
      <c r="BC107" s="148"/>
      <c r="BD107" s="148"/>
      <c r="BE107" s="148"/>
      <c r="BF107" s="138">
        <f t="shared" si="9"/>
        <v>39000000</v>
      </c>
      <c r="BG107" s="138">
        <f t="shared" si="10"/>
        <v>17100000</v>
      </c>
      <c r="BH107" s="138">
        <f t="shared" si="11"/>
        <v>7800000</v>
      </c>
      <c r="BI107" s="298" t="s">
        <v>9</v>
      </c>
    </row>
    <row r="108" spans="1:61" s="288" customFormat="1" ht="97.5" customHeight="1">
      <c r="A108" s="139">
        <v>312</v>
      </c>
      <c r="B108" s="140" t="s">
        <v>462</v>
      </c>
      <c r="C108" s="139">
        <v>2</v>
      </c>
      <c r="D108" s="140" t="s">
        <v>199</v>
      </c>
      <c r="E108" s="139">
        <v>17</v>
      </c>
      <c r="F108" s="140" t="s">
        <v>200</v>
      </c>
      <c r="G108" s="139">
        <v>1706</v>
      </c>
      <c r="H108" s="140" t="s">
        <v>522</v>
      </c>
      <c r="I108" s="139">
        <v>1706</v>
      </c>
      <c r="J108" s="140" t="s">
        <v>523</v>
      </c>
      <c r="K108" s="140" t="s">
        <v>203</v>
      </c>
      <c r="L108" s="137">
        <v>1706004</v>
      </c>
      <c r="M108" s="140" t="s">
        <v>524</v>
      </c>
      <c r="N108" s="137">
        <v>1706004</v>
      </c>
      <c r="O108" s="140" t="s">
        <v>524</v>
      </c>
      <c r="P108" s="139" t="s">
        <v>525</v>
      </c>
      <c r="Q108" s="142" t="s">
        <v>526</v>
      </c>
      <c r="R108" s="139" t="s">
        <v>525</v>
      </c>
      <c r="S108" s="142" t="s">
        <v>526</v>
      </c>
      <c r="T108" s="145" t="s">
        <v>69</v>
      </c>
      <c r="U108" s="145">
        <v>10</v>
      </c>
      <c r="V108" s="145"/>
      <c r="W108" s="145">
        <f t="shared" si="14"/>
        <v>10</v>
      </c>
      <c r="X108" s="145">
        <v>0</v>
      </c>
      <c r="Y108" s="146">
        <v>2020003630083</v>
      </c>
      <c r="Z108" s="134" t="s">
        <v>527</v>
      </c>
      <c r="AA108" s="140" t="s">
        <v>528</v>
      </c>
      <c r="AB108" s="130"/>
      <c r="AC108" s="130"/>
      <c r="AD108" s="130"/>
      <c r="AE108" s="130"/>
      <c r="AF108" s="130"/>
      <c r="AG108" s="130"/>
      <c r="AH108" s="130"/>
      <c r="AI108" s="130"/>
      <c r="AJ108" s="130"/>
      <c r="AK108" s="130"/>
      <c r="AL108" s="130"/>
      <c r="AM108" s="130"/>
      <c r="AN108" s="130"/>
      <c r="AO108" s="130"/>
      <c r="AP108" s="130"/>
      <c r="AQ108" s="130"/>
      <c r="AR108" s="130"/>
      <c r="AS108" s="130"/>
      <c r="AT108" s="148">
        <v>20000000</v>
      </c>
      <c r="AU108" s="303"/>
      <c r="AV108" s="303"/>
      <c r="AW108" s="303"/>
      <c r="AX108" s="303"/>
      <c r="AY108" s="303"/>
      <c r="AZ108" s="303"/>
      <c r="BA108" s="303"/>
      <c r="BB108" s="303"/>
      <c r="BC108" s="148"/>
      <c r="BD108" s="148"/>
      <c r="BE108" s="148"/>
      <c r="BF108" s="138">
        <f t="shared" si="9"/>
        <v>20000000</v>
      </c>
      <c r="BG108" s="138">
        <f t="shared" si="10"/>
        <v>0</v>
      </c>
      <c r="BH108" s="138">
        <f t="shared" si="11"/>
        <v>0</v>
      </c>
      <c r="BI108" s="298" t="s">
        <v>9</v>
      </c>
    </row>
    <row r="109" spans="1:61" s="288" customFormat="1" ht="108" customHeight="1">
      <c r="A109" s="139">
        <v>312</v>
      </c>
      <c r="B109" s="140" t="s">
        <v>462</v>
      </c>
      <c r="C109" s="139">
        <v>2</v>
      </c>
      <c r="D109" s="140" t="s">
        <v>199</v>
      </c>
      <c r="E109" s="139">
        <v>17</v>
      </c>
      <c r="F109" s="140" t="s">
        <v>200</v>
      </c>
      <c r="G109" s="139">
        <v>1707</v>
      </c>
      <c r="H109" s="140" t="s">
        <v>529</v>
      </c>
      <c r="I109" s="139">
        <v>1707</v>
      </c>
      <c r="J109" s="140" t="s">
        <v>530</v>
      </c>
      <c r="K109" s="140" t="s">
        <v>203</v>
      </c>
      <c r="L109" s="137">
        <v>1707069</v>
      </c>
      <c r="M109" s="140" t="s">
        <v>531</v>
      </c>
      <c r="N109" s="137">
        <v>1707069</v>
      </c>
      <c r="O109" s="140" t="s">
        <v>531</v>
      </c>
      <c r="P109" s="139" t="s">
        <v>532</v>
      </c>
      <c r="Q109" s="141" t="s">
        <v>533</v>
      </c>
      <c r="R109" s="139" t="s">
        <v>532</v>
      </c>
      <c r="S109" s="142" t="s">
        <v>533</v>
      </c>
      <c r="T109" s="299" t="s">
        <v>157</v>
      </c>
      <c r="U109" s="145">
        <v>5</v>
      </c>
      <c r="V109" s="145"/>
      <c r="W109" s="145">
        <f t="shared" si="14"/>
        <v>5</v>
      </c>
      <c r="X109" s="145">
        <v>2</v>
      </c>
      <c r="Y109" s="146">
        <v>2020003630084</v>
      </c>
      <c r="Z109" s="134" t="s">
        <v>534</v>
      </c>
      <c r="AA109" s="140" t="s">
        <v>535</v>
      </c>
      <c r="AB109" s="130"/>
      <c r="AC109" s="130"/>
      <c r="AD109" s="130"/>
      <c r="AE109" s="130"/>
      <c r="AF109" s="130"/>
      <c r="AG109" s="130"/>
      <c r="AH109" s="130"/>
      <c r="AI109" s="130"/>
      <c r="AJ109" s="130"/>
      <c r="AK109" s="130"/>
      <c r="AL109" s="130"/>
      <c r="AM109" s="130"/>
      <c r="AN109" s="130"/>
      <c r="AO109" s="130"/>
      <c r="AP109" s="130"/>
      <c r="AQ109" s="130"/>
      <c r="AR109" s="130"/>
      <c r="AS109" s="130"/>
      <c r="AT109" s="136">
        <f>43000000+16900000</f>
        <v>59900000</v>
      </c>
      <c r="AU109" s="136">
        <v>20150000</v>
      </c>
      <c r="AV109" s="136">
        <v>6400000</v>
      </c>
      <c r="AW109" s="148"/>
      <c r="AX109" s="148"/>
      <c r="AY109" s="148"/>
      <c r="AZ109" s="148"/>
      <c r="BA109" s="148"/>
      <c r="BB109" s="148"/>
      <c r="BC109" s="148"/>
      <c r="BD109" s="148"/>
      <c r="BE109" s="148"/>
      <c r="BF109" s="138">
        <f t="shared" si="9"/>
        <v>59900000</v>
      </c>
      <c r="BG109" s="138">
        <f t="shared" si="10"/>
        <v>20150000</v>
      </c>
      <c r="BH109" s="138">
        <f t="shared" si="11"/>
        <v>6400000</v>
      </c>
      <c r="BI109" s="298" t="s">
        <v>9</v>
      </c>
    </row>
    <row r="110" spans="1:61" s="288" customFormat="1" ht="129.75" customHeight="1">
      <c r="A110" s="139">
        <v>312</v>
      </c>
      <c r="B110" s="140" t="s">
        <v>462</v>
      </c>
      <c r="C110" s="139">
        <v>2</v>
      </c>
      <c r="D110" s="140" t="s">
        <v>199</v>
      </c>
      <c r="E110" s="139">
        <v>17</v>
      </c>
      <c r="F110" s="140" t="s">
        <v>200</v>
      </c>
      <c r="G110" s="139">
        <v>1708</v>
      </c>
      <c r="H110" s="140" t="s">
        <v>536</v>
      </c>
      <c r="I110" s="139">
        <v>1708</v>
      </c>
      <c r="J110" s="140" t="s">
        <v>537</v>
      </c>
      <c r="K110" s="140" t="s">
        <v>203</v>
      </c>
      <c r="L110" s="137">
        <v>1708016</v>
      </c>
      <c r="M110" s="140" t="s">
        <v>101</v>
      </c>
      <c r="N110" s="137">
        <v>1708016</v>
      </c>
      <c r="O110" s="140" t="s">
        <v>101</v>
      </c>
      <c r="P110" s="132" t="s">
        <v>538</v>
      </c>
      <c r="Q110" s="142" t="s">
        <v>539</v>
      </c>
      <c r="R110" s="132" t="s">
        <v>538</v>
      </c>
      <c r="S110" s="142" t="s">
        <v>539</v>
      </c>
      <c r="T110" s="145" t="s">
        <v>69</v>
      </c>
      <c r="U110" s="145">
        <v>2</v>
      </c>
      <c r="V110" s="145"/>
      <c r="W110" s="145">
        <f t="shared" si="14"/>
        <v>2</v>
      </c>
      <c r="X110" s="145">
        <v>0</v>
      </c>
      <c r="Y110" s="146">
        <v>2020003630026</v>
      </c>
      <c r="Z110" s="134" t="s">
        <v>540</v>
      </c>
      <c r="AA110" s="140" t="s">
        <v>541</v>
      </c>
      <c r="AB110" s="130"/>
      <c r="AC110" s="130"/>
      <c r="AD110" s="130"/>
      <c r="AE110" s="130"/>
      <c r="AF110" s="130"/>
      <c r="AG110" s="130"/>
      <c r="AH110" s="130"/>
      <c r="AI110" s="130"/>
      <c r="AJ110" s="130"/>
      <c r="AK110" s="130"/>
      <c r="AL110" s="130"/>
      <c r="AM110" s="130"/>
      <c r="AN110" s="130"/>
      <c r="AO110" s="130"/>
      <c r="AP110" s="130"/>
      <c r="AQ110" s="130"/>
      <c r="AR110" s="130"/>
      <c r="AS110" s="130"/>
      <c r="AT110" s="148">
        <f>20000000+8000000</f>
        <v>28000000</v>
      </c>
      <c r="AU110" s="148">
        <v>14400000</v>
      </c>
      <c r="AV110" s="148">
        <v>4800000</v>
      </c>
      <c r="AW110" s="148"/>
      <c r="AX110" s="148"/>
      <c r="AY110" s="148"/>
      <c r="AZ110" s="148"/>
      <c r="BA110" s="148"/>
      <c r="BB110" s="148"/>
      <c r="BC110" s="148"/>
      <c r="BD110" s="148"/>
      <c r="BE110" s="148"/>
      <c r="BF110" s="138">
        <f t="shared" si="9"/>
        <v>28000000</v>
      </c>
      <c r="BG110" s="138">
        <f t="shared" si="10"/>
        <v>14400000</v>
      </c>
      <c r="BH110" s="138">
        <f t="shared" si="11"/>
        <v>4800000</v>
      </c>
      <c r="BI110" s="298" t="s">
        <v>9</v>
      </c>
    </row>
    <row r="111" spans="1:61" s="288" customFormat="1" ht="133.5" customHeight="1">
      <c r="A111" s="139">
        <v>312</v>
      </c>
      <c r="B111" s="140" t="s">
        <v>462</v>
      </c>
      <c r="C111" s="139">
        <v>2</v>
      </c>
      <c r="D111" s="140" t="s">
        <v>199</v>
      </c>
      <c r="E111" s="139">
        <v>17</v>
      </c>
      <c r="F111" s="140" t="s">
        <v>200</v>
      </c>
      <c r="G111" s="139">
        <v>1708</v>
      </c>
      <c r="H111" s="140" t="s">
        <v>536</v>
      </c>
      <c r="I111" s="139">
        <v>1708</v>
      </c>
      <c r="J111" s="140" t="s">
        <v>537</v>
      </c>
      <c r="K111" s="140" t="s">
        <v>203</v>
      </c>
      <c r="L111" s="137">
        <v>1708051</v>
      </c>
      <c r="M111" s="140" t="s">
        <v>542</v>
      </c>
      <c r="N111" s="137">
        <v>1708051</v>
      </c>
      <c r="O111" s="140" t="s">
        <v>542</v>
      </c>
      <c r="P111" s="132" t="s">
        <v>543</v>
      </c>
      <c r="Q111" s="142" t="s">
        <v>544</v>
      </c>
      <c r="R111" s="132" t="s">
        <v>543</v>
      </c>
      <c r="S111" s="142" t="s">
        <v>544</v>
      </c>
      <c r="T111" s="143" t="s">
        <v>69</v>
      </c>
      <c r="U111" s="145">
        <v>1</v>
      </c>
      <c r="V111" s="145"/>
      <c r="W111" s="145">
        <f t="shared" si="14"/>
        <v>1</v>
      </c>
      <c r="X111" s="145">
        <v>0</v>
      </c>
      <c r="Y111" s="146">
        <v>2020003630026</v>
      </c>
      <c r="Z111" s="134" t="s">
        <v>540</v>
      </c>
      <c r="AA111" s="140" t="s">
        <v>541</v>
      </c>
      <c r="AB111" s="130"/>
      <c r="AC111" s="130"/>
      <c r="AD111" s="130"/>
      <c r="AE111" s="130"/>
      <c r="AF111" s="130"/>
      <c r="AG111" s="130"/>
      <c r="AH111" s="130"/>
      <c r="AI111" s="130"/>
      <c r="AJ111" s="130"/>
      <c r="AK111" s="130"/>
      <c r="AL111" s="130"/>
      <c r="AM111" s="130"/>
      <c r="AN111" s="130"/>
      <c r="AO111" s="130"/>
      <c r="AP111" s="130"/>
      <c r="AQ111" s="130"/>
      <c r="AR111" s="130"/>
      <c r="AS111" s="130"/>
      <c r="AT111" s="148">
        <f>20000000+8000000</f>
        <v>28000000</v>
      </c>
      <c r="AU111" s="148">
        <v>4450000</v>
      </c>
      <c r="AV111" s="148"/>
      <c r="AW111" s="148"/>
      <c r="AX111" s="148"/>
      <c r="AY111" s="148"/>
      <c r="AZ111" s="148"/>
      <c r="BA111" s="148"/>
      <c r="BB111" s="148"/>
      <c r="BC111" s="148"/>
      <c r="BD111" s="148"/>
      <c r="BE111" s="148"/>
      <c r="BF111" s="138">
        <f t="shared" si="9"/>
        <v>28000000</v>
      </c>
      <c r="BG111" s="138">
        <f t="shared" si="10"/>
        <v>4450000</v>
      </c>
      <c r="BH111" s="138">
        <f t="shared" si="11"/>
        <v>0</v>
      </c>
      <c r="BI111" s="298" t="s">
        <v>9</v>
      </c>
    </row>
    <row r="112" spans="1:61" s="288" customFormat="1" ht="108" customHeight="1">
      <c r="A112" s="139">
        <v>312</v>
      </c>
      <c r="B112" s="140" t="s">
        <v>462</v>
      </c>
      <c r="C112" s="139">
        <v>2</v>
      </c>
      <c r="D112" s="140" t="s">
        <v>199</v>
      </c>
      <c r="E112" s="139">
        <v>17</v>
      </c>
      <c r="F112" s="140" t="s">
        <v>200</v>
      </c>
      <c r="G112" s="139">
        <v>1709</v>
      </c>
      <c r="H112" s="140" t="s">
        <v>201</v>
      </c>
      <c r="I112" s="139">
        <v>1709</v>
      </c>
      <c r="J112" s="140" t="s">
        <v>202</v>
      </c>
      <c r="K112" s="140" t="s">
        <v>203</v>
      </c>
      <c r="L112" s="137">
        <v>1709019</v>
      </c>
      <c r="M112" s="140" t="s">
        <v>545</v>
      </c>
      <c r="N112" s="137">
        <v>1709019</v>
      </c>
      <c r="O112" s="140" t="s">
        <v>545</v>
      </c>
      <c r="P112" s="132">
        <v>170901900</v>
      </c>
      <c r="Q112" s="142" t="s">
        <v>545</v>
      </c>
      <c r="R112" s="132">
        <v>170901900</v>
      </c>
      <c r="S112" s="142" t="s">
        <v>545</v>
      </c>
      <c r="T112" s="299" t="s">
        <v>157</v>
      </c>
      <c r="U112" s="145">
        <v>4</v>
      </c>
      <c r="V112" s="145">
        <v>1</v>
      </c>
      <c r="W112" s="145">
        <f t="shared" si="14"/>
        <v>5</v>
      </c>
      <c r="X112" s="145">
        <v>0</v>
      </c>
      <c r="Y112" s="146">
        <v>2020003630024</v>
      </c>
      <c r="Z112" s="134" t="s">
        <v>546</v>
      </c>
      <c r="AA112" s="140" t="s">
        <v>547</v>
      </c>
      <c r="AB112" s="273"/>
      <c r="AC112" s="273"/>
      <c r="AD112" s="273"/>
      <c r="AE112" s="273"/>
      <c r="AF112" s="273"/>
      <c r="AG112" s="273"/>
      <c r="AH112" s="273"/>
      <c r="AI112" s="273"/>
      <c r="AJ112" s="273"/>
      <c r="AK112" s="273"/>
      <c r="AL112" s="273"/>
      <c r="AM112" s="273"/>
      <c r="AN112" s="273"/>
      <c r="AO112" s="273"/>
      <c r="AP112" s="273"/>
      <c r="AQ112" s="273"/>
      <c r="AR112" s="273"/>
      <c r="AS112" s="273"/>
      <c r="AT112" s="148">
        <v>43000000</v>
      </c>
      <c r="AU112" s="148"/>
      <c r="AV112" s="148"/>
      <c r="AW112" s="148"/>
      <c r="AX112" s="148"/>
      <c r="AY112" s="148"/>
      <c r="AZ112" s="148"/>
      <c r="BA112" s="148"/>
      <c r="BB112" s="148"/>
      <c r="BC112" s="148"/>
      <c r="BD112" s="148"/>
      <c r="BE112" s="148"/>
      <c r="BF112" s="138">
        <f t="shared" si="9"/>
        <v>43000000</v>
      </c>
      <c r="BG112" s="138">
        <f t="shared" si="10"/>
        <v>0</v>
      </c>
      <c r="BH112" s="138">
        <f t="shared" si="11"/>
        <v>0</v>
      </c>
      <c r="BI112" s="298" t="s">
        <v>9</v>
      </c>
    </row>
    <row r="113" spans="1:61" s="288" customFormat="1" ht="108" customHeight="1">
      <c r="A113" s="139">
        <v>312</v>
      </c>
      <c r="B113" s="140" t="s">
        <v>462</v>
      </c>
      <c r="C113" s="139">
        <v>2</v>
      </c>
      <c r="D113" s="140" t="s">
        <v>199</v>
      </c>
      <c r="E113" s="139">
        <v>17</v>
      </c>
      <c r="F113" s="140" t="s">
        <v>200</v>
      </c>
      <c r="G113" s="139">
        <v>1709</v>
      </c>
      <c r="H113" s="140" t="s">
        <v>201</v>
      </c>
      <c r="I113" s="139">
        <v>1709</v>
      </c>
      <c r="J113" s="140" t="s">
        <v>202</v>
      </c>
      <c r="K113" s="140" t="s">
        <v>203</v>
      </c>
      <c r="L113" s="137">
        <v>1709034</v>
      </c>
      <c r="M113" s="140" t="s">
        <v>548</v>
      </c>
      <c r="N113" s="137">
        <v>1709034</v>
      </c>
      <c r="O113" s="140" t="s">
        <v>548</v>
      </c>
      <c r="P113" s="132" t="s">
        <v>549</v>
      </c>
      <c r="Q113" s="142" t="s">
        <v>548</v>
      </c>
      <c r="R113" s="132" t="s">
        <v>549</v>
      </c>
      <c r="S113" s="142" t="s">
        <v>548</v>
      </c>
      <c r="T113" s="299" t="s">
        <v>157</v>
      </c>
      <c r="U113" s="145">
        <v>3</v>
      </c>
      <c r="V113" s="145">
        <v>1</v>
      </c>
      <c r="W113" s="145">
        <f t="shared" si="14"/>
        <v>4</v>
      </c>
      <c r="X113" s="145">
        <v>0</v>
      </c>
      <c r="Y113" s="146">
        <v>2020003630024</v>
      </c>
      <c r="Z113" s="134" t="s">
        <v>546</v>
      </c>
      <c r="AA113" s="140" t="s">
        <v>547</v>
      </c>
      <c r="AB113" s="273"/>
      <c r="AC113" s="273"/>
      <c r="AD113" s="273"/>
      <c r="AE113" s="273"/>
      <c r="AF113" s="273"/>
      <c r="AG113" s="273"/>
      <c r="AH113" s="273"/>
      <c r="AI113" s="273"/>
      <c r="AJ113" s="273"/>
      <c r="AK113" s="273"/>
      <c r="AL113" s="273"/>
      <c r="AM113" s="273"/>
      <c r="AN113" s="273"/>
      <c r="AO113" s="273"/>
      <c r="AP113" s="273"/>
      <c r="AQ113" s="273"/>
      <c r="AR113" s="273"/>
      <c r="AS113" s="273"/>
      <c r="AT113" s="148">
        <f>43000000+34676627</f>
        <v>77676627</v>
      </c>
      <c r="AU113" s="148">
        <v>31194951</v>
      </c>
      <c r="AV113" s="148"/>
      <c r="AW113" s="148"/>
      <c r="AX113" s="148"/>
      <c r="AY113" s="148"/>
      <c r="AZ113" s="148"/>
      <c r="BA113" s="148"/>
      <c r="BB113" s="148"/>
      <c r="BC113" s="148"/>
      <c r="BD113" s="148"/>
      <c r="BE113" s="148"/>
      <c r="BF113" s="138">
        <f t="shared" si="9"/>
        <v>77676627</v>
      </c>
      <c r="BG113" s="138">
        <f t="shared" si="10"/>
        <v>31194951</v>
      </c>
      <c r="BH113" s="138">
        <f t="shared" si="11"/>
        <v>0</v>
      </c>
      <c r="BI113" s="298" t="s">
        <v>9</v>
      </c>
    </row>
    <row r="114" spans="1:61" s="288" customFormat="1" ht="108" customHeight="1">
      <c r="A114" s="139">
        <v>312</v>
      </c>
      <c r="B114" s="140" t="s">
        <v>462</v>
      </c>
      <c r="C114" s="139">
        <v>2</v>
      </c>
      <c r="D114" s="140" t="s">
        <v>199</v>
      </c>
      <c r="E114" s="139">
        <v>17</v>
      </c>
      <c r="F114" s="140" t="s">
        <v>200</v>
      </c>
      <c r="G114" s="139">
        <v>1709</v>
      </c>
      <c r="H114" s="140" t="s">
        <v>201</v>
      </c>
      <c r="I114" s="139">
        <v>1709</v>
      </c>
      <c r="J114" s="140" t="s">
        <v>202</v>
      </c>
      <c r="K114" s="140" t="s">
        <v>203</v>
      </c>
      <c r="L114" s="137">
        <v>1709093</v>
      </c>
      <c r="M114" s="140" t="s">
        <v>550</v>
      </c>
      <c r="N114" s="137">
        <v>1709093</v>
      </c>
      <c r="O114" s="140" t="s">
        <v>550</v>
      </c>
      <c r="P114" s="139" t="s">
        <v>551</v>
      </c>
      <c r="Q114" s="142" t="s">
        <v>552</v>
      </c>
      <c r="R114" s="139" t="s">
        <v>551</v>
      </c>
      <c r="S114" s="142" t="s">
        <v>552</v>
      </c>
      <c r="T114" s="299" t="s">
        <v>157</v>
      </c>
      <c r="U114" s="145">
        <v>1</v>
      </c>
      <c r="V114" s="145"/>
      <c r="W114" s="145">
        <f t="shared" si="14"/>
        <v>1</v>
      </c>
      <c r="X114" s="145">
        <v>0</v>
      </c>
      <c r="Y114" s="146">
        <v>2020003630024</v>
      </c>
      <c r="Z114" s="134" t="s">
        <v>546</v>
      </c>
      <c r="AA114" s="140" t="s">
        <v>547</v>
      </c>
      <c r="AB114" s="273"/>
      <c r="AC114" s="273"/>
      <c r="AD114" s="273"/>
      <c r="AE114" s="273"/>
      <c r="AF114" s="273"/>
      <c r="AG114" s="273"/>
      <c r="AH114" s="273"/>
      <c r="AI114" s="273"/>
      <c r="AJ114" s="273"/>
      <c r="AK114" s="273"/>
      <c r="AL114" s="273"/>
      <c r="AM114" s="273"/>
      <c r="AN114" s="273"/>
      <c r="AO114" s="273"/>
      <c r="AP114" s="273"/>
      <c r="AQ114" s="273"/>
      <c r="AR114" s="273"/>
      <c r="AS114" s="273"/>
      <c r="AT114" s="148">
        <v>22000000</v>
      </c>
      <c r="AU114" s="148"/>
      <c r="AV114" s="148"/>
      <c r="AW114" s="148"/>
      <c r="AX114" s="148"/>
      <c r="AY114" s="148"/>
      <c r="AZ114" s="148"/>
      <c r="BA114" s="148"/>
      <c r="BB114" s="148"/>
      <c r="BC114" s="148"/>
      <c r="BD114" s="148"/>
      <c r="BE114" s="148"/>
      <c r="BF114" s="138">
        <f t="shared" si="9"/>
        <v>22000000</v>
      </c>
      <c r="BG114" s="138">
        <f t="shared" si="10"/>
        <v>0</v>
      </c>
      <c r="BH114" s="138">
        <f t="shared" si="11"/>
        <v>0</v>
      </c>
      <c r="BI114" s="298" t="s">
        <v>9</v>
      </c>
    </row>
    <row r="115" spans="1:61" s="288" customFormat="1" ht="94.5" customHeight="1">
      <c r="A115" s="152">
        <v>312</v>
      </c>
      <c r="B115" s="153" t="s">
        <v>462</v>
      </c>
      <c r="C115" s="152">
        <v>2</v>
      </c>
      <c r="D115" s="140" t="s">
        <v>199</v>
      </c>
      <c r="E115" s="152">
        <v>35</v>
      </c>
      <c r="F115" s="153" t="s">
        <v>417</v>
      </c>
      <c r="G115" s="152">
        <v>3502</v>
      </c>
      <c r="H115" s="153" t="s">
        <v>418</v>
      </c>
      <c r="I115" s="152">
        <v>3502</v>
      </c>
      <c r="J115" s="153" t="s">
        <v>419</v>
      </c>
      <c r="K115" s="153" t="s">
        <v>553</v>
      </c>
      <c r="L115" s="304">
        <v>3502017</v>
      </c>
      <c r="M115" s="153" t="s">
        <v>554</v>
      </c>
      <c r="N115" s="304">
        <v>3502017</v>
      </c>
      <c r="O115" s="153" t="s">
        <v>554</v>
      </c>
      <c r="P115" s="305" t="s">
        <v>555</v>
      </c>
      <c r="Q115" s="154" t="s">
        <v>556</v>
      </c>
      <c r="R115" s="305" t="s">
        <v>555</v>
      </c>
      <c r="S115" s="154" t="s">
        <v>556</v>
      </c>
      <c r="T115" s="155" t="s">
        <v>69</v>
      </c>
      <c r="U115" s="155">
        <v>6</v>
      </c>
      <c r="V115" s="155"/>
      <c r="W115" s="145">
        <f t="shared" si="14"/>
        <v>6</v>
      </c>
      <c r="X115" s="155">
        <v>6</v>
      </c>
      <c r="Y115" s="156">
        <v>2020003630085</v>
      </c>
      <c r="Z115" s="306" t="s">
        <v>557</v>
      </c>
      <c r="AA115" s="153" t="s">
        <v>558</v>
      </c>
      <c r="AB115" s="158"/>
      <c r="AC115" s="158"/>
      <c r="AD115" s="158"/>
      <c r="AE115" s="158"/>
      <c r="AF115" s="158"/>
      <c r="AG115" s="158"/>
      <c r="AH115" s="158"/>
      <c r="AI115" s="158"/>
      <c r="AJ115" s="158"/>
      <c r="AK115" s="158"/>
      <c r="AL115" s="158"/>
      <c r="AM115" s="158"/>
      <c r="AN115" s="158"/>
      <c r="AO115" s="158"/>
      <c r="AP115" s="158"/>
      <c r="AQ115" s="158"/>
      <c r="AR115" s="158"/>
      <c r="AS115" s="158"/>
      <c r="AT115" s="148">
        <v>18000000</v>
      </c>
      <c r="AU115" s="148">
        <v>18000000</v>
      </c>
      <c r="AV115" s="148"/>
      <c r="AW115" s="148"/>
      <c r="AX115" s="159"/>
      <c r="AY115" s="159"/>
      <c r="AZ115" s="159"/>
      <c r="BA115" s="159"/>
      <c r="BB115" s="159"/>
      <c r="BC115" s="159"/>
      <c r="BD115" s="159"/>
      <c r="BE115" s="159"/>
      <c r="BF115" s="138">
        <f t="shared" si="9"/>
        <v>18000000</v>
      </c>
      <c r="BG115" s="138">
        <f t="shared" si="10"/>
        <v>18000000</v>
      </c>
      <c r="BH115" s="138">
        <f t="shared" si="11"/>
        <v>0</v>
      </c>
      <c r="BI115" s="307" t="s">
        <v>9</v>
      </c>
    </row>
    <row r="116" spans="1:61" s="288" customFormat="1" ht="94.5" customHeight="1">
      <c r="A116" s="139">
        <v>312</v>
      </c>
      <c r="B116" s="140" t="s">
        <v>462</v>
      </c>
      <c r="C116" s="139">
        <v>2</v>
      </c>
      <c r="D116" s="140" t="s">
        <v>199</v>
      </c>
      <c r="E116" s="139">
        <v>35</v>
      </c>
      <c r="F116" s="140" t="s">
        <v>417</v>
      </c>
      <c r="G116" s="139">
        <v>3502</v>
      </c>
      <c r="H116" s="140" t="s">
        <v>418</v>
      </c>
      <c r="I116" s="139">
        <v>3502</v>
      </c>
      <c r="J116" s="140" t="s">
        <v>419</v>
      </c>
      <c r="K116" s="142" t="s">
        <v>420</v>
      </c>
      <c r="L116" s="137">
        <v>3502007</v>
      </c>
      <c r="M116" s="140" t="s">
        <v>559</v>
      </c>
      <c r="N116" s="137">
        <v>3502007</v>
      </c>
      <c r="O116" s="140" t="s">
        <v>559</v>
      </c>
      <c r="P116" s="139" t="s">
        <v>427</v>
      </c>
      <c r="Q116" s="142" t="s">
        <v>428</v>
      </c>
      <c r="R116" s="139" t="s">
        <v>427</v>
      </c>
      <c r="S116" s="141" t="s">
        <v>428</v>
      </c>
      <c r="T116" s="143" t="s">
        <v>69</v>
      </c>
      <c r="U116" s="139">
        <v>5</v>
      </c>
      <c r="V116" s="139"/>
      <c r="W116" s="145">
        <f t="shared" si="14"/>
        <v>5</v>
      </c>
      <c r="X116" s="145">
        <v>4</v>
      </c>
      <c r="Y116" s="146">
        <v>2020003630085</v>
      </c>
      <c r="Z116" s="134" t="s">
        <v>557</v>
      </c>
      <c r="AA116" s="140" t="s">
        <v>558</v>
      </c>
      <c r="AB116" s="130"/>
      <c r="AC116" s="130"/>
      <c r="AD116" s="130"/>
      <c r="AE116" s="130"/>
      <c r="AF116" s="130"/>
      <c r="AG116" s="130"/>
      <c r="AH116" s="130"/>
      <c r="AI116" s="130"/>
      <c r="AJ116" s="130"/>
      <c r="AK116" s="130"/>
      <c r="AL116" s="130"/>
      <c r="AM116" s="130"/>
      <c r="AN116" s="130"/>
      <c r="AO116" s="130"/>
      <c r="AP116" s="130"/>
      <c r="AQ116" s="130"/>
      <c r="AR116" s="130"/>
      <c r="AS116" s="130"/>
      <c r="AT116" s="148">
        <v>18000000</v>
      </c>
      <c r="AU116" s="148">
        <v>17800000</v>
      </c>
      <c r="AV116" s="148">
        <v>3200000</v>
      </c>
      <c r="AW116" s="148"/>
      <c r="AX116" s="148"/>
      <c r="AY116" s="148"/>
      <c r="AZ116" s="148"/>
      <c r="BA116" s="148"/>
      <c r="BB116" s="148"/>
      <c r="BC116" s="148"/>
      <c r="BD116" s="148"/>
      <c r="BE116" s="148"/>
      <c r="BF116" s="138">
        <f t="shared" si="9"/>
        <v>18000000</v>
      </c>
      <c r="BG116" s="138">
        <f t="shared" si="10"/>
        <v>17800000</v>
      </c>
      <c r="BH116" s="138">
        <f t="shared" si="11"/>
        <v>3200000</v>
      </c>
      <c r="BI116" s="298" t="s">
        <v>9</v>
      </c>
    </row>
    <row r="117" spans="1:61" s="288" customFormat="1" ht="94.5" customHeight="1">
      <c r="A117" s="139">
        <v>312</v>
      </c>
      <c r="B117" s="140" t="s">
        <v>462</v>
      </c>
      <c r="C117" s="139">
        <v>3</v>
      </c>
      <c r="D117" s="140" t="s">
        <v>211</v>
      </c>
      <c r="E117" s="139">
        <v>32</v>
      </c>
      <c r="F117" s="140" t="s">
        <v>226</v>
      </c>
      <c r="G117" s="139" t="s">
        <v>560</v>
      </c>
      <c r="H117" s="140" t="s">
        <v>561</v>
      </c>
      <c r="I117" s="139" t="s">
        <v>560</v>
      </c>
      <c r="J117" s="140" t="s">
        <v>562</v>
      </c>
      <c r="K117" s="140" t="s">
        <v>229</v>
      </c>
      <c r="L117" s="137">
        <v>3201013</v>
      </c>
      <c r="M117" s="140" t="s">
        <v>563</v>
      </c>
      <c r="N117" s="137">
        <v>3201013</v>
      </c>
      <c r="O117" s="140" t="s">
        <v>563</v>
      </c>
      <c r="P117" s="132" t="s">
        <v>564</v>
      </c>
      <c r="Q117" s="142" t="s">
        <v>565</v>
      </c>
      <c r="R117" s="132" t="s">
        <v>564</v>
      </c>
      <c r="S117" s="142" t="s">
        <v>565</v>
      </c>
      <c r="T117" s="299" t="s">
        <v>157</v>
      </c>
      <c r="U117" s="145">
        <v>1</v>
      </c>
      <c r="V117" s="145"/>
      <c r="W117" s="145">
        <f t="shared" si="14"/>
        <v>1</v>
      </c>
      <c r="X117" s="145">
        <v>0.1</v>
      </c>
      <c r="Y117" s="146">
        <v>2020003630027</v>
      </c>
      <c r="Z117" s="134" t="s">
        <v>566</v>
      </c>
      <c r="AA117" s="140" t="s">
        <v>567</v>
      </c>
      <c r="AB117" s="280"/>
      <c r="AC117" s="280"/>
      <c r="AD117" s="280"/>
      <c r="AE117" s="280"/>
      <c r="AF117" s="280"/>
      <c r="AG117" s="280"/>
      <c r="AH117" s="280"/>
      <c r="AI117" s="280"/>
      <c r="AJ117" s="280"/>
      <c r="AK117" s="280"/>
      <c r="AL117" s="280"/>
      <c r="AM117" s="280"/>
      <c r="AN117" s="280"/>
      <c r="AO117" s="280"/>
      <c r="AP117" s="280"/>
      <c r="AQ117" s="280"/>
      <c r="AR117" s="280"/>
      <c r="AS117" s="280"/>
      <c r="AT117" s="148">
        <f>32000000+12600000</f>
        <v>44600000</v>
      </c>
      <c r="AU117" s="148">
        <v>16100000</v>
      </c>
      <c r="AV117" s="148">
        <v>8100000</v>
      </c>
      <c r="AW117" s="148"/>
      <c r="AX117" s="148"/>
      <c r="AY117" s="148"/>
      <c r="AZ117" s="148"/>
      <c r="BA117" s="148"/>
      <c r="BB117" s="148"/>
      <c r="BC117" s="148"/>
      <c r="BD117" s="148"/>
      <c r="BE117" s="148"/>
      <c r="BF117" s="138">
        <f t="shared" si="9"/>
        <v>44600000</v>
      </c>
      <c r="BG117" s="138">
        <f t="shared" si="10"/>
        <v>16100000</v>
      </c>
      <c r="BH117" s="138">
        <f t="shared" si="11"/>
        <v>8100000</v>
      </c>
      <c r="BI117" s="298" t="s">
        <v>9</v>
      </c>
    </row>
    <row r="118" spans="1:61" s="151" customFormat="1" ht="109.5" customHeight="1">
      <c r="A118" s="139">
        <v>312</v>
      </c>
      <c r="B118" s="140" t="s">
        <v>462</v>
      </c>
      <c r="C118" s="139">
        <v>3</v>
      </c>
      <c r="D118" s="140" t="s">
        <v>211</v>
      </c>
      <c r="E118" s="139">
        <v>32</v>
      </c>
      <c r="F118" s="140" t="s">
        <v>226</v>
      </c>
      <c r="G118" s="139" t="s">
        <v>560</v>
      </c>
      <c r="H118" s="140" t="s">
        <v>561</v>
      </c>
      <c r="I118" s="139" t="s">
        <v>560</v>
      </c>
      <c r="J118" s="140" t="s">
        <v>562</v>
      </c>
      <c r="K118" s="140" t="s">
        <v>229</v>
      </c>
      <c r="L118" s="137">
        <v>3201008</v>
      </c>
      <c r="M118" s="140" t="s">
        <v>568</v>
      </c>
      <c r="N118" s="137">
        <v>3201008</v>
      </c>
      <c r="O118" s="140" t="s">
        <v>568</v>
      </c>
      <c r="P118" s="132" t="s">
        <v>569</v>
      </c>
      <c r="Q118" s="142" t="s">
        <v>570</v>
      </c>
      <c r="R118" s="132" t="s">
        <v>569</v>
      </c>
      <c r="S118" s="142" t="s">
        <v>570</v>
      </c>
      <c r="T118" s="299" t="s">
        <v>157</v>
      </c>
      <c r="U118" s="145">
        <v>3</v>
      </c>
      <c r="V118" s="145"/>
      <c r="W118" s="145">
        <f t="shared" si="14"/>
        <v>3</v>
      </c>
      <c r="X118" s="145">
        <v>0</v>
      </c>
      <c r="Y118" s="146">
        <v>2020003630027</v>
      </c>
      <c r="Z118" s="134" t="s">
        <v>566</v>
      </c>
      <c r="AA118" s="140" t="s">
        <v>567</v>
      </c>
      <c r="AB118" s="280"/>
      <c r="AC118" s="280"/>
      <c r="AD118" s="280"/>
      <c r="AE118" s="280"/>
      <c r="AF118" s="280"/>
      <c r="AG118" s="280"/>
      <c r="AH118" s="280"/>
      <c r="AI118" s="280"/>
      <c r="AJ118" s="280"/>
      <c r="AK118" s="280"/>
      <c r="AL118" s="280"/>
      <c r="AM118" s="280"/>
      <c r="AN118" s="280"/>
      <c r="AO118" s="280"/>
      <c r="AP118" s="280"/>
      <c r="AQ118" s="280"/>
      <c r="AR118" s="280"/>
      <c r="AS118" s="280"/>
      <c r="AT118" s="148">
        <f>50000000+18000000+50000000</f>
        <v>118000000</v>
      </c>
      <c r="AU118" s="148"/>
      <c r="AV118" s="148"/>
      <c r="AW118" s="148"/>
      <c r="AX118" s="148"/>
      <c r="AY118" s="148"/>
      <c r="AZ118" s="148"/>
      <c r="BA118" s="148"/>
      <c r="BB118" s="148"/>
      <c r="BC118" s="148"/>
      <c r="BD118" s="148"/>
      <c r="BE118" s="148"/>
      <c r="BF118" s="138">
        <f t="shared" si="9"/>
        <v>118000000</v>
      </c>
      <c r="BG118" s="138">
        <f t="shared" si="10"/>
        <v>0</v>
      </c>
      <c r="BH118" s="138">
        <f t="shared" si="11"/>
        <v>0</v>
      </c>
      <c r="BI118" s="298" t="s">
        <v>9</v>
      </c>
    </row>
    <row r="119" spans="1:61" s="308" customFormat="1" ht="162.75" customHeight="1">
      <c r="A119" s="139">
        <v>312</v>
      </c>
      <c r="B119" s="140" t="s">
        <v>462</v>
      </c>
      <c r="C119" s="139">
        <v>3</v>
      </c>
      <c r="D119" s="140" t="s">
        <v>211</v>
      </c>
      <c r="E119" s="139">
        <v>32</v>
      </c>
      <c r="F119" s="140" t="s">
        <v>226</v>
      </c>
      <c r="G119" s="139">
        <v>3202</v>
      </c>
      <c r="H119" s="140" t="s">
        <v>571</v>
      </c>
      <c r="I119" s="139">
        <v>3202</v>
      </c>
      <c r="J119" s="140" t="s">
        <v>572</v>
      </c>
      <c r="K119" s="140" t="s">
        <v>229</v>
      </c>
      <c r="L119" s="137">
        <v>3202037</v>
      </c>
      <c r="M119" s="140" t="s">
        <v>573</v>
      </c>
      <c r="N119" s="137">
        <v>3202037</v>
      </c>
      <c r="O119" s="140" t="s">
        <v>573</v>
      </c>
      <c r="P119" s="132" t="s">
        <v>574</v>
      </c>
      <c r="Q119" s="142" t="s">
        <v>575</v>
      </c>
      <c r="R119" s="132" t="s">
        <v>574</v>
      </c>
      <c r="S119" s="142" t="s">
        <v>575</v>
      </c>
      <c r="T119" s="299" t="s">
        <v>157</v>
      </c>
      <c r="U119" s="145">
        <v>40</v>
      </c>
      <c r="V119" s="145">
        <v>40</v>
      </c>
      <c r="W119" s="145">
        <f t="shared" si="14"/>
        <v>80</v>
      </c>
      <c r="X119" s="145">
        <v>0</v>
      </c>
      <c r="Y119" s="146">
        <v>2020003630086</v>
      </c>
      <c r="Z119" s="134" t="s">
        <v>576</v>
      </c>
      <c r="AA119" s="140" t="s">
        <v>577</v>
      </c>
      <c r="AB119" s="130"/>
      <c r="AC119" s="130"/>
      <c r="AD119" s="130"/>
      <c r="AE119" s="130"/>
      <c r="AF119" s="130"/>
      <c r="AG119" s="130"/>
      <c r="AH119" s="130"/>
      <c r="AI119" s="130"/>
      <c r="AJ119" s="130"/>
      <c r="AK119" s="130"/>
      <c r="AL119" s="130"/>
      <c r="AM119" s="130"/>
      <c r="AN119" s="130"/>
      <c r="AO119" s="130"/>
      <c r="AP119" s="130"/>
      <c r="AQ119" s="130"/>
      <c r="AR119" s="130"/>
      <c r="AS119" s="130"/>
      <c r="AT119" s="148">
        <f>50000000+80000000</f>
        <v>130000000</v>
      </c>
      <c r="AU119" s="148"/>
      <c r="AV119" s="148"/>
      <c r="AW119" s="148"/>
      <c r="AX119" s="148"/>
      <c r="AY119" s="148"/>
      <c r="AZ119" s="148"/>
      <c r="BA119" s="148"/>
      <c r="BB119" s="148"/>
      <c r="BC119" s="148"/>
      <c r="BD119" s="148"/>
      <c r="BE119" s="148"/>
      <c r="BF119" s="138">
        <f t="shared" si="9"/>
        <v>130000000</v>
      </c>
      <c r="BG119" s="138">
        <f t="shared" si="10"/>
        <v>0</v>
      </c>
      <c r="BH119" s="138">
        <f t="shared" si="11"/>
        <v>0</v>
      </c>
      <c r="BI119" s="298" t="s">
        <v>9</v>
      </c>
    </row>
    <row r="120" spans="1:61" s="151" customFormat="1" ht="160.5" customHeight="1">
      <c r="A120" s="139">
        <v>312</v>
      </c>
      <c r="B120" s="140" t="s">
        <v>462</v>
      </c>
      <c r="C120" s="139">
        <v>3</v>
      </c>
      <c r="D120" s="140" t="s">
        <v>211</v>
      </c>
      <c r="E120" s="139">
        <v>32</v>
      </c>
      <c r="F120" s="140" t="s">
        <v>226</v>
      </c>
      <c r="G120" s="139">
        <v>3202</v>
      </c>
      <c r="H120" s="140" t="s">
        <v>571</v>
      </c>
      <c r="I120" s="139">
        <v>3202</v>
      </c>
      <c r="J120" s="140" t="s">
        <v>572</v>
      </c>
      <c r="K120" s="140" t="s">
        <v>229</v>
      </c>
      <c r="L120" s="139" t="s">
        <v>61</v>
      </c>
      <c r="M120" s="140" t="s">
        <v>578</v>
      </c>
      <c r="N120" s="292">
        <v>3202037</v>
      </c>
      <c r="O120" s="140" t="s">
        <v>573</v>
      </c>
      <c r="P120" s="139" t="s">
        <v>61</v>
      </c>
      <c r="Q120" s="142" t="s">
        <v>579</v>
      </c>
      <c r="R120" s="292">
        <v>320203700</v>
      </c>
      <c r="S120" s="142" t="s">
        <v>580</v>
      </c>
      <c r="T120" s="299" t="s">
        <v>157</v>
      </c>
      <c r="U120" s="145">
        <v>60</v>
      </c>
      <c r="V120" s="145"/>
      <c r="W120" s="145">
        <f t="shared" si="14"/>
        <v>60</v>
      </c>
      <c r="X120" s="145">
        <v>7.8</v>
      </c>
      <c r="Y120" s="146">
        <v>2020003630086</v>
      </c>
      <c r="Z120" s="134" t="s">
        <v>576</v>
      </c>
      <c r="AA120" s="140" t="s">
        <v>577</v>
      </c>
      <c r="AB120" s="130"/>
      <c r="AC120" s="130"/>
      <c r="AD120" s="130"/>
      <c r="AE120" s="130"/>
      <c r="AF120" s="130"/>
      <c r="AG120" s="130"/>
      <c r="AH120" s="130"/>
      <c r="AI120" s="130"/>
      <c r="AJ120" s="130"/>
      <c r="AK120" s="130"/>
      <c r="AL120" s="130"/>
      <c r="AM120" s="130"/>
      <c r="AN120" s="130"/>
      <c r="AO120" s="130"/>
      <c r="AP120" s="130"/>
      <c r="AQ120" s="130"/>
      <c r="AR120" s="130"/>
      <c r="AS120" s="130"/>
      <c r="AT120" s="138">
        <f>667344905+989507091</f>
        <v>1656851996</v>
      </c>
      <c r="AU120" s="138">
        <v>134000000</v>
      </c>
      <c r="AV120" s="138">
        <v>31150000</v>
      </c>
      <c r="AW120" s="148"/>
      <c r="AX120" s="148"/>
      <c r="AY120" s="148"/>
      <c r="AZ120" s="148"/>
      <c r="BA120" s="148"/>
      <c r="BB120" s="148"/>
      <c r="BC120" s="148"/>
      <c r="BD120" s="148"/>
      <c r="BE120" s="148"/>
      <c r="BF120" s="138">
        <f t="shared" si="9"/>
        <v>1656851996</v>
      </c>
      <c r="BG120" s="138">
        <f t="shared" si="10"/>
        <v>134000000</v>
      </c>
      <c r="BH120" s="138">
        <f t="shared" si="11"/>
        <v>31150000</v>
      </c>
      <c r="BI120" s="298" t="s">
        <v>9</v>
      </c>
    </row>
    <row r="121" spans="1:61" s="151" customFormat="1" ht="145.5" customHeight="1">
      <c r="A121" s="139">
        <v>312</v>
      </c>
      <c r="B121" s="140" t="s">
        <v>462</v>
      </c>
      <c r="C121" s="139">
        <v>3</v>
      </c>
      <c r="D121" s="140" t="s">
        <v>211</v>
      </c>
      <c r="E121" s="139">
        <v>32</v>
      </c>
      <c r="F121" s="140" t="s">
        <v>226</v>
      </c>
      <c r="G121" s="139">
        <v>3202</v>
      </c>
      <c r="H121" s="140" t="s">
        <v>571</v>
      </c>
      <c r="I121" s="139">
        <v>3202</v>
      </c>
      <c r="J121" s="140" t="s">
        <v>572</v>
      </c>
      <c r="K121" s="140" t="s">
        <v>229</v>
      </c>
      <c r="L121" s="139">
        <v>3202017</v>
      </c>
      <c r="M121" s="140" t="s">
        <v>581</v>
      </c>
      <c r="N121" s="137">
        <v>3202043</v>
      </c>
      <c r="O121" s="140" t="s">
        <v>582</v>
      </c>
      <c r="P121" s="139" t="s">
        <v>583</v>
      </c>
      <c r="Q121" s="142" t="s">
        <v>584</v>
      </c>
      <c r="R121" s="132">
        <v>320204300</v>
      </c>
      <c r="S121" s="142" t="s">
        <v>585</v>
      </c>
      <c r="T121" s="145" t="s">
        <v>69</v>
      </c>
      <c r="U121" s="309">
        <v>1</v>
      </c>
      <c r="V121" s="309"/>
      <c r="W121" s="145">
        <f t="shared" si="14"/>
        <v>1</v>
      </c>
      <c r="X121" s="145">
        <v>0.05</v>
      </c>
      <c r="Y121" s="146">
        <v>2020003630086</v>
      </c>
      <c r="Z121" s="134" t="s">
        <v>576</v>
      </c>
      <c r="AA121" s="140" t="s">
        <v>577</v>
      </c>
      <c r="AB121" s="130"/>
      <c r="AC121" s="130"/>
      <c r="AD121" s="130"/>
      <c r="AE121" s="130"/>
      <c r="AF121" s="130"/>
      <c r="AG121" s="130"/>
      <c r="AH121" s="130"/>
      <c r="AI121" s="130"/>
      <c r="AJ121" s="130"/>
      <c r="AK121" s="130"/>
      <c r="AL121" s="130"/>
      <c r="AM121" s="130"/>
      <c r="AN121" s="130"/>
      <c r="AO121" s="130"/>
      <c r="AP121" s="130"/>
      <c r="AQ121" s="130"/>
      <c r="AR121" s="130"/>
      <c r="AS121" s="130"/>
      <c r="AT121" s="138">
        <f>286004959+329835697</f>
        <v>615840656</v>
      </c>
      <c r="AU121" s="138">
        <v>20150000</v>
      </c>
      <c r="AV121" s="138">
        <v>8850000</v>
      </c>
      <c r="AW121" s="148"/>
      <c r="AX121" s="148"/>
      <c r="AY121" s="148"/>
      <c r="AZ121" s="148"/>
      <c r="BA121" s="148"/>
      <c r="BB121" s="148"/>
      <c r="BC121" s="148"/>
      <c r="BD121" s="148"/>
      <c r="BE121" s="148"/>
      <c r="BF121" s="138">
        <f t="shared" si="9"/>
        <v>615840656</v>
      </c>
      <c r="BG121" s="138">
        <f t="shared" si="10"/>
        <v>20150000</v>
      </c>
      <c r="BH121" s="138">
        <f t="shared" si="11"/>
        <v>8850000</v>
      </c>
      <c r="BI121" s="298" t="s">
        <v>9</v>
      </c>
    </row>
    <row r="122" spans="1:61" s="151" customFormat="1" ht="112.5" customHeight="1">
      <c r="A122" s="139">
        <v>312</v>
      </c>
      <c r="B122" s="140" t="s">
        <v>462</v>
      </c>
      <c r="C122" s="139">
        <v>3</v>
      </c>
      <c r="D122" s="140" t="s">
        <v>211</v>
      </c>
      <c r="E122" s="139">
        <v>32</v>
      </c>
      <c r="F122" s="140" t="s">
        <v>226</v>
      </c>
      <c r="G122" s="139">
        <v>3202</v>
      </c>
      <c r="H122" s="140" t="s">
        <v>571</v>
      </c>
      <c r="I122" s="139">
        <v>3202</v>
      </c>
      <c r="J122" s="140" t="s">
        <v>572</v>
      </c>
      <c r="K122" s="140" t="s">
        <v>229</v>
      </c>
      <c r="L122" s="139" t="s">
        <v>61</v>
      </c>
      <c r="M122" s="140" t="s">
        <v>586</v>
      </c>
      <c r="N122" s="137">
        <v>3202014</v>
      </c>
      <c r="O122" s="140" t="s">
        <v>587</v>
      </c>
      <c r="P122" s="139" t="s">
        <v>61</v>
      </c>
      <c r="Q122" s="142" t="s">
        <v>588</v>
      </c>
      <c r="R122" s="132">
        <v>320201402</v>
      </c>
      <c r="S122" s="142" t="s">
        <v>589</v>
      </c>
      <c r="T122" s="145" t="s">
        <v>69</v>
      </c>
      <c r="U122" s="309">
        <v>1</v>
      </c>
      <c r="V122" s="309"/>
      <c r="W122" s="145">
        <f t="shared" si="14"/>
        <v>1</v>
      </c>
      <c r="X122" s="145">
        <v>0.1</v>
      </c>
      <c r="Y122" s="146">
        <v>2020003630028</v>
      </c>
      <c r="Z122" s="134" t="s">
        <v>590</v>
      </c>
      <c r="AA122" s="140" t="s">
        <v>591</v>
      </c>
      <c r="AB122" s="130"/>
      <c r="AC122" s="130"/>
      <c r="AD122" s="130"/>
      <c r="AE122" s="130"/>
      <c r="AF122" s="130"/>
      <c r="AG122" s="130"/>
      <c r="AH122" s="130"/>
      <c r="AI122" s="130"/>
      <c r="AJ122" s="130"/>
      <c r="AK122" s="130"/>
      <c r="AL122" s="130"/>
      <c r="AM122" s="130"/>
      <c r="AN122" s="130"/>
      <c r="AO122" s="130"/>
      <c r="AP122" s="130"/>
      <c r="AQ122" s="130"/>
      <c r="AR122" s="130"/>
      <c r="AS122" s="130"/>
      <c r="AT122" s="148">
        <f>36000000+12000000</f>
        <v>48000000</v>
      </c>
      <c r="AU122" s="148">
        <v>13850000</v>
      </c>
      <c r="AV122" s="148">
        <v>4350000</v>
      </c>
      <c r="AW122" s="148"/>
      <c r="AX122" s="148"/>
      <c r="AY122" s="148"/>
      <c r="AZ122" s="148"/>
      <c r="BA122" s="148"/>
      <c r="BB122" s="148"/>
      <c r="BC122" s="148"/>
      <c r="BD122" s="148"/>
      <c r="BE122" s="148"/>
      <c r="BF122" s="138">
        <f t="shared" si="9"/>
        <v>48000000</v>
      </c>
      <c r="BG122" s="138">
        <f t="shared" si="10"/>
        <v>13850000</v>
      </c>
      <c r="BH122" s="138">
        <f t="shared" si="11"/>
        <v>4350000</v>
      </c>
      <c r="BI122" s="298" t="s">
        <v>9</v>
      </c>
    </row>
    <row r="123" spans="1:61" s="151" customFormat="1" ht="112.5" customHeight="1">
      <c r="A123" s="139">
        <v>312</v>
      </c>
      <c r="B123" s="140" t="s">
        <v>462</v>
      </c>
      <c r="C123" s="139">
        <v>3</v>
      </c>
      <c r="D123" s="140" t="s">
        <v>211</v>
      </c>
      <c r="E123" s="139">
        <v>32</v>
      </c>
      <c r="F123" s="140" t="s">
        <v>226</v>
      </c>
      <c r="G123" s="139">
        <v>3202</v>
      </c>
      <c r="H123" s="140" t="s">
        <v>571</v>
      </c>
      <c r="I123" s="139">
        <v>3202</v>
      </c>
      <c r="J123" s="140" t="s">
        <v>572</v>
      </c>
      <c r="K123" s="140" t="s">
        <v>229</v>
      </c>
      <c r="L123" s="139" t="s">
        <v>61</v>
      </c>
      <c r="M123" s="140" t="s">
        <v>592</v>
      </c>
      <c r="N123" s="139">
        <v>3202014</v>
      </c>
      <c r="O123" s="140" t="s">
        <v>587</v>
      </c>
      <c r="P123" s="139" t="s">
        <v>61</v>
      </c>
      <c r="Q123" s="142" t="s">
        <v>593</v>
      </c>
      <c r="R123" s="139">
        <v>320201402</v>
      </c>
      <c r="S123" s="142" t="s">
        <v>589</v>
      </c>
      <c r="T123" s="299" t="s">
        <v>157</v>
      </c>
      <c r="U123" s="309">
        <v>1</v>
      </c>
      <c r="V123" s="309"/>
      <c r="W123" s="145">
        <f t="shared" si="14"/>
        <v>1</v>
      </c>
      <c r="X123" s="145">
        <v>0.1</v>
      </c>
      <c r="Y123" s="146">
        <v>2020003630087</v>
      </c>
      <c r="Z123" s="141" t="s">
        <v>594</v>
      </c>
      <c r="AA123" s="140" t="s">
        <v>595</v>
      </c>
      <c r="AB123" s="130"/>
      <c r="AC123" s="130"/>
      <c r="AD123" s="130"/>
      <c r="AE123" s="130"/>
      <c r="AF123" s="130"/>
      <c r="AG123" s="130"/>
      <c r="AH123" s="130"/>
      <c r="AI123" s="130"/>
      <c r="AJ123" s="130"/>
      <c r="AK123" s="130"/>
      <c r="AL123" s="130"/>
      <c r="AM123" s="130"/>
      <c r="AN123" s="130"/>
      <c r="AO123" s="130"/>
      <c r="AP123" s="130"/>
      <c r="AQ123" s="130"/>
      <c r="AR123" s="130"/>
      <c r="AS123" s="130"/>
      <c r="AT123" s="148">
        <f>54000000+21200000</f>
        <v>75200000</v>
      </c>
      <c r="AU123" s="148">
        <v>32250000</v>
      </c>
      <c r="AV123" s="148">
        <v>12050000</v>
      </c>
      <c r="AW123" s="148"/>
      <c r="AX123" s="148"/>
      <c r="AY123" s="148"/>
      <c r="AZ123" s="148"/>
      <c r="BA123" s="148"/>
      <c r="BB123" s="148"/>
      <c r="BC123" s="148"/>
      <c r="BD123" s="148"/>
      <c r="BE123" s="148"/>
      <c r="BF123" s="138">
        <f t="shared" si="9"/>
        <v>75200000</v>
      </c>
      <c r="BG123" s="138">
        <f t="shared" si="10"/>
        <v>32250000</v>
      </c>
      <c r="BH123" s="138">
        <f t="shared" si="11"/>
        <v>12050000</v>
      </c>
      <c r="BI123" s="298" t="s">
        <v>9</v>
      </c>
    </row>
    <row r="124" spans="1:61" s="151" customFormat="1" ht="98.25" customHeight="1">
      <c r="A124" s="139">
        <v>312</v>
      </c>
      <c r="B124" s="140" t="s">
        <v>462</v>
      </c>
      <c r="C124" s="139">
        <v>3</v>
      </c>
      <c r="D124" s="140" t="s">
        <v>211</v>
      </c>
      <c r="E124" s="139">
        <v>32</v>
      </c>
      <c r="F124" s="140" t="s">
        <v>226</v>
      </c>
      <c r="G124" s="139" t="s">
        <v>596</v>
      </c>
      <c r="H124" s="140" t="s">
        <v>597</v>
      </c>
      <c r="I124" s="139" t="s">
        <v>596</v>
      </c>
      <c r="J124" s="140" t="s">
        <v>598</v>
      </c>
      <c r="K124" s="140" t="s">
        <v>229</v>
      </c>
      <c r="L124" s="137">
        <v>3204012</v>
      </c>
      <c r="M124" s="140" t="s">
        <v>599</v>
      </c>
      <c r="N124" s="137">
        <v>3204012</v>
      </c>
      <c r="O124" s="140" t="s">
        <v>599</v>
      </c>
      <c r="P124" s="132" t="s">
        <v>600</v>
      </c>
      <c r="Q124" s="142" t="s">
        <v>601</v>
      </c>
      <c r="R124" s="132" t="s">
        <v>600</v>
      </c>
      <c r="S124" s="142" t="s">
        <v>601</v>
      </c>
      <c r="T124" s="299" t="s">
        <v>157</v>
      </c>
      <c r="U124" s="145">
        <v>5</v>
      </c>
      <c r="V124" s="145"/>
      <c r="W124" s="145">
        <f t="shared" si="14"/>
        <v>5</v>
      </c>
      <c r="X124" s="145">
        <v>5</v>
      </c>
      <c r="Y124" s="146">
        <v>2020003630029</v>
      </c>
      <c r="Z124" s="134" t="s">
        <v>602</v>
      </c>
      <c r="AA124" s="140" t="s">
        <v>603</v>
      </c>
      <c r="AB124" s="130"/>
      <c r="AC124" s="130"/>
      <c r="AD124" s="130"/>
      <c r="AE124" s="130"/>
      <c r="AF124" s="130"/>
      <c r="AG124" s="130"/>
      <c r="AH124" s="130"/>
      <c r="AI124" s="130"/>
      <c r="AJ124" s="130"/>
      <c r="AK124" s="130"/>
      <c r="AL124" s="130"/>
      <c r="AM124" s="130"/>
      <c r="AN124" s="130"/>
      <c r="AO124" s="130"/>
      <c r="AP124" s="130"/>
      <c r="AQ124" s="130"/>
      <c r="AR124" s="130"/>
      <c r="AS124" s="130"/>
      <c r="AT124" s="148">
        <f>120000000+48000000</f>
        <v>168000000</v>
      </c>
      <c r="AU124" s="148">
        <v>16900000</v>
      </c>
      <c r="AV124" s="148">
        <v>7200000</v>
      </c>
      <c r="AW124" s="148"/>
      <c r="AX124" s="148"/>
      <c r="AY124" s="148"/>
      <c r="AZ124" s="148"/>
      <c r="BA124" s="148"/>
      <c r="BB124" s="148"/>
      <c r="BC124" s="148"/>
      <c r="BD124" s="148"/>
      <c r="BE124" s="148"/>
      <c r="BF124" s="138">
        <f t="shared" si="9"/>
        <v>168000000</v>
      </c>
      <c r="BG124" s="138">
        <f t="shared" si="10"/>
        <v>16900000</v>
      </c>
      <c r="BH124" s="138">
        <f t="shared" si="11"/>
        <v>7200000</v>
      </c>
      <c r="BI124" s="298" t="s">
        <v>9</v>
      </c>
    </row>
    <row r="125" spans="1:61" s="151" customFormat="1" ht="108.75" customHeight="1">
      <c r="A125" s="139">
        <v>312</v>
      </c>
      <c r="B125" s="140" t="s">
        <v>462</v>
      </c>
      <c r="C125" s="139">
        <v>3</v>
      </c>
      <c r="D125" s="140" t="s">
        <v>211</v>
      </c>
      <c r="E125" s="139">
        <v>32</v>
      </c>
      <c r="F125" s="140" t="s">
        <v>226</v>
      </c>
      <c r="G125" s="139">
        <v>3205</v>
      </c>
      <c r="H125" s="140" t="s">
        <v>227</v>
      </c>
      <c r="I125" s="139">
        <v>3205</v>
      </c>
      <c r="J125" s="140" t="s">
        <v>228</v>
      </c>
      <c r="K125" s="140" t="s">
        <v>229</v>
      </c>
      <c r="L125" s="137" t="s">
        <v>604</v>
      </c>
      <c r="M125" s="140" t="s">
        <v>605</v>
      </c>
      <c r="N125" s="137" t="s">
        <v>604</v>
      </c>
      <c r="O125" s="140" t="s">
        <v>605</v>
      </c>
      <c r="P125" s="139" t="s">
        <v>606</v>
      </c>
      <c r="Q125" s="141" t="s">
        <v>607</v>
      </c>
      <c r="R125" s="139" t="s">
        <v>606</v>
      </c>
      <c r="S125" s="142" t="s">
        <v>607</v>
      </c>
      <c r="T125" s="299" t="s">
        <v>157</v>
      </c>
      <c r="U125" s="145">
        <v>300</v>
      </c>
      <c r="V125" s="145"/>
      <c r="W125" s="145">
        <f t="shared" si="14"/>
        <v>300</v>
      </c>
      <c r="X125" s="145">
        <v>0</v>
      </c>
      <c r="Y125" s="146">
        <v>2020003630030</v>
      </c>
      <c r="Z125" s="134" t="s">
        <v>608</v>
      </c>
      <c r="AA125" s="140" t="s">
        <v>609</v>
      </c>
      <c r="AB125" s="294"/>
      <c r="AC125" s="294"/>
      <c r="AD125" s="294"/>
      <c r="AE125" s="130"/>
      <c r="AF125" s="130"/>
      <c r="AG125" s="130"/>
      <c r="AH125" s="130"/>
      <c r="AI125" s="130"/>
      <c r="AJ125" s="130"/>
      <c r="AK125" s="130"/>
      <c r="AL125" s="130"/>
      <c r="AM125" s="130"/>
      <c r="AN125" s="130"/>
      <c r="AO125" s="130"/>
      <c r="AP125" s="130"/>
      <c r="AQ125" s="130"/>
      <c r="AR125" s="130"/>
      <c r="AS125" s="130"/>
      <c r="AT125" s="148">
        <v>20000000</v>
      </c>
      <c r="AU125" s="148"/>
      <c r="AV125" s="148"/>
      <c r="AW125" s="148"/>
      <c r="AX125" s="148"/>
      <c r="AY125" s="148"/>
      <c r="AZ125" s="148"/>
      <c r="BA125" s="148"/>
      <c r="BB125" s="148"/>
      <c r="BC125" s="148"/>
      <c r="BD125" s="148"/>
      <c r="BE125" s="148"/>
      <c r="BF125" s="138">
        <f t="shared" si="9"/>
        <v>20000000</v>
      </c>
      <c r="BG125" s="138">
        <f t="shared" si="10"/>
        <v>0</v>
      </c>
      <c r="BH125" s="138">
        <f t="shared" si="11"/>
        <v>0</v>
      </c>
      <c r="BI125" s="298" t="s">
        <v>9</v>
      </c>
    </row>
    <row r="126" spans="1:61" s="151" customFormat="1" ht="108.75" customHeight="1">
      <c r="A126" s="139">
        <v>312</v>
      </c>
      <c r="B126" s="140" t="s">
        <v>462</v>
      </c>
      <c r="C126" s="139">
        <v>3</v>
      </c>
      <c r="D126" s="140" t="s">
        <v>211</v>
      </c>
      <c r="E126" s="139">
        <v>32</v>
      </c>
      <c r="F126" s="140" t="s">
        <v>226</v>
      </c>
      <c r="G126" s="139">
        <v>3205</v>
      </c>
      <c r="H126" s="140" t="s">
        <v>227</v>
      </c>
      <c r="I126" s="139">
        <v>3205</v>
      </c>
      <c r="J126" s="140" t="s">
        <v>228</v>
      </c>
      <c r="K126" s="140" t="s">
        <v>229</v>
      </c>
      <c r="L126" s="137" t="s">
        <v>610</v>
      </c>
      <c r="M126" s="140" t="s">
        <v>611</v>
      </c>
      <c r="N126" s="137" t="s">
        <v>610</v>
      </c>
      <c r="O126" s="140" t="s">
        <v>611</v>
      </c>
      <c r="P126" s="139" t="s">
        <v>612</v>
      </c>
      <c r="Q126" s="141" t="s">
        <v>613</v>
      </c>
      <c r="R126" s="139" t="s">
        <v>612</v>
      </c>
      <c r="S126" s="142" t="s">
        <v>613</v>
      </c>
      <c r="T126" s="299" t="s">
        <v>157</v>
      </c>
      <c r="U126" s="145">
        <v>20</v>
      </c>
      <c r="V126" s="145"/>
      <c r="W126" s="145">
        <f t="shared" si="14"/>
        <v>20</v>
      </c>
      <c r="X126" s="145">
        <v>0</v>
      </c>
      <c r="Y126" s="146">
        <v>2020003630030</v>
      </c>
      <c r="Z126" s="134" t="s">
        <v>608</v>
      </c>
      <c r="AA126" s="140" t="s">
        <v>609</v>
      </c>
      <c r="AB126" s="294"/>
      <c r="AC126" s="294"/>
      <c r="AD126" s="294"/>
      <c r="AE126" s="130"/>
      <c r="AF126" s="130"/>
      <c r="AG126" s="130"/>
      <c r="AH126" s="130"/>
      <c r="AI126" s="130"/>
      <c r="AJ126" s="130"/>
      <c r="AK126" s="130"/>
      <c r="AL126" s="130"/>
      <c r="AM126" s="130"/>
      <c r="AN126" s="130"/>
      <c r="AO126" s="130"/>
      <c r="AP126" s="130"/>
      <c r="AQ126" s="130"/>
      <c r="AR126" s="130"/>
      <c r="AS126" s="130"/>
      <c r="AT126" s="148">
        <v>20000000</v>
      </c>
      <c r="AU126" s="148">
        <v>2450000</v>
      </c>
      <c r="AV126" s="148"/>
      <c r="AW126" s="148"/>
      <c r="AX126" s="148"/>
      <c r="AY126" s="148"/>
      <c r="AZ126" s="148"/>
      <c r="BA126" s="148"/>
      <c r="BB126" s="148"/>
      <c r="BC126" s="148"/>
      <c r="BD126" s="148"/>
      <c r="BE126" s="148"/>
      <c r="BF126" s="138">
        <f t="shared" si="9"/>
        <v>20000000</v>
      </c>
      <c r="BG126" s="138">
        <f t="shared" si="10"/>
        <v>2450000</v>
      </c>
      <c r="BH126" s="138">
        <f t="shared" si="11"/>
        <v>0</v>
      </c>
      <c r="BI126" s="298" t="s">
        <v>9</v>
      </c>
    </row>
    <row r="127" spans="1:61" s="151" customFormat="1" ht="108.75" customHeight="1">
      <c r="A127" s="139">
        <v>312</v>
      </c>
      <c r="B127" s="140" t="s">
        <v>462</v>
      </c>
      <c r="C127" s="139">
        <v>3</v>
      </c>
      <c r="D127" s="140" t="s">
        <v>211</v>
      </c>
      <c r="E127" s="139">
        <v>32</v>
      </c>
      <c r="F127" s="140" t="s">
        <v>226</v>
      </c>
      <c r="G127" s="139">
        <v>3205</v>
      </c>
      <c r="H127" s="140" t="s">
        <v>227</v>
      </c>
      <c r="I127" s="139">
        <v>3205</v>
      </c>
      <c r="J127" s="140" t="s">
        <v>228</v>
      </c>
      <c r="K127" s="140" t="s">
        <v>229</v>
      </c>
      <c r="L127" s="137">
        <v>3205010</v>
      </c>
      <c r="M127" s="140" t="s">
        <v>230</v>
      </c>
      <c r="N127" s="137">
        <v>3205010</v>
      </c>
      <c r="O127" s="140" t="s">
        <v>230</v>
      </c>
      <c r="P127" s="139" t="s">
        <v>231</v>
      </c>
      <c r="Q127" s="141" t="s">
        <v>232</v>
      </c>
      <c r="R127" s="139">
        <v>320501000</v>
      </c>
      <c r="S127" s="142" t="s">
        <v>232</v>
      </c>
      <c r="T127" s="299" t="s">
        <v>157</v>
      </c>
      <c r="U127" s="145">
        <v>1</v>
      </c>
      <c r="V127" s="145">
        <v>1</v>
      </c>
      <c r="W127" s="145">
        <f t="shared" si="14"/>
        <v>2</v>
      </c>
      <c r="X127" s="145">
        <v>0</v>
      </c>
      <c r="Y127" s="146">
        <v>2020003630030</v>
      </c>
      <c r="Z127" s="134" t="s">
        <v>608</v>
      </c>
      <c r="AA127" s="140" t="s">
        <v>609</v>
      </c>
      <c r="AB127" s="294"/>
      <c r="AC127" s="294"/>
      <c r="AD127" s="294"/>
      <c r="AE127" s="130"/>
      <c r="AF127" s="130"/>
      <c r="AG127" s="130"/>
      <c r="AH127" s="130"/>
      <c r="AI127" s="130"/>
      <c r="AJ127" s="130"/>
      <c r="AK127" s="130"/>
      <c r="AL127" s="130"/>
      <c r="AM127" s="130"/>
      <c r="AN127" s="130"/>
      <c r="AO127" s="130"/>
      <c r="AP127" s="130"/>
      <c r="AQ127" s="130"/>
      <c r="AR127" s="130"/>
      <c r="AS127" s="130"/>
      <c r="AT127" s="148">
        <v>42000000</v>
      </c>
      <c r="AU127" s="148"/>
      <c r="AV127" s="148"/>
      <c r="AW127" s="148"/>
      <c r="AX127" s="148"/>
      <c r="AY127" s="148"/>
      <c r="AZ127" s="148"/>
      <c r="BA127" s="148"/>
      <c r="BB127" s="148"/>
      <c r="BC127" s="148"/>
      <c r="BD127" s="148"/>
      <c r="BE127" s="148"/>
      <c r="BF127" s="138">
        <f t="shared" si="9"/>
        <v>42000000</v>
      </c>
      <c r="BG127" s="138">
        <f t="shared" si="10"/>
        <v>0</v>
      </c>
      <c r="BH127" s="138">
        <f t="shared" si="11"/>
        <v>0</v>
      </c>
      <c r="BI127" s="298" t="s">
        <v>9</v>
      </c>
    </row>
    <row r="128" spans="1:61" s="151" customFormat="1" ht="108.75" customHeight="1">
      <c r="A128" s="139">
        <v>312</v>
      </c>
      <c r="B128" s="140" t="s">
        <v>462</v>
      </c>
      <c r="C128" s="139">
        <v>3</v>
      </c>
      <c r="D128" s="140" t="s">
        <v>211</v>
      </c>
      <c r="E128" s="139">
        <v>32</v>
      </c>
      <c r="F128" s="140" t="s">
        <v>226</v>
      </c>
      <c r="G128" s="139" t="s">
        <v>614</v>
      </c>
      <c r="H128" s="140" t="s">
        <v>615</v>
      </c>
      <c r="I128" s="139" t="s">
        <v>614</v>
      </c>
      <c r="J128" s="140" t="s">
        <v>616</v>
      </c>
      <c r="K128" s="140" t="s">
        <v>229</v>
      </c>
      <c r="L128" s="137" t="s">
        <v>617</v>
      </c>
      <c r="M128" s="140" t="s">
        <v>618</v>
      </c>
      <c r="N128" s="137" t="s">
        <v>617</v>
      </c>
      <c r="O128" s="140" t="s">
        <v>618</v>
      </c>
      <c r="P128" s="132" t="s">
        <v>619</v>
      </c>
      <c r="Q128" s="142" t="s">
        <v>620</v>
      </c>
      <c r="R128" s="132" t="s">
        <v>619</v>
      </c>
      <c r="S128" s="142" t="s">
        <v>620</v>
      </c>
      <c r="T128" s="299" t="s">
        <v>157</v>
      </c>
      <c r="U128" s="145">
        <v>4</v>
      </c>
      <c r="V128" s="145"/>
      <c r="W128" s="145">
        <f t="shared" si="14"/>
        <v>4</v>
      </c>
      <c r="X128" s="145">
        <v>0</v>
      </c>
      <c r="Y128" s="146">
        <v>2020003630088</v>
      </c>
      <c r="Z128" s="134" t="s">
        <v>621</v>
      </c>
      <c r="AA128" s="140" t="s">
        <v>622</v>
      </c>
      <c r="AB128" s="130"/>
      <c r="AC128" s="130"/>
      <c r="AD128" s="130"/>
      <c r="AE128" s="130"/>
      <c r="AF128" s="130"/>
      <c r="AG128" s="130"/>
      <c r="AH128" s="130"/>
      <c r="AI128" s="130"/>
      <c r="AJ128" s="130"/>
      <c r="AK128" s="130"/>
      <c r="AL128" s="130"/>
      <c r="AM128" s="130"/>
      <c r="AN128" s="130"/>
      <c r="AO128" s="130"/>
      <c r="AP128" s="130"/>
      <c r="AQ128" s="130"/>
      <c r="AR128" s="130"/>
      <c r="AS128" s="130"/>
      <c r="AT128" s="148">
        <f>25000000+7500000</f>
        <v>32500000</v>
      </c>
      <c r="AU128" s="148">
        <v>6300000</v>
      </c>
      <c r="AV128" s="148"/>
      <c r="AW128" s="148"/>
      <c r="AX128" s="148"/>
      <c r="AY128" s="148"/>
      <c r="AZ128" s="148"/>
      <c r="BA128" s="148"/>
      <c r="BB128" s="148"/>
      <c r="BC128" s="148"/>
      <c r="BD128" s="148"/>
      <c r="BE128" s="148"/>
      <c r="BF128" s="138">
        <f t="shared" si="9"/>
        <v>32500000</v>
      </c>
      <c r="BG128" s="138">
        <f t="shared" si="10"/>
        <v>6300000</v>
      </c>
      <c r="BH128" s="138">
        <f t="shared" si="11"/>
        <v>0</v>
      </c>
      <c r="BI128" s="298" t="s">
        <v>9</v>
      </c>
    </row>
    <row r="129" spans="1:61" s="151" customFormat="1" ht="108.75" customHeight="1">
      <c r="A129" s="139">
        <v>312</v>
      </c>
      <c r="B129" s="140" t="s">
        <v>462</v>
      </c>
      <c r="C129" s="139">
        <v>3</v>
      </c>
      <c r="D129" s="140" t="s">
        <v>211</v>
      </c>
      <c r="E129" s="139">
        <v>32</v>
      </c>
      <c r="F129" s="140" t="s">
        <v>226</v>
      </c>
      <c r="G129" s="139" t="s">
        <v>614</v>
      </c>
      <c r="H129" s="140" t="s">
        <v>615</v>
      </c>
      <c r="I129" s="139" t="s">
        <v>614</v>
      </c>
      <c r="J129" s="140" t="s">
        <v>616</v>
      </c>
      <c r="K129" s="140" t="s">
        <v>229</v>
      </c>
      <c r="L129" s="137">
        <v>3206014</v>
      </c>
      <c r="M129" s="140" t="s">
        <v>623</v>
      </c>
      <c r="N129" s="137">
        <v>3206014</v>
      </c>
      <c r="O129" s="140" t="s">
        <v>623</v>
      </c>
      <c r="P129" s="132" t="s">
        <v>624</v>
      </c>
      <c r="Q129" s="142" t="s">
        <v>625</v>
      </c>
      <c r="R129" s="132" t="s">
        <v>624</v>
      </c>
      <c r="S129" s="142" t="s">
        <v>625</v>
      </c>
      <c r="T129" s="299" t="s">
        <v>157</v>
      </c>
      <c r="U129" s="145">
        <v>2000</v>
      </c>
      <c r="V129" s="145"/>
      <c r="W129" s="145">
        <f t="shared" si="14"/>
        <v>2000</v>
      </c>
      <c r="X129" s="145">
        <v>1000</v>
      </c>
      <c r="Y129" s="146">
        <v>2020003630088</v>
      </c>
      <c r="Z129" s="134" t="s">
        <v>621</v>
      </c>
      <c r="AA129" s="140" t="s">
        <v>622</v>
      </c>
      <c r="AB129" s="130"/>
      <c r="AC129" s="130"/>
      <c r="AD129" s="130"/>
      <c r="AE129" s="130"/>
      <c r="AF129" s="130"/>
      <c r="AG129" s="130"/>
      <c r="AH129" s="130"/>
      <c r="AI129" s="130"/>
      <c r="AJ129" s="130"/>
      <c r="AK129" s="130"/>
      <c r="AL129" s="130"/>
      <c r="AM129" s="130"/>
      <c r="AN129" s="130"/>
      <c r="AO129" s="130"/>
      <c r="AP129" s="130"/>
      <c r="AQ129" s="130"/>
      <c r="AR129" s="130"/>
      <c r="AS129" s="130"/>
      <c r="AT129" s="148">
        <v>18000000</v>
      </c>
      <c r="AU129" s="148">
        <v>5900000</v>
      </c>
      <c r="AV129" s="148">
        <v>3200000</v>
      </c>
      <c r="AW129" s="148"/>
      <c r="AX129" s="148"/>
      <c r="AY129" s="148"/>
      <c r="AZ129" s="148"/>
      <c r="BA129" s="148"/>
      <c r="BB129" s="148"/>
      <c r="BC129" s="148"/>
      <c r="BD129" s="148"/>
      <c r="BE129" s="148"/>
      <c r="BF129" s="138">
        <f t="shared" si="9"/>
        <v>18000000</v>
      </c>
      <c r="BG129" s="138">
        <f t="shared" si="10"/>
        <v>5900000</v>
      </c>
      <c r="BH129" s="138">
        <f t="shared" si="11"/>
        <v>3200000</v>
      </c>
      <c r="BI129" s="298" t="s">
        <v>9</v>
      </c>
    </row>
    <row r="130" spans="1:61" s="151" customFormat="1" ht="108.75" customHeight="1">
      <c r="A130" s="139">
        <v>312</v>
      </c>
      <c r="B130" s="140" t="s">
        <v>462</v>
      </c>
      <c r="C130" s="139">
        <v>3</v>
      </c>
      <c r="D130" s="140" t="s">
        <v>211</v>
      </c>
      <c r="E130" s="139">
        <v>32</v>
      </c>
      <c r="F130" s="140" t="s">
        <v>226</v>
      </c>
      <c r="G130" s="139" t="s">
        <v>614</v>
      </c>
      <c r="H130" s="140" t="s">
        <v>615</v>
      </c>
      <c r="I130" s="139" t="s">
        <v>614</v>
      </c>
      <c r="J130" s="140" t="s">
        <v>616</v>
      </c>
      <c r="K130" s="140" t="s">
        <v>229</v>
      </c>
      <c r="L130" s="137" t="s">
        <v>626</v>
      </c>
      <c r="M130" s="140" t="s">
        <v>627</v>
      </c>
      <c r="N130" s="137" t="s">
        <v>626</v>
      </c>
      <c r="O130" s="140" t="s">
        <v>627</v>
      </c>
      <c r="P130" s="132" t="s">
        <v>628</v>
      </c>
      <c r="Q130" s="142" t="s">
        <v>629</v>
      </c>
      <c r="R130" s="132" t="s">
        <v>628</v>
      </c>
      <c r="S130" s="142" t="s">
        <v>629</v>
      </c>
      <c r="T130" s="299" t="s">
        <v>157</v>
      </c>
      <c r="U130" s="145">
        <v>50</v>
      </c>
      <c r="V130" s="145"/>
      <c r="W130" s="145">
        <f t="shared" si="14"/>
        <v>50</v>
      </c>
      <c r="X130" s="145">
        <v>0</v>
      </c>
      <c r="Y130" s="146">
        <v>2020003630088</v>
      </c>
      <c r="Z130" s="134" t="s">
        <v>621</v>
      </c>
      <c r="AA130" s="140" t="s">
        <v>622</v>
      </c>
      <c r="AB130" s="130"/>
      <c r="AC130" s="130"/>
      <c r="AD130" s="130"/>
      <c r="AE130" s="130"/>
      <c r="AF130" s="130"/>
      <c r="AG130" s="130"/>
      <c r="AH130" s="130"/>
      <c r="AI130" s="130"/>
      <c r="AJ130" s="130"/>
      <c r="AK130" s="130"/>
      <c r="AL130" s="130"/>
      <c r="AM130" s="130"/>
      <c r="AN130" s="130"/>
      <c r="AO130" s="130"/>
      <c r="AP130" s="130"/>
      <c r="AQ130" s="130"/>
      <c r="AR130" s="130"/>
      <c r="AS130" s="130"/>
      <c r="AT130" s="148">
        <v>75000000</v>
      </c>
      <c r="AU130" s="148"/>
      <c r="AV130" s="148"/>
      <c r="AW130" s="148"/>
      <c r="AX130" s="148"/>
      <c r="AY130" s="148"/>
      <c r="AZ130" s="148"/>
      <c r="BA130" s="148"/>
      <c r="BB130" s="148"/>
      <c r="BC130" s="148"/>
      <c r="BD130" s="148"/>
      <c r="BE130" s="148"/>
      <c r="BF130" s="138">
        <f t="shared" si="9"/>
        <v>75000000</v>
      </c>
      <c r="BG130" s="138">
        <f t="shared" si="10"/>
        <v>0</v>
      </c>
      <c r="BH130" s="138">
        <f t="shared" si="11"/>
        <v>0</v>
      </c>
      <c r="BI130" s="298" t="s">
        <v>9</v>
      </c>
    </row>
    <row r="131" spans="1:61" s="151" customFormat="1" ht="108.75" customHeight="1">
      <c r="A131" s="139">
        <v>313</v>
      </c>
      <c r="B131" s="140" t="s">
        <v>1423</v>
      </c>
      <c r="C131" s="139">
        <v>4</v>
      </c>
      <c r="D131" s="140" t="s">
        <v>59</v>
      </c>
      <c r="E131" s="139">
        <v>45</v>
      </c>
      <c r="F131" s="140" t="s">
        <v>60</v>
      </c>
      <c r="G131" s="139" t="s">
        <v>61</v>
      </c>
      <c r="H131" s="140" t="s">
        <v>62</v>
      </c>
      <c r="I131" s="139">
        <v>4599</v>
      </c>
      <c r="J131" s="140" t="s">
        <v>63</v>
      </c>
      <c r="K131" s="140" t="s">
        <v>64</v>
      </c>
      <c r="L131" s="139" t="s">
        <v>61</v>
      </c>
      <c r="M131" s="140" t="s">
        <v>630</v>
      </c>
      <c r="N131" s="139">
        <v>4599023</v>
      </c>
      <c r="O131" s="140" t="s">
        <v>131</v>
      </c>
      <c r="P131" s="139" t="s">
        <v>61</v>
      </c>
      <c r="Q131" s="142" t="s">
        <v>631</v>
      </c>
      <c r="R131" s="139">
        <v>459902304</v>
      </c>
      <c r="S131" s="142" t="s">
        <v>632</v>
      </c>
      <c r="T131" s="309" t="s">
        <v>69</v>
      </c>
      <c r="U131" s="309">
        <v>1</v>
      </c>
      <c r="V131" s="309"/>
      <c r="W131" s="309">
        <f>U131+V131</f>
        <v>1</v>
      </c>
      <c r="X131" s="310">
        <v>0.1</v>
      </c>
      <c r="Y131" s="278">
        <v>2021003630005</v>
      </c>
      <c r="Z131" s="140" t="s">
        <v>633</v>
      </c>
      <c r="AA131" s="140" t="s">
        <v>634</v>
      </c>
      <c r="AB131" s="130"/>
      <c r="AC131" s="130"/>
      <c r="AD131" s="130"/>
      <c r="AE131" s="130"/>
      <c r="AF131" s="130"/>
      <c r="AG131" s="130"/>
      <c r="AH131" s="130"/>
      <c r="AI131" s="130"/>
      <c r="AJ131" s="130"/>
      <c r="AK131" s="130"/>
      <c r="AL131" s="130"/>
      <c r="AM131" s="130"/>
      <c r="AN131" s="130"/>
      <c r="AO131" s="130"/>
      <c r="AP131" s="130"/>
      <c r="AQ131" s="130"/>
      <c r="AR131" s="130"/>
      <c r="AS131" s="130"/>
      <c r="AT131" s="135">
        <f>125243430+85000000+200000000</f>
        <v>410243430</v>
      </c>
      <c r="AU131" s="135">
        <v>141693430</v>
      </c>
      <c r="AV131" s="135">
        <v>59700000</v>
      </c>
      <c r="AW131" s="130"/>
      <c r="AX131" s="130"/>
      <c r="AY131" s="130"/>
      <c r="AZ131" s="130"/>
      <c r="BA131" s="130"/>
      <c r="BB131" s="130"/>
      <c r="BC131" s="130"/>
      <c r="BD131" s="130"/>
      <c r="BE131" s="130"/>
      <c r="BF131" s="138">
        <f t="shared" si="9"/>
        <v>410243430</v>
      </c>
      <c r="BG131" s="138">
        <f t="shared" si="10"/>
        <v>141693430</v>
      </c>
      <c r="BH131" s="138">
        <f t="shared" si="11"/>
        <v>59700000</v>
      </c>
      <c r="BI131" s="141" t="s">
        <v>1424</v>
      </c>
    </row>
    <row r="132" spans="1:61" s="150" customFormat="1" ht="108.75" customHeight="1">
      <c r="A132" s="139">
        <v>313</v>
      </c>
      <c r="B132" s="140" t="s">
        <v>1423</v>
      </c>
      <c r="C132" s="139">
        <v>4</v>
      </c>
      <c r="D132" s="140" t="s">
        <v>59</v>
      </c>
      <c r="E132" s="139">
        <v>45</v>
      </c>
      <c r="F132" s="140" t="s">
        <v>60</v>
      </c>
      <c r="G132" s="139" t="s">
        <v>61</v>
      </c>
      <c r="H132" s="140" t="s">
        <v>62</v>
      </c>
      <c r="I132" s="139">
        <v>4599</v>
      </c>
      <c r="J132" s="140" t="s">
        <v>63</v>
      </c>
      <c r="K132" s="140" t="s">
        <v>64</v>
      </c>
      <c r="L132" s="139" t="s">
        <v>61</v>
      </c>
      <c r="M132" s="140" t="s">
        <v>635</v>
      </c>
      <c r="N132" s="139">
        <v>4599029</v>
      </c>
      <c r="O132" s="140" t="s">
        <v>82</v>
      </c>
      <c r="P132" s="139" t="s">
        <v>61</v>
      </c>
      <c r="Q132" s="142" t="s">
        <v>636</v>
      </c>
      <c r="R132" s="292">
        <v>459902900</v>
      </c>
      <c r="S132" s="142" t="s">
        <v>84</v>
      </c>
      <c r="T132" s="309" t="s">
        <v>69</v>
      </c>
      <c r="U132" s="309">
        <v>1</v>
      </c>
      <c r="V132" s="309"/>
      <c r="W132" s="309">
        <f>U132+V132</f>
        <v>1</v>
      </c>
      <c r="X132" s="309">
        <v>0.06</v>
      </c>
      <c r="Y132" s="146">
        <v>2020003630090</v>
      </c>
      <c r="Z132" s="140" t="s">
        <v>637</v>
      </c>
      <c r="AA132" s="140" t="s">
        <v>638</v>
      </c>
      <c r="AB132" s="130"/>
      <c r="AC132" s="130"/>
      <c r="AD132" s="130"/>
      <c r="AE132" s="130"/>
      <c r="AF132" s="130"/>
      <c r="AG132" s="130"/>
      <c r="AH132" s="130"/>
      <c r="AI132" s="130"/>
      <c r="AJ132" s="130"/>
      <c r="AK132" s="130"/>
      <c r="AL132" s="130"/>
      <c r="AM132" s="130"/>
      <c r="AN132" s="130"/>
      <c r="AO132" s="130"/>
      <c r="AP132" s="130"/>
      <c r="AQ132" s="130"/>
      <c r="AR132" s="130"/>
      <c r="AS132" s="130"/>
      <c r="AT132" s="135">
        <f>300000000+620000000+270000000+513000000+340000000</f>
        <v>2043000000</v>
      </c>
      <c r="AU132" s="135">
        <v>374290000</v>
      </c>
      <c r="AV132" s="135">
        <v>124180000</v>
      </c>
      <c r="AW132" s="130"/>
      <c r="AX132" s="130"/>
      <c r="AY132" s="130"/>
      <c r="AZ132" s="130"/>
      <c r="BA132" s="130"/>
      <c r="BB132" s="130"/>
      <c r="BC132" s="130"/>
      <c r="BD132" s="130"/>
      <c r="BE132" s="130"/>
      <c r="BF132" s="138">
        <f t="shared" si="9"/>
        <v>2043000000</v>
      </c>
      <c r="BG132" s="138">
        <f t="shared" si="10"/>
        <v>374290000</v>
      </c>
      <c r="BH132" s="138">
        <f t="shared" si="11"/>
        <v>124180000</v>
      </c>
      <c r="BI132" s="141" t="s">
        <v>2</v>
      </c>
    </row>
    <row r="133" spans="1:61" s="151" customFormat="1" ht="108.75" customHeight="1">
      <c r="A133" s="139">
        <v>313</v>
      </c>
      <c r="B133" s="140" t="s">
        <v>1423</v>
      </c>
      <c r="C133" s="139">
        <v>4</v>
      </c>
      <c r="D133" s="140" t="s">
        <v>59</v>
      </c>
      <c r="E133" s="139">
        <v>45</v>
      </c>
      <c r="F133" s="140" t="s">
        <v>60</v>
      </c>
      <c r="G133" s="139">
        <v>4502</v>
      </c>
      <c r="H133" s="140" t="s">
        <v>78</v>
      </c>
      <c r="I133" s="139">
        <v>4502</v>
      </c>
      <c r="J133" s="140" t="s">
        <v>79</v>
      </c>
      <c r="K133" s="140" t="s">
        <v>80</v>
      </c>
      <c r="L133" s="139" t="s">
        <v>61</v>
      </c>
      <c r="M133" s="140" t="s">
        <v>639</v>
      </c>
      <c r="N133" s="139">
        <v>4502001</v>
      </c>
      <c r="O133" s="140" t="s">
        <v>90</v>
      </c>
      <c r="P133" s="139" t="s">
        <v>61</v>
      </c>
      <c r="Q133" s="142" t="s">
        <v>640</v>
      </c>
      <c r="R133" s="139">
        <v>450200100</v>
      </c>
      <c r="S133" s="142" t="s">
        <v>92</v>
      </c>
      <c r="T133" s="309" t="s">
        <v>69</v>
      </c>
      <c r="U133" s="145">
        <v>30</v>
      </c>
      <c r="V133" s="145"/>
      <c r="W133" s="309">
        <f>U133+V133</f>
        <v>30</v>
      </c>
      <c r="X133" s="309">
        <v>3</v>
      </c>
      <c r="Y133" s="146">
        <v>2020003630031</v>
      </c>
      <c r="Z133" s="140" t="s">
        <v>641</v>
      </c>
      <c r="AA133" s="140" t="s">
        <v>642</v>
      </c>
      <c r="AB133" s="280"/>
      <c r="AC133" s="280"/>
      <c r="AD133" s="280"/>
      <c r="AE133" s="280"/>
      <c r="AF133" s="280"/>
      <c r="AG133" s="280"/>
      <c r="AH133" s="280"/>
      <c r="AI133" s="280"/>
      <c r="AJ133" s="280"/>
      <c r="AK133" s="280"/>
      <c r="AL133" s="280"/>
      <c r="AM133" s="280"/>
      <c r="AN133" s="280"/>
      <c r="AO133" s="280"/>
      <c r="AP133" s="280"/>
      <c r="AQ133" s="280"/>
      <c r="AR133" s="280"/>
      <c r="AS133" s="280"/>
      <c r="AT133" s="135">
        <f>145000000+45000000+300000000</f>
        <v>490000000</v>
      </c>
      <c r="AU133" s="135">
        <v>174381570</v>
      </c>
      <c r="AV133" s="135">
        <v>51250000</v>
      </c>
      <c r="AW133" s="280"/>
      <c r="AX133" s="280"/>
      <c r="AY133" s="280"/>
      <c r="AZ133" s="280"/>
      <c r="BA133" s="280"/>
      <c r="BB133" s="280"/>
      <c r="BC133" s="280"/>
      <c r="BD133" s="280"/>
      <c r="BE133" s="280"/>
      <c r="BF133" s="138">
        <f t="shared" si="9"/>
        <v>490000000</v>
      </c>
      <c r="BG133" s="138">
        <f t="shared" si="10"/>
        <v>174381570</v>
      </c>
      <c r="BH133" s="138">
        <f t="shared" si="11"/>
        <v>51250000</v>
      </c>
      <c r="BI133" s="141" t="s">
        <v>2</v>
      </c>
    </row>
    <row r="134" spans="1:61" s="315" customFormat="1" ht="134.25" customHeight="1">
      <c r="A134" s="146">
        <v>313</v>
      </c>
      <c r="B134" s="261" t="s">
        <v>1423</v>
      </c>
      <c r="C134" s="146">
        <v>4</v>
      </c>
      <c r="D134" s="261" t="s">
        <v>59</v>
      </c>
      <c r="E134" s="146">
        <v>45</v>
      </c>
      <c r="F134" s="261" t="s">
        <v>60</v>
      </c>
      <c r="G134" s="146" t="s">
        <v>61</v>
      </c>
      <c r="H134" s="261" t="s">
        <v>62</v>
      </c>
      <c r="I134" s="146">
        <v>4599</v>
      </c>
      <c r="J134" s="261" t="s">
        <v>63</v>
      </c>
      <c r="K134" s="261" t="s">
        <v>64</v>
      </c>
      <c r="L134" s="146" t="s">
        <v>61</v>
      </c>
      <c r="M134" s="261" t="s">
        <v>630</v>
      </c>
      <c r="N134" s="146">
        <v>4599023</v>
      </c>
      <c r="O134" s="261" t="s">
        <v>131</v>
      </c>
      <c r="P134" s="146" t="s">
        <v>61</v>
      </c>
      <c r="Q134" s="261" t="s">
        <v>631</v>
      </c>
      <c r="R134" s="146">
        <v>459902304</v>
      </c>
      <c r="S134" s="261" t="s">
        <v>632</v>
      </c>
      <c r="T134" s="262" t="s">
        <v>69</v>
      </c>
      <c r="U134" s="146">
        <v>1</v>
      </c>
      <c r="V134" s="146"/>
      <c r="W134" s="146">
        <f>U134+V134</f>
        <v>1</v>
      </c>
      <c r="X134" s="263">
        <v>0.1</v>
      </c>
      <c r="Y134" s="146">
        <v>2022003630012</v>
      </c>
      <c r="Z134" s="311" t="s">
        <v>1459</v>
      </c>
      <c r="AA134" s="311" t="s">
        <v>1460</v>
      </c>
      <c r="AB134" s="312"/>
      <c r="AC134" s="312"/>
      <c r="AD134" s="312"/>
      <c r="AE134" s="312"/>
      <c r="AF134" s="312"/>
      <c r="AG134" s="312"/>
      <c r="AH134" s="312"/>
      <c r="AI134" s="312"/>
      <c r="AJ134" s="312"/>
      <c r="AK134" s="312"/>
      <c r="AL134" s="312"/>
      <c r="AM134" s="312"/>
      <c r="AN134" s="312"/>
      <c r="AO134" s="312"/>
      <c r="AP134" s="312"/>
      <c r="AQ134" s="312"/>
      <c r="AR134" s="312"/>
      <c r="AS134" s="312"/>
      <c r="AT134" s="135">
        <v>400000000</v>
      </c>
      <c r="AU134" s="135">
        <v>328563000</v>
      </c>
      <c r="AV134" s="313"/>
      <c r="AW134" s="312"/>
      <c r="AX134" s="312"/>
      <c r="AY134" s="312"/>
      <c r="AZ134" s="312"/>
      <c r="BA134" s="312"/>
      <c r="BB134" s="312"/>
      <c r="BC134" s="314"/>
      <c r="BD134" s="314"/>
      <c r="BE134" s="314"/>
      <c r="BF134" s="138">
        <f t="shared" si="9"/>
        <v>400000000</v>
      </c>
      <c r="BG134" s="138">
        <f t="shared" si="10"/>
        <v>328563000</v>
      </c>
      <c r="BH134" s="138">
        <f t="shared" si="11"/>
        <v>0</v>
      </c>
      <c r="BI134" s="141" t="s">
        <v>2</v>
      </c>
    </row>
    <row r="135" spans="1:61" s="151" customFormat="1" ht="94.5" customHeight="1">
      <c r="A135" s="139">
        <v>314</v>
      </c>
      <c r="B135" s="140" t="s">
        <v>643</v>
      </c>
      <c r="C135" s="139">
        <v>1</v>
      </c>
      <c r="D135" s="140" t="s">
        <v>148</v>
      </c>
      <c r="E135" s="139">
        <v>22</v>
      </c>
      <c r="F135" s="140" t="s">
        <v>160</v>
      </c>
      <c r="G135" s="139">
        <v>2201</v>
      </c>
      <c r="H135" s="140" t="s">
        <v>297</v>
      </c>
      <c r="I135" s="139">
        <v>2201</v>
      </c>
      <c r="J135" s="140" t="s">
        <v>162</v>
      </c>
      <c r="K135" s="140" t="s">
        <v>644</v>
      </c>
      <c r="L135" s="139">
        <v>2201030</v>
      </c>
      <c r="M135" s="140" t="s">
        <v>645</v>
      </c>
      <c r="N135" s="139">
        <v>2201030</v>
      </c>
      <c r="O135" s="140" t="s">
        <v>645</v>
      </c>
      <c r="P135" s="295">
        <v>220103000</v>
      </c>
      <c r="Q135" s="142" t="s">
        <v>646</v>
      </c>
      <c r="R135" s="295">
        <v>220103000</v>
      </c>
      <c r="S135" s="142" t="s">
        <v>646</v>
      </c>
      <c r="T135" s="145" t="s">
        <v>69</v>
      </c>
      <c r="U135" s="145">
        <v>2500</v>
      </c>
      <c r="V135" s="145"/>
      <c r="W135" s="145">
        <f>U135+V135</f>
        <v>2500</v>
      </c>
      <c r="X135" s="145">
        <v>2082</v>
      </c>
      <c r="Y135" s="146">
        <v>2020003630091</v>
      </c>
      <c r="Z135" s="140" t="s">
        <v>647</v>
      </c>
      <c r="AA135" s="140" t="s">
        <v>648</v>
      </c>
      <c r="AB135" s="130"/>
      <c r="AC135" s="130"/>
      <c r="AD135" s="130"/>
      <c r="AE135" s="130">
        <v>0</v>
      </c>
      <c r="AF135" s="130"/>
      <c r="AG135" s="130"/>
      <c r="AH135" s="130"/>
      <c r="AI135" s="130"/>
      <c r="AJ135" s="130"/>
      <c r="AK135" s="130"/>
      <c r="AL135" s="130"/>
      <c r="AM135" s="130"/>
      <c r="AN135" s="130">
        <f>1343000000-5000000+49044112-134564967+110813949</f>
        <v>1363293094</v>
      </c>
      <c r="AO135" s="130">
        <v>598010000</v>
      </c>
      <c r="AP135" s="130">
        <v>121480000</v>
      </c>
      <c r="AQ135" s="130"/>
      <c r="AR135" s="130"/>
      <c r="AS135" s="130"/>
      <c r="AT135" s="135">
        <v>0</v>
      </c>
      <c r="AU135" s="135"/>
      <c r="AV135" s="135"/>
      <c r="AW135" s="130"/>
      <c r="AX135" s="130"/>
      <c r="AY135" s="130"/>
      <c r="AZ135" s="130"/>
      <c r="BA135" s="130"/>
      <c r="BB135" s="130"/>
      <c r="BC135" s="130">
        <v>0</v>
      </c>
      <c r="BD135" s="130"/>
      <c r="BE135" s="130"/>
      <c r="BF135" s="138">
        <f t="shared" si="9"/>
        <v>1363293094</v>
      </c>
      <c r="BG135" s="138">
        <f t="shared" si="10"/>
        <v>598010000</v>
      </c>
      <c r="BH135" s="138">
        <f t="shared" si="11"/>
        <v>121480000</v>
      </c>
      <c r="BI135" s="149" t="s">
        <v>5</v>
      </c>
    </row>
    <row r="136" spans="1:61" s="151" customFormat="1" ht="94.5" customHeight="1">
      <c r="A136" s="139">
        <v>314</v>
      </c>
      <c r="B136" s="140" t="s">
        <v>643</v>
      </c>
      <c r="C136" s="139">
        <v>1</v>
      </c>
      <c r="D136" s="140" t="s">
        <v>148</v>
      </c>
      <c r="E136" s="139">
        <v>22</v>
      </c>
      <c r="F136" s="140" t="s">
        <v>160</v>
      </c>
      <c r="G136" s="139">
        <v>2201</v>
      </c>
      <c r="H136" s="140" t="s">
        <v>297</v>
      </c>
      <c r="I136" s="139">
        <v>2201</v>
      </c>
      <c r="J136" s="140" t="s">
        <v>162</v>
      </c>
      <c r="K136" s="140" t="s">
        <v>649</v>
      </c>
      <c r="L136" s="139">
        <v>2201033</v>
      </c>
      <c r="M136" s="140" t="s">
        <v>650</v>
      </c>
      <c r="N136" s="139">
        <v>2201033</v>
      </c>
      <c r="O136" s="140" t="s">
        <v>650</v>
      </c>
      <c r="P136" s="295">
        <v>220103300</v>
      </c>
      <c r="Q136" s="142" t="s">
        <v>651</v>
      </c>
      <c r="R136" s="295">
        <v>220103300</v>
      </c>
      <c r="S136" s="142" t="s">
        <v>651</v>
      </c>
      <c r="T136" s="145" t="s">
        <v>157</v>
      </c>
      <c r="U136" s="145">
        <v>9000</v>
      </c>
      <c r="V136" s="145"/>
      <c r="W136" s="145">
        <f t="shared" ref="W136:W170" si="15">U136+V136</f>
        <v>9000</v>
      </c>
      <c r="X136" s="145">
        <v>0</v>
      </c>
      <c r="Y136" s="146">
        <v>2020003630091</v>
      </c>
      <c r="Z136" s="140" t="s">
        <v>647</v>
      </c>
      <c r="AA136" s="140" t="s">
        <v>648</v>
      </c>
      <c r="AB136" s="130"/>
      <c r="AC136" s="130"/>
      <c r="AD136" s="130"/>
      <c r="AE136" s="130">
        <v>0</v>
      </c>
      <c r="AF136" s="130"/>
      <c r="AG136" s="130"/>
      <c r="AH136" s="130"/>
      <c r="AI136" s="130"/>
      <c r="AJ136" s="130"/>
      <c r="AK136" s="130"/>
      <c r="AL136" s="130"/>
      <c r="AM136" s="130"/>
      <c r="AN136" s="130">
        <v>0</v>
      </c>
      <c r="AO136" s="130"/>
      <c r="AP136" s="130"/>
      <c r="AQ136" s="130"/>
      <c r="AR136" s="130"/>
      <c r="AS136" s="130"/>
      <c r="AT136" s="135">
        <f>25000000-10000000</f>
        <v>15000000</v>
      </c>
      <c r="AU136" s="135">
        <v>7350000</v>
      </c>
      <c r="AV136" s="135"/>
      <c r="AW136" s="130"/>
      <c r="AX136" s="130"/>
      <c r="AY136" s="130"/>
      <c r="AZ136" s="130"/>
      <c r="BA136" s="130"/>
      <c r="BB136" s="130"/>
      <c r="BC136" s="130">
        <v>0</v>
      </c>
      <c r="BD136" s="130"/>
      <c r="BE136" s="130"/>
      <c r="BF136" s="138">
        <f t="shared" ref="BF136:BF199" si="16">AB136+AE136+AH136+AK136+AN136+AQ136+AT136+AW136+BC136+AZ136</f>
        <v>15000000</v>
      </c>
      <c r="BG136" s="138">
        <f t="shared" ref="BG136:BG199" si="17">AC136+AF136+AI136+AL136+AO136+AR136+AU136+AX136+BD136+BA136</f>
        <v>7350000</v>
      </c>
      <c r="BH136" s="138">
        <f t="shared" ref="BH136:BH199" si="18">AD136+AG136+AJ136+AM136+AP136+AS136+AV136+AY136+BE136+BB136</f>
        <v>0</v>
      </c>
      <c r="BI136" s="149" t="s">
        <v>5</v>
      </c>
    </row>
    <row r="137" spans="1:61" s="151" customFormat="1" ht="99" customHeight="1">
      <c r="A137" s="139">
        <v>314</v>
      </c>
      <c r="B137" s="140" t="s">
        <v>643</v>
      </c>
      <c r="C137" s="139">
        <v>1</v>
      </c>
      <c r="D137" s="140" t="s">
        <v>148</v>
      </c>
      <c r="E137" s="139">
        <v>22</v>
      </c>
      <c r="F137" s="140" t="s">
        <v>160</v>
      </c>
      <c r="G137" s="139">
        <v>2201</v>
      </c>
      <c r="H137" s="140" t="s">
        <v>297</v>
      </c>
      <c r="I137" s="139">
        <v>2201</v>
      </c>
      <c r="J137" s="140" t="s">
        <v>162</v>
      </c>
      <c r="K137" s="140" t="s">
        <v>652</v>
      </c>
      <c r="L137" s="139">
        <v>2201032</v>
      </c>
      <c r="M137" s="140" t="s">
        <v>653</v>
      </c>
      <c r="N137" s="139">
        <v>2201032</v>
      </c>
      <c r="O137" s="140" t="s">
        <v>653</v>
      </c>
      <c r="P137" s="137">
        <v>220103200</v>
      </c>
      <c r="Q137" s="142" t="s">
        <v>654</v>
      </c>
      <c r="R137" s="137">
        <v>220103200</v>
      </c>
      <c r="S137" s="142" t="s">
        <v>654</v>
      </c>
      <c r="T137" s="145" t="s">
        <v>157</v>
      </c>
      <c r="U137" s="145">
        <v>200</v>
      </c>
      <c r="V137" s="145"/>
      <c r="W137" s="145">
        <f t="shared" si="15"/>
        <v>200</v>
      </c>
      <c r="X137" s="145">
        <v>198</v>
      </c>
      <c r="Y137" s="146">
        <v>2020003630091</v>
      </c>
      <c r="Z137" s="140" t="s">
        <v>647</v>
      </c>
      <c r="AA137" s="140" t="s">
        <v>648</v>
      </c>
      <c r="AB137" s="130"/>
      <c r="AC137" s="130"/>
      <c r="AD137" s="130"/>
      <c r="AE137" s="130">
        <v>0</v>
      </c>
      <c r="AF137" s="130"/>
      <c r="AG137" s="130"/>
      <c r="AH137" s="130"/>
      <c r="AI137" s="130"/>
      <c r="AJ137" s="130"/>
      <c r="AK137" s="130"/>
      <c r="AL137" s="130"/>
      <c r="AM137" s="130"/>
      <c r="AN137" s="130">
        <v>0</v>
      </c>
      <c r="AO137" s="130"/>
      <c r="AP137" s="130"/>
      <c r="AQ137" s="130"/>
      <c r="AR137" s="130"/>
      <c r="AS137" s="130"/>
      <c r="AT137" s="135">
        <v>5000000</v>
      </c>
      <c r="AU137" s="135">
        <v>5000000</v>
      </c>
      <c r="AV137" s="135"/>
      <c r="AW137" s="130"/>
      <c r="AX137" s="130"/>
      <c r="AY137" s="130"/>
      <c r="AZ137" s="130"/>
      <c r="BA137" s="130"/>
      <c r="BB137" s="130"/>
      <c r="BC137" s="130">
        <v>0</v>
      </c>
      <c r="BD137" s="130"/>
      <c r="BE137" s="130"/>
      <c r="BF137" s="138">
        <f t="shared" si="16"/>
        <v>5000000</v>
      </c>
      <c r="BG137" s="138">
        <f t="shared" si="17"/>
        <v>5000000</v>
      </c>
      <c r="BH137" s="138">
        <f t="shared" si="18"/>
        <v>0</v>
      </c>
      <c r="BI137" s="149" t="s">
        <v>5</v>
      </c>
    </row>
    <row r="138" spans="1:61" s="151" customFormat="1" ht="99" customHeight="1">
      <c r="A138" s="139">
        <v>314</v>
      </c>
      <c r="B138" s="140" t="s">
        <v>643</v>
      </c>
      <c r="C138" s="139">
        <v>1</v>
      </c>
      <c r="D138" s="140" t="s">
        <v>148</v>
      </c>
      <c r="E138" s="139">
        <v>22</v>
      </c>
      <c r="F138" s="140" t="s">
        <v>160</v>
      </c>
      <c r="G138" s="139">
        <v>2201</v>
      </c>
      <c r="H138" s="140" t="s">
        <v>297</v>
      </c>
      <c r="I138" s="139">
        <v>2201</v>
      </c>
      <c r="J138" s="140" t="s">
        <v>162</v>
      </c>
      <c r="K138" s="140" t="s">
        <v>655</v>
      </c>
      <c r="L138" s="139">
        <v>2201055</v>
      </c>
      <c r="M138" s="140" t="s">
        <v>656</v>
      </c>
      <c r="N138" s="139">
        <v>2201055</v>
      </c>
      <c r="O138" s="140" t="s">
        <v>656</v>
      </c>
      <c r="P138" s="295">
        <v>220105500</v>
      </c>
      <c r="Q138" s="142" t="s">
        <v>657</v>
      </c>
      <c r="R138" s="295">
        <v>220105500</v>
      </c>
      <c r="S138" s="142" t="s">
        <v>657</v>
      </c>
      <c r="T138" s="145" t="s">
        <v>69</v>
      </c>
      <c r="U138" s="145">
        <v>1</v>
      </c>
      <c r="V138" s="145"/>
      <c r="W138" s="145">
        <f t="shared" si="15"/>
        <v>1</v>
      </c>
      <c r="X138" s="145">
        <v>0</v>
      </c>
      <c r="Y138" s="146">
        <v>2020003630091</v>
      </c>
      <c r="Z138" s="134" t="s">
        <v>647</v>
      </c>
      <c r="AA138" s="140" t="s">
        <v>648</v>
      </c>
      <c r="AB138" s="130"/>
      <c r="AC138" s="130"/>
      <c r="AD138" s="130"/>
      <c r="AE138" s="130">
        <v>0</v>
      </c>
      <c r="AF138" s="130"/>
      <c r="AG138" s="130"/>
      <c r="AH138" s="130"/>
      <c r="AI138" s="130"/>
      <c r="AJ138" s="130"/>
      <c r="AK138" s="130"/>
      <c r="AL138" s="130"/>
      <c r="AM138" s="130"/>
      <c r="AN138" s="130">
        <f>60000000-39338851+1828007</f>
        <v>22489156</v>
      </c>
      <c r="AO138" s="130"/>
      <c r="AP138" s="130"/>
      <c r="AQ138" s="130"/>
      <c r="AR138" s="130"/>
      <c r="AS138" s="130"/>
      <c r="AT138" s="135">
        <v>0</v>
      </c>
      <c r="AU138" s="135"/>
      <c r="AV138" s="135"/>
      <c r="AW138" s="130"/>
      <c r="AX138" s="130"/>
      <c r="AY138" s="130"/>
      <c r="AZ138" s="130"/>
      <c r="BA138" s="130"/>
      <c r="BB138" s="130"/>
      <c r="BC138" s="130">
        <v>0</v>
      </c>
      <c r="BD138" s="130"/>
      <c r="BE138" s="130"/>
      <c r="BF138" s="138">
        <f t="shared" si="16"/>
        <v>22489156</v>
      </c>
      <c r="BG138" s="138">
        <f t="shared" si="17"/>
        <v>0</v>
      </c>
      <c r="BH138" s="138">
        <f t="shared" si="18"/>
        <v>0</v>
      </c>
      <c r="BI138" s="149" t="s">
        <v>5</v>
      </c>
    </row>
    <row r="139" spans="1:61" s="151" customFormat="1" ht="99" customHeight="1">
      <c r="A139" s="139">
        <v>314</v>
      </c>
      <c r="B139" s="140" t="s">
        <v>643</v>
      </c>
      <c r="C139" s="139">
        <v>1</v>
      </c>
      <c r="D139" s="140" t="s">
        <v>148</v>
      </c>
      <c r="E139" s="139">
        <v>22</v>
      </c>
      <c r="F139" s="140" t="s">
        <v>160</v>
      </c>
      <c r="G139" s="139">
        <v>2201</v>
      </c>
      <c r="H139" s="140" t="s">
        <v>297</v>
      </c>
      <c r="I139" s="139">
        <v>2201</v>
      </c>
      <c r="J139" s="140" t="s">
        <v>162</v>
      </c>
      <c r="K139" s="140" t="s">
        <v>658</v>
      </c>
      <c r="L139" s="139">
        <v>2201067</v>
      </c>
      <c r="M139" s="140" t="s">
        <v>659</v>
      </c>
      <c r="N139" s="139">
        <v>2201067</v>
      </c>
      <c r="O139" s="140" t="s">
        <v>659</v>
      </c>
      <c r="P139" s="137">
        <v>220106700</v>
      </c>
      <c r="Q139" s="142" t="s">
        <v>660</v>
      </c>
      <c r="R139" s="137">
        <v>220106700</v>
      </c>
      <c r="S139" s="142" t="s">
        <v>660</v>
      </c>
      <c r="T139" s="145" t="s">
        <v>69</v>
      </c>
      <c r="U139" s="145">
        <v>54</v>
      </c>
      <c r="V139" s="145"/>
      <c r="W139" s="145">
        <f t="shared" si="15"/>
        <v>54</v>
      </c>
      <c r="X139" s="145">
        <v>15</v>
      </c>
      <c r="Y139" s="146">
        <v>2020003630091</v>
      </c>
      <c r="Z139" s="134" t="s">
        <v>647</v>
      </c>
      <c r="AA139" s="140" t="s">
        <v>648</v>
      </c>
      <c r="AB139" s="130"/>
      <c r="AC139" s="130"/>
      <c r="AD139" s="130"/>
      <c r="AE139" s="130">
        <v>0</v>
      </c>
      <c r="AF139" s="130"/>
      <c r="AG139" s="130"/>
      <c r="AH139" s="130"/>
      <c r="AI139" s="130"/>
      <c r="AJ139" s="130"/>
      <c r="AK139" s="130"/>
      <c r="AL139" s="130"/>
      <c r="AM139" s="130"/>
      <c r="AN139" s="130">
        <v>0</v>
      </c>
      <c r="AO139" s="130"/>
      <c r="AP139" s="130"/>
      <c r="AQ139" s="130"/>
      <c r="AR139" s="130"/>
      <c r="AS139" s="130"/>
      <c r="AT139" s="135">
        <v>10000000</v>
      </c>
      <c r="AU139" s="135">
        <v>10000000</v>
      </c>
      <c r="AV139" s="135"/>
      <c r="AW139" s="130"/>
      <c r="AX139" s="130"/>
      <c r="AY139" s="130"/>
      <c r="AZ139" s="130"/>
      <c r="BA139" s="130"/>
      <c r="BB139" s="130"/>
      <c r="BC139" s="130">
        <v>0</v>
      </c>
      <c r="BD139" s="130"/>
      <c r="BE139" s="130"/>
      <c r="BF139" s="138">
        <f t="shared" si="16"/>
        <v>10000000</v>
      </c>
      <c r="BG139" s="138">
        <f t="shared" si="17"/>
        <v>10000000</v>
      </c>
      <c r="BH139" s="138">
        <f t="shared" si="18"/>
        <v>0</v>
      </c>
      <c r="BI139" s="149" t="s">
        <v>5</v>
      </c>
    </row>
    <row r="140" spans="1:61" s="151" customFormat="1" ht="96" customHeight="1">
      <c r="A140" s="139">
        <v>314</v>
      </c>
      <c r="B140" s="140" t="s">
        <v>643</v>
      </c>
      <c r="C140" s="139">
        <v>1</v>
      </c>
      <c r="D140" s="140" t="s">
        <v>148</v>
      </c>
      <c r="E140" s="139">
        <v>22</v>
      </c>
      <c r="F140" s="140" t="s">
        <v>160</v>
      </c>
      <c r="G140" s="139">
        <v>2201</v>
      </c>
      <c r="H140" s="140" t="s">
        <v>297</v>
      </c>
      <c r="I140" s="139">
        <v>2201</v>
      </c>
      <c r="J140" s="140" t="s">
        <v>162</v>
      </c>
      <c r="K140" s="140" t="s">
        <v>658</v>
      </c>
      <c r="L140" s="139">
        <v>2201028</v>
      </c>
      <c r="M140" s="140" t="s">
        <v>661</v>
      </c>
      <c r="N140" s="139">
        <v>2201028</v>
      </c>
      <c r="O140" s="140" t="s">
        <v>661</v>
      </c>
      <c r="P140" s="295">
        <v>220102801</v>
      </c>
      <c r="Q140" s="142" t="s">
        <v>662</v>
      </c>
      <c r="R140" s="295">
        <v>220102801</v>
      </c>
      <c r="S140" s="142" t="s">
        <v>662</v>
      </c>
      <c r="T140" s="145" t="s">
        <v>69</v>
      </c>
      <c r="U140" s="145">
        <v>36000</v>
      </c>
      <c r="V140" s="145"/>
      <c r="W140" s="145">
        <f t="shared" si="15"/>
        <v>36000</v>
      </c>
      <c r="X140" s="145">
        <v>26419</v>
      </c>
      <c r="Y140" s="146">
        <v>2020003630091</v>
      </c>
      <c r="Z140" s="140" t="s">
        <v>647</v>
      </c>
      <c r="AA140" s="140" t="s">
        <v>648</v>
      </c>
      <c r="AB140" s="130"/>
      <c r="AC140" s="130"/>
      <c r="AD140" s="130"/>
      <c r="AE140" s="130">
        <v>0</v>
      </c>
      <c r="AF140" s="130"/>
      <c r="AG140" s="130"/>
      <c r="AH140" s="130"/>
      <c r="AI140" s="130"/>
      <c r="AJ140" s="130"/>
      <c r="AK140" s="130"/>
      <c r="AL140" s="130"/>
      <c r="AM140" s="130"/>
      <c r="AN140" s="138">
        <v>0</v>
      </c>
      <c r="AO140" s="138"/>
      <c r="AP140" s="138"/>
      <c r="AQ140" s="130"/>
      <c r="AR140" s="130"/>
      <c r="AS140" s="130"/>
      <c r="AT140" s="135">
        <f>150000000+5000000000+126966033</f>
        <v>5276966033</v>
      </c>
      <c r="AU140" s="135">
        <v>4939154711</v>
      </c>
      <c r="AV140" s="135">
        <v>42150000</v>
      </c>
      <c r="AW140" s="138"/>
      <c r="AX140" s="138"/>
      <c r="AY140" s="138"/>
      <c r="AZ140" s="138"/>
      <c r="BA140" s="138"/>
      <c r="BB140" s="138"/>
      <c r="BC140" s="138">
        <f>9236000000+10000000+55159599.4+639676314.25</f>
        <v>9940835913.6499996</v>
      </c>
      <c r="BD140" s="138">
        <v>6862357011.4399996</v>
      </c>
      <c r="BE140" s="138">
        <v>18000000</v>
      </c>
      <c r="BF140" s="138">
        <f t="shared" si="16"/>
        <v>15217801946.65</v>
      </c>
      <c r="BG140" s="138">
        <f t="shared" si="17"/>
        <v>11801511722.439999</v>
      </c>
      <c r="BH140" s="138">
        <f t="shared" si="18"/>
        <v>60150000</v>
      </c>
      <c r="BI140" s="149" t="s">
        <v>5</v>
      </c>
    </row>
    <row r="141" spans="1:61" s="151" customFormat="1" ht="91.5" customHeight="1">
      <c r="A141" s="139">
        <v>314</v>
      </c>
      <c r="B141" s="140" t="s">
        <v>643</v>
      </c>
      <c r="C141" s="139">
        <v>1</v>
      </c>
      <c r="D141" s="140" t="s">
        <v>148</v>
      </c>
      <c r="E141" s="139">
        <v>22</v>
      </c>
      <c r="F141" s="140" t="s">
        <v>160</v>
      </c>
      <c r="G141" s="139">
        <v>2201</v>
      </c>
      <c r="H141" s="140" t="s">
        <v>297</v>
      </c>
      <c r="I141" s="139">
        <v>2201</v>
      </c>
      <c r="J141" s="140" t="s">
        <v>162</v>
      </c>
      <c r="K141" s="140" t="s">
        <v>658</v>
      </c>
      <c r="L141" s="139">
        <v>2201029</v>
      </c>
      <c r="M141" s="140" t="s">
        <v>663</v>
      </c>
      <c r="N141" s="139">
        <v>2201029</v>
      </c>
      <c r="O141" s="140" t="s">
        <v>663</v>
      </c>
      <c r="P141" s="295">
        <v>220102900</v>
      </c>
      <c r="Q141" s="142" t="s">
        <v>664</v>
      </c>
      <c r="R141" s="295">
        <v>220102900</v>
      </c>
      <c r="S141" s="142" t="s">
        <v>664</v>
      </c>
      <c r="T141" s="145" t="s">
        <v>157</v>
      </c>
      <c r="U141" s="145">
        <v>1500</v>
      </c>
      <c r="V141" s="145">
        <v>203</v>
      </c>
      <c r="W141" s="145">
        <f t="shared" si="15"/>
        <v>1703</v>
      </c>
      <c r="X141" s="145">
        <v>0</v>
      </c>
      <c r="Y141" s="146">
        <v>2020003630091</v>
      </c>
      <c r="Z141" s="140" t="s">
        <v>647</v>
      </c>
      <c r="AA141" s="140" t="s">
        <v>648</v>
      </c>
      <c r="AB141" s="130"/>
      <c r="AC141" s="130"/>
      <c r="AD141" s="130"/>
      <c r="AE141" s="290">
        <f>50000000+100000000</f>
        <v>150000000</v>
      </c>
      <c r="AF141" s="290"/>
      <c r="AG141" s="290"/>
      <c r="AH141" s="130"/>
      <c r="AI141" s="130"/>
      <c r="AJ141" s="130"/>
      <c r="AK141" s="130"/>
      <c r="AL141" s="130"/>
      <c r="AM141" s="130"/>
      <c r="AN141" s="130">
        <v>0</v>
      </c>
      <c r="AO141" s="130"/>
      <c r="AP141" s="130"/>
      <c r="AQ141" s="130"/>
      <c r="AR141" s="130"/>
      <c r="AS141" s="130"/>
      <c r="AT141" s="135">
        <f>336694046-100000000+818832641</f>
        <v>1055526687</v>
      </c>
      <c r="AU141" s="135"/>
      <c r="AV141" s="135"/>
      <c r="AW141" s="130"/>
      <c r="AX141" s="130"/>
      <c r="AY141" s="130"/>
      <c r="AZ141" s="130"/>
      <c r="BA141" s="130"/>
      <c r="BB141" s="130"/>
      <c r="BC141" s="130">
        <v>0</v>
      </c>
      <c r="BD141" s="130"/>
      <c r="BE141" s="130"/>
      <c r="BF141" s="138">
        <f t="shared" si="16"/>
        <v>1205526687</v>
      </c>
      <c r="BG141" s="138">
        <f t="shared" si="17"/>
        <v>0</v>
      </c>
      <c r="BH141" s="138">
        <f t="shared" si="18"/>
        <v>0</v>
      </c>
      <c r="BI141" s="149" t="s">
        <v>5</v>
      </c>
    </row>
    <row r="142" spans="1:61" s="151" customFormat="1" ht="76.5">
      <c r="A142" s="139">
        <v>314</v>
      </c>
      <c r="B142" s="140" t="s">
        <v>643</v>
      </c>
      <c r="C142" s="139">
        <v>1</v>
      </c>
      <c r="D142" s="140" t="s">
        <v>148</v>
      </c>
      <c r="E142" s="139">
        <v>22</v>
      </c>
      <c r="F142" s="140" t="s">
        <v>160</v>
      </c>
      <c r="G142" s="139">
        <v>2201</v>
      </c>
      <c r="H142" s="140" t="s">
        <v>297</v>
      </c>
      <c r="I142" s="139">
        <v>2201</v>
      </c>
      <c r="J142" s="140" t="s">
        <v>162</v>
      </c>
      <c r="K142" s="140" t="s">
        <v>163</v>
      </c>
      <c r="L142" s="139" t="s">
        <v>61</v>
      </c>
      <c r="M142" s="140" t="s">
        <v>665</v>
      </c>
      <c r="N142" s="139">
        <v>2201062</v>
      </c>
      <c r="O142" s="140" t="s">
        <v>165</v>
      </c>
      <c r="P142" s="139" t="s">
        <v>61</v>
      </c>
      <c r="Q142" s="142" t="s">
        <v>166</v>
      </c>
      <c r="R142" s="139">
        <v>220106200</v>
      </c>
      <c r="S142" s="141" t="s">
        <v>666</v>
      </c>
      <c r="T142" s="145" t="s">
        <v>157</v>
      </c>
      <c r="U142" s="139">
        <v>15</v>
      </c>
      <c r="V142" s="139"/>
      <c r="W142" s="145">
        <f t="shared" si="15"/>
        <v>15</v>
      </c>
      <c r="X142" s="145">
        <v>0</v>
      </c>
      <c r="Y142" s="146">
        <v>2020003630091</v>
      </c>
      <c r="Z142" s="140" t="s">
        <v>647</v>
      </c>
      <c r="AA142" s="140" t="s">
        <v>648</v>
      </c>
      <c r="AB142" s="130"/>
      <c r="AC142" s="130"/>
      <c r="AD142" s="130"/>
      <c r="AE142" s="130">
        <v>0</v>
      </c>
      <c r="AF142" s="130"/>
      <c r="AG142" s="130"/>
      <c r="AH142" s="130"/>
      <c r="AI142" s="130"/>
      <c r="AJ142" s="130"/>
      <c r="AK142" s="130"/>
      <c r="AL142" s="130"/>
      <c r="AM142" s="130"/>
      <c r="AN142" s="130">
        <v>0</v>
      </c>
      <c r="AO142" s="130"/>
      <c r="AP142" s="130"/>
      <c r="AQ142" s="130"/>
      <c r="AR142" s="130"/>
      <c r="AS142" s="130"/>
      <c r="AT142" s="135">
        <f>30000000-20000000</f>
        <v>10000000</v>
      </c>
      <c r="AU142" s="135">
        <v>10000000</v>
      </c>
      <c r="AV142" s="135"/>
      <c r="AW142" s="130"/>
      <c r="AX142" s="130"/>
      <c r="AY142" s="130"/>
      <c r="AZ142" s="130"/>
      <c r="BA142" s="130"/>
      <c r="BB142" s="130"/>
      <c r="BC142" s="130">
        <v>0</v>
      </c>
      <c r="BD142" s="130"/>
      <c r="BE142" s="130"/>
      <c r="BF142" s="138">
        <f t="shared" si="16"/>
        <v>10000000</v>
      </c>
      <c r="BG142" s="138">
        <f t="shared" si="17"/>
        <v>10000000</v>
      </c>
      <c r="BH142" s="138">
        <f t="shared" si="18"/>
        <v>0</v>
      </c>
      <c r="BI142" s="149" t="s">
        <v>5</v>
      </c>
    </row>
    <row r="143" spans="1:61" s="151" customFormat="1" ht="91.5" customHeight="1">
      <c r="A143" s="139">
        <v>314</v>
      </c>
      <c r="B143" s="140" t="s">
        <v>643</v>
      </c>
      <c r="C143" s="139">
        <v>1</v>
      </c>
      <c r="D143" s="140" t="s">
        <v>148</v>
      </c>
      <c r="E143" s="139">
        <v>22</v>
      </c>
      <c r="F143" s="140" t="s">
        <v>160</v>
      </c>
      <c r="G143" s="139">
        <v>2201</v>
      </c>
      <c r="H143" s="140" t="s">
        <v>297</v>
      </c>
      <c r="I143" s="139">
        <v>2201</v>
      </c>
      <c r="J143" s="140" t="s">
        <v>162</v>
      </c>
      <c r="K143" s="140" t="s">
        <v>667</v>
      </c>
      <c r="L143" s="139">
        <v>2201063</v>
      </c>
      <c r="M143" s="140" t="s">
        <v>668</v>
      </c>
      <c r="N143" s="139">
        <v>2201063</v>
      </c>
      <c r="O143" s="140" t="s">
        <v>668</v>
      </c>
      <c r="P143" s="137">
        <v>220106300</v>
      </c>
      <c r="Q143" s="142" t="s">
        <v>669</v>
      </c>
      <c r="R143" s="137">
        <v>220106300</v>
      </c>
      <c r="S143" s="141" t="s">
        <v>669</v>
      </c>
      <c r="T143" s="145" t="s">
        <v>157</v>
      </c>
      <c r="U143" s="145">
        <v>1</v>
      </c>
      <c r="V143" s="145"/>
      <c r="W143" s="145">
        <f t="shared" si="15"/>
        <v>1</v>
      </c>
      <c r="X143" s="145">
        <v>0</v>
      </c>
      <c r="Y143" s="146">
        <v>2020003630091</v>
      </c>
      <c r="Z143" s="134" t="s">
        <v>647</v>
      </c>
      <c r="AA143" s="140" t="s">
        <v>648</v>
      </c>
      <c r="AB143" s="130"/>
      <c r="AC143" s="130"/>
      <c r="AD143" s="130"/>
      <c r="AE143" s="130">
        <v>0</v>
      </c>
      <c r="AF143" s="130"/>
      <c r="AG143" s="130"/>
      <c r="AH143" s="130"/>
      <c r="AI143" s="130"/>
      <c r="AJ143" s="130"/>
      <c r="AK143" s="130"/>
      <c r="AL143" s="130"/>
      <c r="AM143" s="130"/>
      <c r="AN143" s="130">
        <v>0</v>
      </c>
      <c r="AO143" s="130"/>
      <c r="AP143" s="130"/>
      <c r="AQ143" s="130"/>
      <c r="AR143" s="130"/>
      <c r="AS143" s="130"/>
      <c r="AT143" s="135">
        <v>20000000</v>
      </c>
      <c r="AU143" s="135">
        <v>10400000</v>
      </c>
      <c r="AV143" s="135"/>
      <c r="AW143" s="130"/>
      <c r="AX143" s="130"/>
      <c r="AY143" s="130"/>
      <c r="AZ143" s="130"/>
      <c r="BA143" s="130"/>
      <c r="BB143" s="130"/>
      <c r="BC143" s="130">
        <v>0</v>
      </c>
      <c r="BD143" s="130"/>
      <c r="BE143" s="130"/>
      <c r="BF143" s="138">
        <f t="shared" si="16"/>
        <v>20000000</v>
      </c>
      <c r="BG143" s="138">
        <f t="shared" si="17"/>
        <v>10400000</v>
      </c>
      <c r="BH143" s="138">
        <f t="shared" si="18"/>
        <v>0</v>
      </c>
      <c r="BI143" s="149" t="s">
        <v>5</v>
      </c>
    </row>
    <row r="144" spans="1:61" s="151" customFormat="1" ht="94.5" customHeight="1">
      <c r="A144" s="139">
        <v>314</v>
      </c>
      <c r="B144" s="140" t="s">
        <v>643</v>
      </c>
      <c r="C144" s="139">
        <v>1</v>
      </c>
      <c r="D144" s="140" t="s">
        <v>148</v>
      </c>
      <c r="E144" s="139">
        <v>22</v>
      </c>
      <c r="F144" s="140" t="s">
        <v>160</v>
      </c>
      <c r="G144" s="139">
        <v>2201</v>
      </c>
      <c r="H144" s="140" t="s">
        <v>297</v>
      </c>
      <c r="I144" s="139">
        <v>2201</v>
      </c>
      <c r="J144" s="140" t="s">
        <v>162</v>
      </c>
      <c r="K144" s="140" t="s">
        <v>667</v>
      </c>
      <c r="L144" s="139">
        <v>2201069</v>
      </c>
      <c r="M144" s="140" t="s">
        <v>670</v>
      </c>
      <c r="N144" s="139">
        <v>2201069</v>
      </c>
      <c r="O144" s="140" t="s">
        <v>670</v>
      </c>
      <c r="P144" s="137">
        <v>220106900</v>
      </c>
      <c r="Q144" s="142" t="s">
        <v>671</v>
      </c>
      <c r="R144" s="137">
        <v>220106900</v>
      </c>
      <c r="S144" s="142" t="s">
        <v>671</v>
      </c>
      <c r="T144" s="145" t="s">
        <v>157</v>
      </c>
      <c r="U144" s="145">
        <v>4</v>
      </c>
      <c r="V144" s="145"/>
      <c r="W144" s="145">
        <f t="shared" si="15"/>
        <v>4</v>
      </c>
      <c r="X144" s="145">
        <v>0</v>
      </c>
      <c r="Y144" s="146">
        <v>2020003630091</v>
      </c>
      <c r="Z144" s="134" t="s">
        <v>647</v>
      </c>
      <c r="AA144" s="140" t="s">
        <v>648</v>
      </c>
      <c r="AB144" s="130"/>
      <c r="AC144" s="130"/>
      <c r="AD144" s="130"/>
      <c r="AE144" s="130">
        <v>0</v>
      </c>
      <c r="AF144" s="130"/>
      <c r="AG144" s="130"/>
      <c r="AH144" s="130"/>
      <c r="AI144" s="130"/>
      <c r="AJ144" s="130"/>
      <c r="AK144" s="130"/>
      <c r="AL144" s="130"/>
      <c r="AM144" s="130"/>
      <c r="AN144" s="130">
        <f>5000000+237414950.55</f>
        <v>242414950.55000001</v>
      </c>
      <c r="AO144" s="130"/>
      <c r="AP144" s="130"/>
      <c r="AQ144" s="130"/>
      <c r="AR144" s="130"/>
      <c r="AS144" s="130"/>
      <c r="AT144" s="135">
        <f>20000000-16000000</f>
        <v>4000000</v>
      </c>
      <c r="AU144" s="135"/>
      <c r="AV144" s="135"/>
      <c r="AW144" s="130"/>
      <c r="AX144" s="130"/>
      <c r="AY144" s="130"/>
      <c r="AZ144" s="130"/>
      <c r="BA144" s="130"/>
      <c r="BB144" s="130"/>
      <c r="BC144" s="130">
        <v>0</v>
      </c>
      <c r="BD144" s="130"/>
      <c r="BE144" s="130"/>
      <c r="BF144" s="138">
        <f t="shared" si="16"/>
        <v>246414950.55000001</v>
      </c>
      <c r="BG144" s="138">
        <f t="shared" si="17"/>
        <v>0</v>
      </c>
      <c r="BH144" s="138">
        <f t="shared" si="18"/>
        <v>0</v>
      </c>
      <c r="BI144" s="149" t="s">
        <v>5</v>
      </c>
    </row>
    <row r="145" spans="1:61" s="151" customFormat="1" ht="98.25" customHeight="1">
      <c r="A145" s="139">
        <v>314</v>
      </c>
      <c r="B145" s="140" t="s">
        <v>643</v>
      </c>
      <c r="C145" s="139">
        <v>1</v>
      </c>
      <c r="D145" s="140" t="s">
        <v>148</v>
      </c>
      <c r="E145" s="139">
        <v>22</v>
      </c>
      <c r="F145" s="140" t="s">
        <v>160</v>
      </c>
      <c r="G145" s="139">
        <v>2201</v>
      </c>
      <c r="H145" s="140" t="s">
        <v>297</v>
      </c>
      <c r="I145" s="139">
        <v>2201</v>
      </c>
      <c r="J145" s="140" t="s">
        <v>162</v>
      </c>
      <c r="K145" s="140" t="s">
        <v>672</v>
      </c>
      <c r="L145" s="139">
        <v>2201018</v>
      </c>
      <c r="M145" s="140" t="s">
        <v>673</v>
      </c>
      <c r="N145" s="139">
        <v>2201018</v>
      </c>
      <c r="O145" s="140" t="s">
        <v>673</v>
      </c>
      <c r="P145" s="137">
        <v>220101802</v>
      </c>
      <c r="Q145" s="142" t="s">
        <v>674</v>
      </c>
      <c r="R145" s="137">
        <v>220101802</v>
      </c>
      <c r="S145" s="142" t="s">
        <v>674</v>
      </c>
      <c r="T145" s="145" t="s">
        <v>69</v>
      </c>
      <c r="U145" s="145">
        <v>1</v>
      </c>
      <c r="V145" s="145"/>
      <c r="W145" s="145">
        <f t="shared" si="15"/>
        <v>1</v>
      </c>
      <c r="X145" s="145">
        <v>1</v>
      </c>
      <c r="Y145" s="146">
        <v>2020003630092</v>
      </c>
      <c r="Z145" s="141" t="s">
        <v>675</v>
      </c>
      <c r="AA145" s="140" t="s">
        <v>676</v>
      </c>
      <c r="AB145" s="130"/>
      <c r="AC145" s="130"/>
      <c r="AD145" s="130"/>
      <c r="AE145" s="130">
        <v>0</v>
      </c>
      <c r="AF145" s="130"/>
      <c r="AG145" s="130"/>
      <c r="AH145" s="130"/>
      <c r="AI145" s="130"/>
      <c r="AJ145" s="130"/>
      <c r="AK145" s="130"/>
      <c r="AL145" s="130"/>
      <c r="AM145" s="130"/>
      <c r="AN145" s="130">
        <v>0</v>
      </c>
      <c r="AO145" s="130"/>
      <c r="AP145" s="130"/>
      <c r="AQ145" s="130"/>
      <c r="AR145" s="130"/>
      <c r="AS145" s="130"/>
      <c r="AT145" s="135">
        <v>5000000</v>
      </c>
      <c r="AU145" s="135">
        <v>5000000</v>
      </c>
      <c r="AV145" s="135">
        <v>5000000</v>
      </c>
      <c r="AW145" s="130"/>
      <c r="AX145" s="130"/>
      <c r="AY145" s="130"/>
      <c r="AZ145" s="130"/>
      <c r="BA145" s="130"/>
      <c r="BB145" s="130"/>
      <c r="BC145" s="130">
        <v>0</v>
      </c>
      <c r="BD145" s="130"/>
      <c r="BE145" s="130"/>
      <c r="BF145" s="138">
        <f t="shared" si="16"/>
        <v>5000000</v>
      </c>
      <c r="BG145" s="138">
        <f t="shared" si="17"/>
        <v>5000000</v>
      </c>
      <c r="BH145" s="138">
        <f t="shared" si="18"/>
        <v>5000000</v>
      </c>
      <c r="BI145" s="149" t="s">
        <v>5</v>
      </c>
    </row>
    <row r="146" spans="1:61" s="151" customFormat="1" ht="98.25" customHeight="1">
      <c r="A146" s="139">
        <v>314</v>
      </c>
      <c r="B146" s="140" t="s">
        <v>643</v>
      </c>
      <c r="C146" s="139">
        <v>1</v>
      </c>
      <c r="D146" s="140" t="s">
        <v>148</v>
      </c>
      <c r="E146" s="139">
        <v>22</v>
      </c>
      <c r="F146" s="140" t="s">
        <v>160</v>
      </c>
      <c r="G146" s="139">
        <v>2201</v>
      </c>
      <c r="H146" s="140" t="s">
        <v>297</v>
      </c>
      <c r="I146" s="139">
        <v>2201</v>
      </c>
      <c r="J146" s="140" t="s">
        <v>162</v>
      </c>
      <c r="K146" s="140" t="s">
        <v>677</v>
      </c>
      <c r="L146" s="139">
        <v>2201037</v>
      </c>
      <c r="M146" s="140" t="s">
        <v>678</v>
      </c>
      <c r="N146" s="139">
        <v>2201037</v>
      </c>
      <c r="O146" s="140" t="s">
        <v>678</v>
      </c>
      <c r="P146" s="295">
        <v>220103700</v>
      </c>
      <c r="Q146" s="142" t="s">
        <v>679</v>
      </c>
      <c r="R146" s="295">
        <v>220103700</v>
      </c>
      <c r="S146" s="142" t="s">
        <v>679</v>
      </c>
      <c r="T146" s="145" t="s">
        <v>69</v>
      </c>
      <c r="U146" s="145">
        <v>54</v>
      </c>
      <c r="V146" s="145"/>
      <c r="W146" s="145">
        <f t="shared" si="15"/>
        <v>54</v>
      </c>
      <c r="X146" s="145">
        <v>54</v>
      </c>
      <c r="Y146" s="146">
        <v>2020003630092</v>
      </c>
      <c r="Z146" s="141" t="s">
        <v>675</v>
      </c>
      <c r="AA146" s="140" t="s">
        <v>676</v>
      </c>
      <c r="AB146" s="130"/>
      <c r="AC146" s="130"/>
      <c r="AD146" s="130"/>
      <c r="AE146" s="130">
        <v>0</v>
      </c>
      <c r="AF146" s="130"/>
      <c r="AG146" s="130"/>
      <c r="AH146" s="130"/>
      <c r="AI146" s="130"/>
      <c r="AJ146" s="130"/>
      <c r="AK146" s="130"/>
      <c r="AL146" s="130"/>
      <c r="AM146" s="130"/>
      <c r="AN146" s="130">
        <v>0</v>
      </c>
      <c r="AO146" s="130"/>
      <c r="AP146" s="130"/>
      <c r="AQ146" s="130"/>
      <c r="AR146" s="130"/>
      <c r="AS146" s="130"/>
      <c r="AT146" s="135">
        <v>10000000</v>
      </c>
      <c r="AU146" s="135">
        <v>4600000</v>
      </c>
      <c r="AV146" s="135">
        <v>1400000</v>
      </c>
      <c r="AW146" s="130"/>
      <c r="AX146" s="130"/>
      <c r="AY146" s="130"/>
      <c r="AZ146" s="130"/>
      <c r="BA146" s="130"/>
      <c r="BB146" s="130"/>
      <c r="BC146" s="130">
        <v>0</v>
      </c>
      <c r="BD146" s="130"/>
      <c r="BE146" s="130"/>
      <c r="BF146" s="138">
        <f t="shared" si="16"/>
        <v>10000000</v>
      </c>
      <c r="BG146" s="138">
        <f t="shared" si="17"/>
        <v>4600000</v>
      </c>
      <c r="BH146" s="138">
        <f t="shared" si="18"/>
        <v>1400000</v>
      </c>
      <c r="BI146" s="149" t="s">
        <v>5</v>
      </c>
    </row>
    <row r="147" spans="1:61" s="151" customFormat="1" ht="148.5" customHeight="1">
      <c r="A147" s="139">
        <v>314</v>
      </c>
      <c r="B147" s="140" t="s">
        <v>643</v>
      </c>
      <c r="C147" s="139">
        <v>1</v>
      </c>
      <c r="D147" s="140" t="s">
        <v>148</v>
      </c>
      <c r="E147" s="139">
        <v>22</v>
      </c>
      <c r="F147" s="140" t="s">
        <v>160</v>
      </c>
      <c r="G147" s="139">
        <v>2201</v>
      </c>
      <c r="H147" s="140" t="s">
        <v>297</v>
      </c>
      <c r="I147" s="139">
        <v>2201</v>
      </c>
      <c r="J147" s="140" t="s">
        <v>162</v>
      </c>
      <c r="K147" s="140" t="s">
        <v>680</v>
      </c>
      <c r="L147" s="139">
        <v>2201007</v>
      </c>
      <c r="M147" s="140" t="s">
        <v>681</v>
      </c>
      <c r="N147" s="139">
        <v>2201073</v>
      </c>
      <c r="O147" s="140" t="s">
        <v>681</v>
      </c>
      <c r="P147" s="139">
        <v>220100700</v>
      </c>
      <c r="Q147" s="142" t="s">
        <v>682</v>
      </c>
      <c r="R147" s="137">
        <v>220107300</v>
      </c>
      <c r="S147" s="142" t="s">
        <v>682</v>
      </c>
      <c r="T147" s="145" t="s">
        <v>157</v>
      </c>
      <c r="U147" s="145">
        <v>7973</v>
      </c>
      <c r="V147" s="145"/>
      <c r="W147" s="145">
        <f t="shared" si="15"/>
        <v>7973</v>
      </c>
      <c r="X147" s="145">
        <v>0</v>
      </c>
      <c r="Y147" s="146">
        <v>2020003630093</v>
      </c>
      <c r="Z147" s="260" t="s">
        <v>683</v>
      </c>
      <c r="AA147" s="260" t="s">
        <v>684</v>
      </c>
      <c r="AB147" s="130"/>
      <c r="AC147" s="130"/>
      <c r="AD147" s="130"/>
      <c r="AE147" s="130">
        <v>0</v>
      </c>
      <c r="AF147" s="130"/>
      <c r="AG147" s="130"/>
      <c r="AH147" s="130"/>
      <c r="AI147" s="130"/>
      <c r="AJ147" s="130"/>
      <c r="AK147" s="130"/>
      <c r="AL147" s="130"/>
      <c r="AM147" s="130"/>
      <c r="AN147" s="130">
        <v>0</v>
      </c>
      <c r="AO147" s="130"/>
      <c r="AP147" s="130"/>
      <c r="AQ147" s="130"/>
      <c r="AR147" s="130"/>
      <c r="AS147" s="130"/>
      <c r="AT147" s="135">
        <v>20000000</v>
      </c>
      <c r="AU147" s="135"/>
      <c r="AV147" s="135"/>
      <c r="AW147" s="130"/>
      <c r="AX147" s="130"/>
      <c r="AY147" s="130"/>
      <c r="AZ147" s="130"/>
      <c r="BA147" s="130"/>
      <c r="BB147" s="130"/>
      <c r="BC147" s="130">
        <v>0</v>
      </c>
      <c r="BD147" s="130"/>
      <c r="BE147" s="130"/>
      <c r="BF147" s="138">
        <f t="shared" si="16"/>
        <v>20000000</v>
      </c>
      <c r="BG147" s="138">
        <f t="shared" si="17"/>
        <v>0</v>
      </c>
      <c r="BH147" s="138">
        <f t="shared" si="18"/>
        <v>0</v>
      </c>
      <c r="BI147" s="149" t="s">
        <v>5</v>
      </c>
    </row>
    <row r="148" spans="1:61" s="151" customFormat="1" ht="98.25" customHeight="1">
      <c r="A148" s="139">
        <v>314</v>
      </c>
      <c r="B148" s="140" t="s">
        <v>643</v>
      </c>
      <c r="C148" s="139">
        <v>1</v>
      </c>
      <c r="D148" s="140" t="s">
        <v>148</v>
      </c>
      <c r="E148" s="139">
        <v>22</v>
      </c>
      <c r="F148" s="140" t="s">
        <v>160</v>
      </c>
      <c r="G148" s="139">
        <v>2201</v>
      </c>
      <c r="H148" s="140" t="s">
        <v>297</v>
      </c>
      <c r="I148" s="139">
        <v>2201</v>
      </c>
      <c r="J148" s="140" t="s">
        <v>162</v>
      </c>
      <c r="K148" s="140" t="s">
        <v>685</v>
      </c>
      <c r="L148" s="139">
        <v>2201068</v>
      </c>
      <c r="M148" s="140" t="s">
        <v>299</v>
      </c>
      <c r="N148" s="139">
        <v>2201068</v>
      </c>
      <c r="O148" s="140" t="s">
        <v>299</v>
      </c>
      <c r="P148" s="295">
        <v>220106800</v>
      </c>
      <c r="Q148" s="142" t="s">
        <v>300</v>
      </c>
      <c r="R148" s="295">
        <v>220106800</v>
      </c>
      <c r="S148" s="142" t="s">
        <v>300</v>
      </c>
      <c r="T148" s="145" t="s">
        <v>157</v>
      </c>
      <c r="U148" s="139">
        <v>72</v>
      </c>
      <c r="V148" s="139"/>
      <c r="W148" s="145">
        <f t="shared" si="15"/>
        <v>72</v>
      </c>
      <c r="X148" s="145">
        <v>18</v>
      </c>
      <c r="Y148" s="146">
        <v>2020003630093</v>
      </c>
      <c r="Z148" s="260" t="s">
        <v>683</v>
      </c>
      <c r="AA148" s="260" t="s">
        <v>684</v>
      </c>
      <c r="AB148" s="130"/>
      <c r="AC148" s="130"/>
      <c r="AD148" s="130"/>
      <c r="AE148" s="130">
        <v>0</v>
      </c>
      <c r="AF148" s="130"/>
      <c r="AG148" s="130"/>
      <c r="AH148" s="130"/>
      <c r="AI148" s="130"/>
      <c r="AJ148" s="130"/>
      <c r="AK148" s="130"/>
      <c r="AL148" s="130"/>
      <c r="AM148" s="130"/>
      <c r="AN148" s="130">
        <v>0</v>
      </c>
      <c r="AO148" s="130"/>
      <c r="AP148" s="130"/>
      <c r="AQ148" s="130"/>
      <c r="AR148" s="130"/>
      <c r="AS148" s="130"/>
      <c r="AT148" s="135">
        <v>18000000</v>
      </c>
      <c r="AU148" s="135">
        <v>17972800</v>
      </c>
      <c r="AV148" s="135">
        <v>17972800</v>
      </c>
      <c r="AW148" s="130"/>
      <c r="AX148" s="130"/>
      <c r="AY148" s="130"/>
      <c r="AZ148" s="130"/>
      <c r="BA148" s="130"/>
      <c r="BB148" s="130"/>
      <c r="BC148" s="130">
        <v>0</v>
      </c>
      <c r="BD148" s="130"/>
      <c r="BE148" s="130"/>
      <c r="BF148" s="138">
        <f t="shared" si="16"/>
        <v>18000000</v>
      </c>
      <c r="BG148" s="138">
        <f t="shared" si="17"/>
        <v>17972800</v>
      </c>
      <c r="BH148" s="138">
        <f t="shared" si="18"/>
        <v>17972800</v>
      </c>
      <c r="BI148" s="149" t="s">
        <v>5</v>
      </c>
    </row>
    <row r="149" spans="1:61" s="151" customFormat="1" ht="97.5" customHeight="1">
      <c r="A149" s="139">
        <v>314</v>
      </c>
      <c r="B149" s="140" t="s">
        <v>643</v>
      </c>
      <c r="C149" s="139">
        <v>1</v>
      </c>
      <c r="D149" s="140" t="s">
        <v>148</v>
      </c>
      <c r="E149" s="139">
        <v>22</v>
      </c>
      <c r="F149" s="140" t="s">
        <v>160</v>
      </c>
      <c r="G149" s="139">
        <v>2201</v>
      </c>
      <c r="H149" s="140" t="s">
        <v>297</v>
      </c>
      <c r="I149" s="139">
        <v>2201</v>
      </c>
      <c r="J149" s="140" t="s">
        <v>162</v>
      </c>
      <c r="K149" s="140" t="s">
        <v>667</v>
      </c>
      <c r="L149" s="139">
        <v>2201026</v>
      </c>
      <c r="M149" s="140" t="s">
        <v>686</v>
      </c>
      <c r="N149" s="139">
        <v>2201026</v>
      </c>
      <c r="O149" s="140" t="s">
        <v>686</v>
      </c>
      <c r="P149" s="295">
        <v>220102600</v>
      </c>
      <c r="Q149" s="142" t="s">
        <v>687</v>
      </c>
      <c r="R149" s="295">
        <v>220102600</v>
      </c>
      <c r="S149" s="142" t="s">
        <v>687</v>
      </c>
      <c r="T149" s="145" t="s">
        <v>157</v>
      </c>
      <c r="U149" s="145">
        <v>10</v>
      </c>
      <c r="V149" s="145"/>
      <c r="W149" s="145">
        <f t="shared" si="15"/>
        <v>10</v>
      </c>
      <c r="X149" s="145">
        <v>0</v>
      </c>
      <c r="Y149" s="146">
        <v>2020003630093</v>
      </c>
      <c r="Z149" s="260" t="s">
        <v>683</v>
      </c>
      <c r="AA149" s="260" t="s">
        <v>684</v>
      </c>
      <c r="AB149" s="130"/>
      <c r="AC149" s="130"/>
      <c r="AD149" s="130"/>
      <c r="AE149" s="130">
        <v>0</v>
      </c>
      <c r="AF149" s="130"/>
      <c r="AG149" s="130"/>
      <c r="AH149" s="130"/>
      <c r="AI149" s="130"/>
      <c r="AJ149" s="130"/>
      <c r="AK149" s="130"/>
      <c r="AL149" s="130"/>
      <c r="AM149" s="130"/>
      <c r="AN149" s="130">
        <f>5000000+714862+505627</f>
        <v>6220489</v>
      </c>
      <c r="AO149" s="130"/>
      <c r="AP149" s="130"/>
      <c r="AQ149" s="130"/>
      <c r="AR149" s="130"/>
      <c r="AS149" s="130"/>
      <c r="AT149" s="135">
        <f>35000000-14000000</f>
        <v>21000000</v>
      </c>
      <c r="AU149" s="135"/>
      <c r="AV149" s="135"/>
      <c r="AW149" s="130"/>
      <c r="AX149" s="130"/>
      <c r="AY149" s="130"/>
      <c r="AZ149" s="130"/>
      <c r="BA149" s="130"/>
      <c r="BB149" s="130"/>
      <c r="BC149" s="130">
        <v>0</v>
      </c>
      <c r="BD149" s="130"/>
      <c r="BE149" s="130"/>
      <c r="BF149" s="138">
        <f t="shared" si="16"/>
        <v>27220489</v>
      </c>
      <c r="BG149" s="138">
        <f t="shared" si="17"/>
        <v>0</v>
      </c>
      <c r="BH149" s="138">
        <f t="shared" si="18"/>
        <v>0</v>
      </c>
      <c r="BI149" s="149" t="s">
        <v>5</v>
      </c>
    </row>
    <row r="150" spans="1:61" s="151" customFormat="1" ht="156.75" customHeight="1">
      <c r="A150" s="139">
        <v>314</v>
      </c>
      <c r="B150" s="140" t="s">
        <v>643</v>
      </c>
      <c r="C150" s="139">
        <v>1</v>
      </c>
      <c r="D150" s="140" t="s">
        <v>148</v>
      </c>
      <c r="E150" s="139">
        <v>22</v>
      </c>
      <c r="F150" s="140" t="s">
        <v>160</v>
      </c>
      <c r="G150" s="139">
        <v>2201</v>
      </c>
      <c r="H150" s="140" t="s">
        <v>297</v>
      </c>
      <c r="I150" s="139">
        <v>2201</v>
      </c>
      <c r="J150" s="140" t="s">
        <v>162</v>
      </c>
      <c r="K150" s="140" t="s">
        <v>680</v>
      </c>
      <c r="L150" s="139">
        <v>2201009</v>
      </c>
      <c r="M150" s="140" t="s">
        <v>688</v>
      </c>
      <c r="N150" s="139">
        <v>2201074</v>
      </c>
      <c r="O150" s="140" t="s">
        <v>688</v>
      </c>
      <c r="P150" s="139">
        <v>220100900</v>
      </c>
      <c r="Q150" s="142" t="s">
        <v>689</v>
      </c>
      <c r="R150" s="137">
        <v>220107400</v>
      </c>
      <c r="S150" s="142" t="s">
        <v>690</v>
      </c>
      <c r="T150" s="145" t="s">
        <v>157</v>
      </c>
      <c r="U150" s="145">
        <v>604</v>
      </c>
      <c r="V150" s="145"/>
      <c r="W150" s="145">
        <f t="shared" si="15"/>
        <v>604</v>
      </c>
      <c r="X150" s="145">
        <v>0</v>
      </c>
      <c r="Y150" s="146">
        <v>2020003630093</v>
      </c>
      <c r="Z150" s="260" t="s">
        <v>683</v>
      </c>
      <c r="AA150" s="260" t="s">
        <v>684</v>
      </c>
      <c r="AB150" s="130"/>
      <c r="AC150" s="130"/>
      <c r="AD150" s="130"/>
      <c r="AE150" s="130">
        <v>0</v>
      </c>
      <c r="AF150" s="130"/>
      <c r="AG150" s="130"/>
      <c r="AH150" s="130"/>
      <c r="AI150" s="130"/>
      <c r="AJ150" s="130"/>
      <c r="AK150" s="130"/>
      <c r="AL150" s="130"/>
      <c r="AM150" s="130"/>
      <c r="AN150" s="130">
        <v>0</v>
      </c>
      <c r="AO150" s="130"/>
      <c r="AP150" s="130"/>
      <c r="AQ150" s="130"/>
      <c r="AR150" s="130"/>
      <c r="AS150" s="130"/>
      <c r="AT150" s="135">
        <v>20000000</v>
      </c>
      <c r="AU150" s="135"/>
      <c r="AV150" s="135"/>
      <c r="AW150" s="130"/>
      <c r="AX150" s="130"/>
      <c r="AY150" s="130"/>
      <c r="AZ150" s="130"/>
      <c r="BA150" s="130"/>
      <c r="BB150" s="130"/>
      <c r="BC150" s="130">
        <v>0</v>
      </c>
      <c r="BD150" s="130"/>
      <c r="BE150" s="130"/>
      <c r="BF150" s="138">
        <f t="shared" si="16"/>
        <v>20000000</v>
      </c>
      <c r="BG150" s="138">
        <f t="shared" si="17"/>
        <v>0</v>
      </c>
      <c r="BH150" s="138">
        <f t="shared" si="18"/>
        <v>0</v>
      </c>
      <c r="BI150" s="149" t="s">
        <v>5</v>
      </c>
    </row>
    <row r="151" spans="1:61" s="151" customFormat="1" ht="145.5" customHeight="1">
      <c r="A151" s="139">
        <v>314</v>
      </c>
      <c r="B151" s="140" t="s">
        <v>643</v>
      </c>
      <c r="C151" s="139">
        <v>1</v>
      </c>
      <c r="D151" s="140" t="s">
        <v>148</v>
      </c>
      <c r="E151" s="139">
        <v>22</v>
      </c>
      <c r="F151" s="140" t="s">
        <v>160</v>
      </c>
      <c r="G151" s="139">
        <v>2201</v>
      </c>
      <c r="H151" s="140" t="s">
        <v>297</v>
      </c>
      <c r="I151" s="139">
        <v>2201</v>
      </c>
      <c r="J151" s="140" t="s">
        <v>162</v>
      </c>
      <c r="K151" s="140" t="s">
        <v>680</v>
      </c>
      <c r="L151" s="139">
        <v>2201010</v>
      </c>
      <c r="M151" s="140" t="s">
        <v>691</v>
      </c>
      <c r="N151" s="139">
        <v>2201074</v>
      </c>
      <c r="O151" s="140" t="s">
        <v>692</v>
      </c>
      <c r="P151" s="139">
        <v>220101000</v>
      </c>
      <c r="Q151" s="142" t="s">
        <v>693</v>
      </c>
      <c r="R151" s="137">
        <v>220107400</v>
      </c>
      <c r="S151" s="142" t="s">
        <v>690</v>
      </c>
      <c r="T151" s="145" t="s">
        <v>69</v>
      </c>
      <c r="U151" s="145">
        <v>94</v>
      </c>
      <c r="V151" s="145"/>
      <c r="W151" s="145">
        <f t="shared" si="15"/>
        <v>94</v>
      </c>
      <c r="X151" s="145">
        <v>0</v>
      </c>
      <c r="Y151" s="146">
        <v>2020003630093</v>
      </c>
      <c r="Z151" s="260" t="s">
        <v>683</v>
      </c>
      <c r="AA151" s="260" t="s">
        <v>684</v>
      </c>
      <c r="AB151" s="130"/>
      <c r="AC151" s="130"/>
      <c r="AD151" s="130"/>
      <c r="AE151" s="130">
        <v>0</v>
      </c>
      <c r="AF151" s="130"/>
      <c r="AG151" s="130"/>
      <c r="AH151" s="130"/>
      <c r="AI151" s="130"/>
      <c r="AJ151" s="130"/>
      <c r="AK151" s="130"/>
      <c r="AL151" s="130"/>
      <c r="AM151" s="130"/>
      <c r="AN151" s="130">
        <v>0</v>
      </c>
      <c r="AO151" s="130"/>
      <c r="AP151" s="130"/>
      <c r="AQ151" s="130"/>
      <c r="AR151" s="130"/>
      <c r="AS151" s="130"/>
      <c r="AT151" s="135">
        <v>5000000</v>
      </c>
      <c r="AU151" s="135"/>
      <c r="AV151" s="135"/>
      <c r="AW151" s="130"/>
      <c r="AX151" s="130"/>
      <c r="AY151" s="130"/>
      <c r="AZ151" s="130"/>
      <c r="BA151" s="130"/>
      <c r="BB151" s="130"/>
      <c r="BC151" s="130">
        <v>0</v>
      </c>
      <c r="BD151" s="130"/>
      <c r="BE151" s="130"/>
      <c r="BF151" s="138">
        <f t="shared" si="16"/>
        <v>5000000</v>
      </c>
      <c r="BG151" s="138">
        <f t="shared" si="17"/>
        <v>0</v>
      </c>
      <c r="BH151" s="138">
        <f t="shared" si="18"/>
        <v>0</v>
      </c>
      <c r="BI151" s="149" t="s">
        <v>5</v>
      </c>
    </row>
    <row r="152" spans="1:61" s="151" customFormat="1" ht="109.5" customHeight="1">
      <c r="A152" s="139">
        <v>314</v>
      </c>
      <c r="B152" s="140" t="s">
        <v>643</v>
      </c>
      <c r="C152" s="139">
        <v>1</v>
      </c>
      <c r="D152" s="140" t="s">
        <v>148</v>
      </c>
      <c r="E152" s="139">
        <v>22</v>
      </c>
      <c r="F152" s="140" t="s">
        <v>160</v>
      </c>
      <c r="G152" s="139">
        <v>2201</v>
      </c>
      <c r="H152" s="140" t="s">
        <v>297</v>
      </c>
      <c r="I152" s="139">
        <v>2201</v>
      </c>
      <c r="J152" s="140" t="s">
        <v>162</v>
      </c>
      <c r="K152" s="140" t="s">
        <v>694</v>
      </c>
      <c r="L152" s="139">
        <v>2201035</v>
      </c>
      <c r="M152" s="140" t="s">
        <v>695</v>
      </c>
      <c r="N152" s="139">
        <v>2201035</v>
      </c>
      <c r="O152" s="140" t="s">
        <v>695</v>
      </c>
      <c r="P152" s="137">
        <v>220103500</v>
      </c>
      <c r="Q152" s="142" t="s">
        <v>696</v>
      </c>
      <c r="R152" s="137">
        <v>220103500</v>
      </c>
      <c r="S152" s="142" t="s">
        <v>696</v>
      </c>
      <c r="T152" s="145" t="s">
        <v>157</v>
      </c>
      <c r="U152" s="145">
        <v>8</v>
      </c>
      <c r="V152" s="145"/>
      <c r="W152" s="145">
        <f t="shared" si="15"/>
        <v>8</v>
      </c>
      <c r="X152" s="145">
        <v>1</v>
      </c>
      <c r="Y152" s="146">
        <v>2020003630093</v>
      </c>
      <c r="Z152" s="260" t="s">
        <v>683</v>
      </c>
      <c r="AA152" s="260" t="s">
        <v>684</v>
      </c>
      <c r="AB152" s="130"/>
      <c r="AC152" s="130"/>
      <c r="AD152" s="130"/>
      <c r="AE152" s="130">
        <v>0</v>
      </c>
      <c r="AF152" s="130"/>
      <c r="AG152" s="130"/>
      <c r="AH152" s="130"/>
      <c r="AI152" s="130"/>
      <c r="AJ152" s="130"/>
      <c r="AK152" s="130"/>
      <c r="AL152" s="130"/>
      <c r="AM152" s="130"/>
      <c r="AN152" s="130">
        <v>0</v>
      </c>
      <c r="AO152" s="130"/>
      <c r="AP152" s="130"/>
      <c r="AQ152" s="130"/>
      <c r="AR152" s="130"/>
      <c r="AS152" s="130"/>
      <c r="AT152" s="135">
        <v>10000000</v>
      </c>
      <c r="AU152" s="135">
        <v>4800000</v>
      </c>
      <c r="AV152" s="135">
        <v>4800000</v>
      </c>
      <c r="AW152" s="130"/>
      <c r="AX152" s="130"/>
      <c r="AY152" s="130"/>
      <c r="AZ152" s="130"/>
      <c r="BA152" s="130"/>
      <c r="BB152" s="130"/>
      <c r="BC152" s="130">
        <v>0</v>
      </c>
      <c r="BD152" s="130"/>
      <c r="BE152" s="130"/>
      <c r="BF152" s="138">
        <f t="shared" si="16"/>
        <v>10000000</v>
      </c>
      <c r="BG152" s="138">
        <f t="shared" si="17"/>
        <v>4800000</v>
      </c>
      <c r="BH152" s="138">
        <f t="shared" si="18"/>
        <v>4800000</v>
      </c>
      <c r="BI152" s="149" t="s">
        <v>5</v>
      </c>
    </row>
    <row r="153" spans="1:61" s="151" customFormat="1" ht="109.5" customHeight="1">
      <c r="A153" s="139">
        <v>314</v>
      </c>
      <c r="B153" s="140" t="s">
        <v>643</v>
      </c>
      <c r="C153" s="139">
        <v>1</v>
      </c>
      <c r="D153" s="140" t="s">
        <v>148</v>
      </c>
      <c r="E153" s="139">
        <v>22</v>
      </c>
      <c r="F153" s="140" t="s">
        <v>160</v>
      </c>
      <c r="G153" s="139">
        <v>2201</v>
      </c>
      <c r="H153" s="140" t="s">
        <v>297</v>
      </c>
      <c r="I153" s="139">
        <v>2201</v>
      </c>
      <c r="J153" s="140" t="s">
        <v>162</v>
      </c>
      <c r="K153" s="140" t="s">
        <v>658</v>
      </c>
      <c r="L153" s="139">
        <v>2201046</v>
      </c>
      <c r="M153" s="140" t="s">
        <v>697</v>
      </c>
      <c r="N153" s="139">
        <v>2201046</v>
      </c>
      <c r="O153" s="140" t="s">
        <v>697</v>
      </c>
      <c r="P153" s="295">
        <v>220104602</v>
      </c>
      <c r="Q153" s="142" t="s">
        <v>698</v>
      </c>
      <c r="R153" s="295">
        <v>220104602</v>
      </c>
      <c r="S153" s="142" t="s">
        <v>698</v>
      </c>
      <c r="T153" s="145" t="s">
        <v>157</v>
      </c>
      <c r="U153" s="145">
        <v>18</v>
      </c>
      <c r="V153" s="145"/>
      <c r="W153" s="145">
        <f t="shared" si="15"/>
        <v>18</v>
      </c>
      <c r="X153" s="145">
        <v>2</v>
      </c>
      <c r="Y153" s="146">
        <v>2020003630093</v>
      </c>
      <c r="Z153" s="260" t="s">
        <v>683</v>
      </c>
      <c r="AA153" s="260" t="s">
        <v>684</v>
      </c>
      <c r="AB153" s="130"/>
      <c r="AC153" s="130"/>
      <c r="AD153" s="130"/>
      <c r="AE153" s="138">
        <v>0</v>
      </c>
      <c r="AF153" s="138"/>
      <c r="AG153" s="138"/>
      <c r="AH153" s="130"/>
      <c r="AI153" s="130"/>
      <c r="AJ153" s="130"/>
      <c r="AK153" s="130"/>
      <c r="AL153" s="130"/>
      <c r="AM153" s="130"/>
      <c r="AN153" s="130">
        <v>0</v>
      </c>
      <c r="AO153" s="130"/>
      <c r="AP153" s="130"/>
      <c r="AQ153" s="130"/>
      <c r="AR153" s="130"/>
      <c r="AS153" s="130"/>
      <c r="AT153" s="135">
        <v>19000000</v>
      </c>
      <c r="AU153" s="135">
        <v>4800000</v>
      </c>
      <c r="AV153" s="135">
        <v>1600000</v>
      </c>
      <c r="AW153" s="130"/>
      <c r="AX153" s="130"/>
      <c r="AY153" s="130"/>
      <c r="AZ153" s="130"/>
      <c r="BA153" s="130"/>
      <c r="BB153" s="130"/>
      <c r="BC153" s="130">
        <v>0</v>
      </c>
      <c r="BD153" s="130"/>
      <c r="BE153" s="130"/>
      <c r="BF153" s="138">
        <f t="shared" si="16"/>
        <v>19000000</v>
      </c>
      <c r="BG153" s="138">
        <f t="shared" si="17"/>
        <v>4800000</v>
      </c>
      <c r="BH153" s="138">
        <f t="shared" si="18"/>
        <v>1600000</v>
      </c>
      <c r="BI153" s="149" t="s">
        <v>5</v>
      </c>
    </row>
    <row r="154" spans="1:61" s="151" customFormat="1" ht="109.5" customHeight="1">
      <c r="A154" s="139">
        <v>314</v>
      </c>
      <c r="B154" s="140" t="s">
        <v>643</v>
      </c>
      <c r="C154" s="139">
        <v>1</v>
      </c>
      <c r="D154" s="140" t="s">
        <v>148</v>
      </c>
      <c r="E154" s="139">
        <v>22</v>
      </c>
      <c r="F154" s="140" t="s">
        <v>160</v>
      </c>
      <c r="G154" s="139">
        <v>2201</v>
      </c>
      <c r="H154" s="140" t="s">
        <v>297</v>
      </c>
      <c r="I154" s="139">
        <v>2201</v>
      </c>
      <c r="J154" s="140" t="s">
        <v>162</v>
      </c>
      <c r="K154" s="140" t="s">
        <v>658</v>
      </c>
      <c r="L154" s="139">
        <v>2201054</v>
      </c>
      <c r="M154" s="140" t="s">
        <v>699</v>
      </c>
      <c r="N154" s="139">
        <v>2201054</v>
      </c>
      <c r="O154" s="140" t="s">
        <v>699</v>
      </c>
      <c r="P154" s="137">
        <v>220105400</v>
      </c>
      <c r="Q154" s="142" t="s">
        <v>700</v>
      </c>
      <c r="R154" s="137">
        <v>220105400</v>
      </c>
      <c r="S154" s="142" t="s">
        <v>700</v>
      </c>
      <c r="T154" s="145" t="s">
        <v>69</v>
      </c>
      <c r="U154" s="145">
        <v>11</v>
      </c>
      <c r="V154" s="145"/>
      <c r="W154" s="145">
        <f t="shared" si="15"/>
        <v>11</v>
      </c>
      <c r="X154" s="145">
        <v>7</v>
      </c>
      <c r="Y154" s="146">
        <v>2020003630093</v>
      </c>
      <c r="Z154" s="260" t="s">
        <v>683</v>
      </c>
      <c r="AA154" s="260" t="s">
        <v>684</v>
      </c>
      <c r="AB154" s="130"/>
      <c r="AC154" s="130"/>
      <c r="AD154" s="130"/>
      <c r="AE154" s="130">
        <v>0</v>
      </c>
      <c r="AF154" s="130"/>
      <c r="AG154" s="130"/>
      <c r="AH154" s="130"/>
      <c r="AI154" s="130"/>
      <c r="AJ154" s="130"/>
      <c r="AK154" s="130"/>
      <c r="AL154" s="130"/>
      <c r="AM154" s="130"/>
      <c r="AN154" s="130">
        <v>0</v>
      </c>
      <c r="AO154" s="130"/>
      <c r="AP154" s="130"/>
      <c r="AQ154" s="130"/>
      <c r="AR154" s="130"/>
      <c r="AS154" s="130"/>
      <c r="AT154" s="135">
        <v>10000000</v>
      </c>
      <c r="AU154" s="135">
        <v>9200000</v>
      </c>
      <c r="AV154" s="135">
        <v>6400000</v>
      </c>
      <c r="AW154" s="130"/>
      <c r="AX154" s="130"/>
      <c r="AY154" s="130"/>
      <c r="AZ154" s="130"/>
      <c r="BA154" s="130"/>
      <c r="BB154" s="130"/>
      <c r="BC154" s="130">
        <v>0</v>
      </c>
      <c r="BD154" s="130"/>
      <c r="BE154" s="130"/>
      <c r="BF154" s="138">
        <f t="shared" si="16"/>
        <v>10000000</v>
      </c>
      <c r="BG154" s="138">
        <f t="shared" si="17"/>
        <v>9200000</v>
      </c>
      <c r="BH154" s="138">
        <f t="shared" si="18"/>
        <v>6400000</v>
      </c>
      <c r="BI154" s="149" t="s">
        <v>5</v>
      </c>
    </row>
    <row r="155" spans="1:61" s="151" customFormat="1" ht="109.5" customHeight="1">
      <c r="A155" s="139">
        <v>314</v>
      </c>
      <c r="B155" s="140" t="s">
        <v>643</v>
      </c>
      <c r="C155" s="139">
        <v>1</v>
      </c>
      <c r="D155" s="140" t="s">
        <v>148</v>
      </c>
      <c r="E155" s="139">
        <v>22</v>
      </c>
      <c r="F155" s="140" t="s">
        <v>160</v>
      </c>
      <c r="G155" s="139">
        <v>2201</v>
      </c>
      <c r="H155" s="140" t="s">
        <v>297</v>
      </c>
      <c r="I155" s="139">
        <v>2201</v>
      </c>
      <c r="J155" s="140" t="s">
        <v>162</v>
      </c>
      <c r="K155" s="140" t="s">
        <v>655</v>
      </c>
      <c r="L155" s="139">
        <v>2201061</v>
      </c>
      <c r="M155" s="140" t="s">
        <v>701</v>
      </c>
      <c r="N155" s="139">
        <v>2201061</v>
      </c>
      <c r="O155" s="140" t="s">
        <v>701</v>
      </c>
      <c r="P155" s="137">
        <v>220106102</v>
      </c>
      <c r="Q155" s="142" t="s">
        <v>702</v>
      </c>
      <c r="R155" s="137">
        <v>220106102</v>
      </c>
      <c r="S155" s="141" t="s">
        <v>702</v>
      </c>
      <c r="T155" s="145" t="s">
        <v>157</v>
      </c>
      <c r="U155" s="145">
        <v>14</v>
      </c>
      <c r="V155" s="145"/>
      <c r="W155" s="145">
        <f t="shared" si="15"/>
        <v>14</v>
      </c>
      <c r="X155" s="145">
        <v>0</v>
      </c>
      <c r="Y155" s="146">
        <v>2020003630093</v>
      </c>
      <c r="Z155" s="260" t="s">
        <v>683</v>
      </c>
      <c r="AA155" s="260" t="s">
        <v>684</v>
      </c>
      <c r="AB155" s="130"/>
      <c r="AC155" s="130"/>
      <c r="AD155" s="130"/>
      <c r="AE155" s="130">
        <v>0</v>
      </c>
      <c r="AF155" s="130"/>
      <c r="AG155" s="130"/>
      <c r="AH155" s="130"/>
      <c r="AI155" s="130"/>
      <c r="AJ155" s="130"/>
      <c r="AK155" s="130"/>
      <c r="AL155" s="130"/>
      <c r="AM155" s="130"/>
      <c r="AN155" s="130">
        <v>0</v>
      </c>
      <c r="AO155" s="130"/>
      <c r="AP155" s="130"/>
      <c r="AQ155" s="130"/>
      <c r="AR155" s="130"/>
      <c r="AS155" s="130"/>
      <c r="AT155" s="135">
        <v>10000000</v>
      </c>
      <c r="AU155" s="135">
        <v>9600000</v>
      </c>
      <c r="AV155" s="135"/>
      <c r="AW155" s="130"/>
      <c r="AX155" s="130"/>
      <c r="AY155" s="130"/>
      <c r="AZ155" s="130"/>
      <c r="BA155" s="130"/>
      <c r="BB155" s="130"/>
      <c r="BC155" s="130">
        <v>0</v>
      </c>
      <c r="BD155" s="130"/>
      <c r="BE155" s="130"/>
      <c r="BF155" s="138">
        <f t="shared" si="16"/>
        <v>10000000</v>
      </c>
      <c r="BG155" s="138">
        <f t="shared" si="17"/>
        <v>9600000</v>
      </c>
      <c r="BH155" s="138">
        <f t="shared" si="18"/>
        <v>0</v>
      </c>
      <c r="BI155" s="149" t="s">
        <v>5</v>
      </c>
    </row>
    <row r="156" spans="1:61" s="151" customFormat="1" ht="98.25" customHeight="1">
      <c r="A156" s="139">
        <v>314</v>
      </c>
      <c r="B156" s="140" t="s">
        <v>643</v>
      </c>
      <c r="C156" s="139">
        <v>1</v>
      </c>
      <c r="D156" s="140" t="s">
        <v>148</v>
      </c>
      <c r="E156" s="139">
        <v>22</v>
      </c>
      <c r="F156" s="140" t="s">
        <v>160</v>
      </c>
      <c r="G156" s="139">
        <v>2201</v>
      </c>
      <c r="H156" s="140" t="s">
        <v>297</v>
      </c>
      <c r="I156" s="139">
        <v>2201</v>
      </c>
      <c r="J156" s="140" t="s">
        <v>162</v>
      </c>
      <c r="K156" s="142" t="s">
        <v>703</v>
      </c>
      <c r="L156" s="139">
        <v>2201066</v>
      </c>
      <c r="M156" s="140" t="s">
        <v>704</v>
      </c>
      <c r="N156" s="139">
        <v>2201066</v>
      </c>
      <c r="O156" s="140" t="s">
        <v>704</v>
      </c>
      <c r="P156" s="137">
        <v>220106600</v>
      </c>
      <c r="Q156" s="142" t="s">
        <v>705</v>
      </c>
      <c r="R156" s="137">
        <v>220106600</v>
      </c>
      <c r="S156" s="142" t="s">
        <v>705</v>
      </c>
      <c r="T156" s="145" t="s">
        <v>157</v>
      </c>
      <c r="U156" s="297">
        <v>9496</v>
      </c>
      <c r="V156" s="297">
        <v>2533</v>
      </c>
      <c r="W156" s="145">
        <f t="shared" si="15"/>
        <v>12029</v>
      </c>
      <c r="X156" s="145">
        <v>0</v>
      </c>
      <c r="Y156" s="146">
        <v>2020003630093</v>
      </c>
      <c r="Z156" s="260" t="s">
        <v>683</v>
      </c>
      <c r="AA156" s="260" t="s">
        <v>684</v>
      </c>
      <c r="AB156" s="130"/>
      <c r="AC156" s="130"/>
      <c r="AD156" s="130"/>
      <c r="AE156" s="130">
        <v>0</v>
      </c>
      <c r="AF156" s="130"/>
      <c r="AG156" s="130"/>
      <c r="AH156" s="130"/>
      <c r="AI156" s="130"/>
      <c r="AJ156" s="130"/>
      <c r="AK156" s="130"/>
      <c r="AL156" s="130"/>
      <c r="AM156" s="130"/>
      <c r="AN156" s="130">
        <v>0</v>
      </c>
      <c r="AO156" s="130"/>
      <c r="AP156" s="130"/>
      <c r="AQ156" s="130"/>
      <c r="AR156" s="130"/>
      <c r="AS156" s="130"/>
      <c r="AT156" s="135">
        <v>30000000</v>
      </c>
      <c r="AU156" s="135">
        <v>9600000</v>
      </c>
      <c r="AV156" s="135"/>
      <c r="AW156" s="130"/>
      <c r="AX156" s="130"/>
      <c r="AY156" s="130"/>
      <c r="AZ156" s="130"/>
      <c r="BA156" s="130"/>
      <c r="BB156" s="130"/>
      <c r="BC156" s="130">
        <v>0</v>
      </c>
      <c r="BD156" s="130"/>
      <c r="BE156" s="130"/>
      <c r="BF156" s="138">
        <f t="shared" si="16"/>
        <v>30000000</v>
      </c>
      <c r="BG156" s="138">
        <f t="shared" si="17"/>
        <v>9600000</v>
      </c>
      <c r="BH156" s="138">
        <f t="shared" si="18"/>
        <v>0</v>
      </c>
      <c r="BI156" s="149" t="s">
        <v>5</v>
      </c>
    </row>
    <row r="157" spans="1:61" s="151" customFormat="1" ht="76.5">
      <c r="A157" s="139">
        <v>314</v>
      </c>
      <c r="B157" s="140" t="s">
        <v>643</v>
      </c>
      <c r="C157" s="139">
        <v>1</v>
      </c>
      <c r="D157" s="140" t="s">
        <v>148</v>
      </c>
      <c r="E157" s="139">
        <v>22</v>
      </c>
      <c r="F157" s="140" t="s">
        <v>160</v>
      </c>
      <c r="G157" s="139">
        <v>2201</v>
      </c>
      <c r="H157" s="140" t="s">
        <v>297</v>
      </c>
      <c r="I157" s="139">
        <v>2201</v>
      </c>
      <c r="J157" s="140" t="s">
        <v>162</v>
      </c>
      <c r="K157" s="140" t="s">
        <v>706</v>
      </c>
      <c r="L157" s="139">
        <v>2201006</v>
      </c>
      <c r="M157" s="140" t="s">
        <v>707</v>
      </c>
      <c r="N157" s="139">
        <v>2201006</v>
      </c>
      <c r="O157" s="140" t="s">
        <v>707</v>
      </c>
      <c r="P157" s="295">
        <v>220100600</v>
      </c>
      <c r="Q157" s="142" t="s">
        <v>708</v>
      </c>
      <c r="R157" s="295">
        <v>220100600</v>
      </c>
      <c r="S157" s="142" t="s">
        <v>708</v>
      </c>
      <c r="T157" s="145" t="s">
        <v>69</v>
      </c>
      <c r="U157" s="145">
        <v>54</v>
      </c>
      <c r="V157" s="145"/>
      <c r="W157" s="145">
        <f t="shared" si="15"/>
        <v>54</v>
      </c>
      <c r="X157" s="145">
        <v>54</v>
      </c>
      <c r="Y157" s="146">
        <v>2020003630016</v>
      </c>
      <c r="Z157" s="140" t="s">
        <v>709</v>
      </c>
      <c r="AA157" s="140" t="s">
        <v>710</v>
      </c>
      <c r="AB157" s="130"/>
      <c r="AC157" s="130"/>
      <c r="AD157" s="130"/>
      <c r="AE157" s="130">
        <v>0</v>
      </c>
      <c r="AF157" s="130"/>
      <c r="AG157" s="130"/>
      <c r="AH157" s="130"/>
      <c r="AI157" s="130"/>
      <c r="AJ157" s="130"/>
      <c r="AK157" s="130"/>
      <c r="AL157" s="130"/>
      <c r="AM157" s="130"/>
      <c r="AN157" s="290">
        <v>0</v>
      </c>
      <c r="AO157" s="290"/>
      <c r="AP157" s="290"/>
      <c r="AQ157" s="130"/>
      <c r="AR157" s="130"/>
      <c r="AS157" s="130"/>
      <c r="AT157" s="135">
        <f>10000000+260000000+9100000</f>
        <v>279100000</v>
      </c>
      <c r="AU157" s="135">
        <v>261460000</v>
      </c>
      <c r="AV157" s="135">
        <v>57800000</v>
      </c>
      <c r="AW157" s="130"/>
      <c r="AX157" s="130"/>
      <c r="AY157" s="130"/>
      <c r="AZ157" s="130"/>
      <c r="BA157" s="130"/>
      <c r="BB157" s="130"/>
      <c r="BC157" s="130">
        <v>0</v>
      </c>
      <c r="BD157" s="130"/>
      <c r="BE157" s="130"/>
      <c r="BF157" s="138">
        <f t="shared" si="16"/>
        <v>279100000</v>
      </c>
      <c r="BG157" s="138">
        <f t="shared" si="17"/>
        <v>261460000</v>
      </c>
      <c r="BH157" s="138">
        <f t="shared" si="18"/>
        <v>57800000</v>
      </c>
      <c r="BI157" s="149" t="s">
        <v>5</v>
      </c>
    </row>
    <row r="158" spans="1:61" s="151" customFormat="1" ht="90.75" customHeight="1">
      <c r="A158" s="139">
        <v>314</v>
      </c>
      <c r="B158" s="140" t="s">
        <v>643</v>
      </c>
      <c r="C158" s="139">
        <v>1</v>
      </c>
      <c r="D158" s="140" t="s">
        <v>148</v>
      </c>
      <c r="E158" s="139">
        <v>22</v>
      </c>
      <c r="F158" s="140" t="s">
        <v>160</v>
      </c>
      <c r="G158" s="139">
        <v>2201</v>
      </c>
      <c r="H158" s="140" t="s">
        <v>297</v>
      </c>
      <c r="I158" s="139">
        <v>2201</v>
      </c>
      <c r="J158" s="140" t="s">
        <v>162</v>
      </c>
      <c r="K158" s="140" t="s">
        <v>706</v>
      </c>
      <c r="L158" s="139">
        <v>2201015</v>
      </c>
      <c r="M158" s="140" t="s">
        <v>711</v>
      </c>
      <c r="N158" s="139">
        <v>2201015</v>
      </c>
      <c r="O158" s="140" t="s">
        <v>711</v>
      </c>
      <c r="P158" s="137">
        <v>220101500</v>
      </c>
      <c r="Q158" s="142" t="s">
        <v>712</v>
      </c>
      <c r="R158" s="137">
        <v>220101500</v>
      </c>
      <c r="S158" s="142" t="s">
        <v>712</v>
      </c>
      <c r="T158" s="145" t="s">
        <v>69</v>
      </c>
      <c r="U158" s="145">
        <v>11</v>
      </c>
      <c r="V158" s="145"/>
      <c r="W158" s="145">
        <f t="shared" si="15"/>
        <v>11</v>
      </c>
      <c r="X158" s="145">
        <v>3</v>
      </c>
      <c r="Y158" s="146">
        <v>2020003630016</v>
      </c>
      <c r="Z158" s="140" t="s">
        <v>709</v>
      </c>
      <c r="AA158" s="140" t="s">
        <v>710</v>
      </c>
      <c r="AB158" s="130"/>
      <c r="AC158" s="130"/>
      <c r="AD158" s="130"/>
      <c r="AE158" s="130">
        <v>0</v>
      </c>
      <c r="AF158" s="130"/>
      <c r="AG158" s="130"/>
      <c r="AH158" s="130"/>
      <c r="AI158" s="130"/>
      <c r="AJ158" s="130"/>
      <c r="AK158" s="130"/>
      <c r="AL158" s="130"/>
      <c r="AM158" s="130"/>
      <c r="AN158" s="130">
        <v>0</v>
      </c>
      <c r="AO158" s="130"/>
      <c r="AP158" s="130"/>
      <c r="AQ158" s="130"/>
      <c r="AR158" s="130"/>
      <c r="AS158" s="130"/>
      <c r="AT158" s="135">
        <f>5000000+10900000</f>
        <v>15900000</v>
      </c>
      <c r="AU158" s="135">
        <v>15900000</v>
      </c>
      <c r="AV158" s="135"/>
      <c r="AW158" s="130"/>
      <c r="AX158" s="130"/>
      <c r="AY158" s="130"/>
      <c r="AZ158" s="130"/>
      <c r="BA158" s="130"/>
      <c r="BB158" s="130"/>
      <c r="BC158" s="130">
        <v>0</v>
      </c>
      <c r="BD158" s="130"/>
      <c r="BE158" s="130"/>
      <c r="BF158" s="138">
        <f t="shared" si="16"/>
        <v>15900000</v>
      </c>
      <c r="BG158" s="138">
        <f t="shared" si="17"/>
        <v>15900000</v>
      </c>
      <c r="BH158" s="138">
        <f t="shared" si="18"/>
        <v>0</v>
      </c>
      <c r="BI158" s="149" t="s">
        <v>5</v>
      </c>
    </row>
    <row r="159" spans="1:61" s="151" customFormat="1" ht="81.75" customHeight="1">
      <c r="A159" s="139">
        <v>314</v>
      </c>
      <c r="B159" s="140" t="s">
        <v>643</v>
      </c>
      <c r="C159" s="139">
        <v>1</v>
      </c>
      <c r="D159" s="140" t="s">
        <v>148</v>
      </c>
      <c r="E159" s="139">
        <v>22</v>
      </c>
      <c r="F159" s="140" t="s">
        <v>160</v>
      </c>
      <c r="G159" s="139">
        <v>2201</v>
      </c>
      <c r="H159" s="140" t="s">
        <v>297</v>
      </c>
      <c r="I159" s="139">
        <v>2201</v>
      </c>
      <c r="J159" s="140" t="s">
        <v>162</v>
      </c>
      <c r="K159" s="140" t="s">
        <v>658</v>
      </c>
      <c r="L159" s="139">
        <v>2201042</v>
      </c>
      <c r="M159" s="140" t="s">
        <v>713</v>
      </c>
      <c r="N159" s="139">
        <v>2201042</v>
      </c>
      <c r="O159" s="140" t="s">
        <v>713</v>
      </c>
      <c r="P159" s="137">
        <v>220104200</v>
      </c>
      <c r="Q159" s="142" t="s">
        <v>714</v>
      </c>
      <c r="R159" s="137">
        <v>220104200</v>
      </c>
      <c r="S159" s="142" t="s">
        <v>714</v>
      </c>
      <c r="T159" s="145" t="s">
        <v>157</v>
      </c>
      <c r="U159" s="145">
        <v>6000</v>
      </c>
      <c r="V159" s="145"/>
      <c r="W159" s="145">
        <f t="shared" si="15"/>
        <v>6000</v>
      </c>
      <c r="X159" s="145">
        <v>762</v>
      </c>
      <c r="Y159" s="146">
        <v>2020003630016</v>
      </c>
      <c r="Z159" s="140" t="s">
        <v>709</v>
      </c>
      <c r="AA159" s="140" t="s">
        <v>710</v>
      </c>
      <c r="AB159" s="130"/>
      <c r="AC159" s="130"/>
      <c r="AD159" s="130"/>
      <c r="AE159" s="130">
        <v>0</v>
      </c>
      <c r="AF159" s="130"/>
      <c r="AG159" s="130"/>
      <c r="AH159" s="130"/>
      <c r="AI159" s="130"/>
      <c r="AJ159" s="130"/>
      <c r="AK159" s="130"/>
      <c r="AL159" s="130"/>
      <c r="AM159" s="130"/>
      <c r="AN159" s="130">
        <v>0</v>
      </c>
      <c r="AO159" s="130"/>
      <c r="AP159" s="130"/>
      <c r="AQ159" s="130"/>
      <c r="AR159" s="130"/>
      <c r="AS159" s="130"/>
      <c r="AT159" s="135">
        <v>10000000</v>
      </c>
      <c r="AU159" s="135">
        <v>9600000</v>
      </c>
      <c r="AV159" s="135">
        <v>3200000</v>
      </c>
      <c r="AW159" s="130"/>
      <c r="AX159" s="130"/>
      <c r="AY159" s="130"/>
      <c r="AZ159" s="130"/>
      <c r="BA159" s="130"/>
      <c r="BB159" s="130"/>
      <c r="BC159" s="130">
        <v>0</v>
      </c>
      <c r="BD159" s="130"/>
      <c r="BE159" s="130"/>
      <c r="BF159" s="138">
        <f t="shared" si="16"/>
        <v>10000000</v>
      </c>
      <c r="BG159" s="138">
        <f t="shared" si="17"/>
        <v>9600000</v>
      </c>
      <c r="BH159" s="138">
        <f t="shared" si="18"/>
        <v>3200000</v>
      </c>
      <c r="BI159" s="149" t="s">
        <v>5</v>
      </c>
    </row>
    <row r="160" spans="1:61" s="151" customFormat="1" ht="81.75" customHeight="1">
      <c r="A160" s="139">
        <v>314</v>
      </c>
      <c r="B160" s="140" t="s">
        <v>643</v>
      </c>
      <c r="C160" s="139">
        <v>1</v>
      </c>
      <c r="D160" s="140" t="s">
        <v>148</v>
      </c>
      <c r="E160" s="139">
        <v>22</v>
      </c>
      <c r="F160" s="140" t="s">
        <v>160</v>
      </c>
      <c r="G160" s="139">
        <v>2201</v>
      </c>
      <c r="H160" s="140" t="s">
        <v>297</v>
      </c>
      <c r="I160" s="139">
        <v>2201</v>
      </c>
      <c r="J160" s="140" t="s">
        <v>162</v>
      </c>
      <c r="K160" s="140" t="s">
        <v>163</v>
      </c>
      <c r="L160" s="139">
        <v>2201071</v>
      </c>
      <c r="M160" s="316" t="s">
        <v>715</v>
      </c>
      <c r="N160" s="139">
        <v>2201071</v>
      </c>
      <c r="O160" s="316" t="s">
        <v>715</v>
      </c>
      <c r="P160" s="295">
        <v>220107100</v>
      </c>
      <c r="Q160" s="142" t="s">
        <v>716</v>
      </c>
      <c r="R160" s="295">
        <v>220107100</v>
      </c>
      <c r="S160" s="142" t="s">
        <v>716</v>
      </c>
      <c r="T160" s="145" t="s">
        <v>69</v>
      </c>
      <c r="U160" s="145">
        <v>54</v>
      </c>
      <c r="V160" s="145"/>
      <c r="W160" s="145">
        <f t="shared" si="15"/>
        <v>54</v>
      </c>
      <c r="X160" s="145">
        <v>54</v>
      </c>
      <c r="Y160" s="146">
        <v>2020003630016</v>
      </c>
      <c r="Z160" s="134" t="s">
        <v>709</v>
      </c>
      <c r="AA160" s="140" t="s">
        <v>710</v>
      </c>
      <c r="AB160" s="290"/>
      <c r="AC160" s="290"/>
      <c r="AD160" s="290"/>
      <c r="AE160" s="290">
        <f>2712985418+1460656453.37</f>
        <v>4173641871.3699999</v>
      </c>
      <c r="AF160" s="290">
        <v>2712985418</v>
      </c>
      <c r="AG160" s="290"/>
      <c r="AH160" s="290"/>
      <c r="AI160" s="290"/>
      <c r="AJ160" s="290"/>
      <c r="AK160" s="290"/>
      <c r="AL160" s="290"/>
      <c r="AM160" s="290"/>
      <c r="AN160" s="290">
        <f>154839000000+29870000000+80000000+554351.09+115811865.59</f>
        <v>184905366216.67999</v>
      </c>
      <c r="AO160" s="290">
        <v>40157934955.400002</v>
      </c>
      <c r="AP160" s="290">
        <v>39729336546</v>
      </c>
      <c r="AQ160" s="290"/>
      <c r="AR160" s="290"/>
      <c r="AS160" s="290"/>
      <c r="AT160" s="135">
        <f>3600000000+1476236623</f>
        <v>5076236623</v>
      </c>
      <c r="AU160" s="135">
        <v>2393946770.3000002</v>
      </c>
      <c r="AV160" s="135">
        <v>865342948.29999995</v>
      </c>
      <c r="AW160" s="138"/>
      <c r="AX160" s="138"/>
      <c r="AY160" s="138"/>
      <c r="AZ160" s="138"/>
      <c r="BA160" s="138"/>
      <c r="BB160" s="138"/>
      <c r="BC160" s="290">
        <v>0</v>
      </c>
      <c r="BD160" s="290"/>
      <c r="BE160" s="290"/>
      <c r="BF160" s="138">
        <f t="shared" si="16"/>
        <v>194155244711.04999</v>
      </c>
      <c r="BG160" s="138">
        <f t="shared" si="17"/>
        <v>45264867143.700005</v>
      </c>
      <c r="BH160" s="138">
        <f t="shared" si="18"/>
        <v>40594679494.300003</v>
      </c>
      <c r="BI160" s="149" t="s">
        <v>5</v>
      </c>
    </row>
    <row r="161" spans="1:61" s="151" customFormat="1" ht="96" customHeight="1">
      <c r="A161" s="139">
        <v>314</v>
      </c>
      <c r="B161" s="140" t="s">
        <v>643</v>
      </c>
      <c r="C161" s="139">
        <v>1</v>
      </c>
      <c r="D161" s="140" t="s">
        <v>148</v>
      </c>
      <c r="E161" s="139">
        <v>22</v>
      </c>
      <c r="F161" s="140" t="s">
        <v>160</v>
      </c>
      <c r="G161" s="139">
        <v>2201</v>
      </c>
      <c r="H161" s="140" t="s">
        <v>297</v>
      </c>
      <c r="I161" s="139">
        <v>2201</v>
      </c>
      <c r="J161" s="140" t="s">
        <v>162</v>
      </c>
      <c r="K161" s="140" t="s">
        <v>658</v>
      </c>
      <c r="L161" s="139">
        <v>2201050</v>
      </c>
      <c r="M161" s="140" t="s">
        <v>717</v>
      </c>
      <c r="N161" s="139">
        <v>2201050</v>
      </c>
      <c r="O161" s="140" t="s">
        <v>717</v>
      </c>
      <c r="P161" s="137">
        <v>220105000</v>
      </c>
      <c r="Q161" s="142" t="s">
        <v>718</v>
      </c>
      <c r="R161" s="137">
        <v>220105000</v>
      </c>
      <c r="S161" s="142" t="s">
        <v>718</v>
      </c>
      <c r="T161" s="145" t="s">
        <v>157</v>
      </c>
      <c r="U161" s="297">
        <v>7000</v>
      </c>
      <c r="V161" s="297"/>
      <c r="W161" s="145">
        <f t="shared" si="15"/>
        <v>7000</v>
      </c>
      <c r="X161" s="145">
        <v>4308</v>
      </c>
      <c r="Y161" s="146">
        <v>2020003630094</v>
      </c>
      <c r="Z161" s="134" t="s">
        <v>719</v>
      </c>
      <c r="AA161" s="140" t="s">
        <v>720</v>
      </c>
      <c r="AB161" s="130"/>
      <c r="AC161" s="130"/>
      <c r="AD161" s="130"/>
      <c r="AE161" s="130">
        <v>0</v>
      </c>
      <c r="AF161" s="130"/>
      <c r="AG161" s="130"/>
      <c r="AH161" s="130"/>
      <c r="AI161" s="130"/>
      <c r="AJ161" s="130"/>
      <c r="AK161" s="130"/>
      <c r="AL161" s="130"/>
      <c r="AM161" s="130"/>
      <c r="AN161" s="138"/>
      <c r="AO161" s="138"/>
      <c r="AP161" s="138"/>
      <c r="AQ161" s="130"/>
      <c r="AR161" s="130"/>
      <c r="AS161" s="130"/>
      <c r="AT161" s="135">
        <v>10000000</v>
      </c>
      <c r="AU161" s="135">
        <v>4800000</v>
      </c>
      <c r="AV161" s="135">
        <v>1600000</v>
      </c>
      <c r="AW161" s="130"/>
      <c r="AX161" s="130"/>
      <c r="AY161" s="130"/>
      <c r="AZ161" s="130"/>
      <c r="BA161" s="130"/>
      <c r="BB161" s="130"/>
      <c r="BC161" s="130">
        <v>0</v>
      </c>
      <c r="BD161" s="130"/>
      <c r="BE161" s="130"/>
      <c r="BF161" s="138">
        <f t="shared" si="16"/>
        <v>10000000</v>
      </c>
      <c r="BG161" s="138">
        <f t="shared" si="17"/>
        <v>4800000</v>
      </c>
      <c r="BH161" s="138">
        <f t="shared" si="18"/>
        <v>1600000</v>
      </c>
      <c r="BI161" s="149" t="s">
        <v>5</v>
      </c>
    </row>
    <row r="162" spans="1:61" s="151" customFormat="1" ht="96" customHeight="1">
      <c r="A162" s="139">
        <v>314</v>
      </c>
      <c r="B162" s="140" t="s">
        <v>643</v>
      </c>
      <c r="C162" s="139">
        <v>1</v>
      </c>
      <c r="D162" s="140" t="s">
        <v>148</v>
      </c>
      <c r="E162" s="139">
        <v>22</v>
      </c>
      <c r="F162" s="140" t="s">
        <v>160</v>
      </c>
      <c r="G162" s="139">
        <v>2201</v>
      </c>
      <c r="H162" s="140" t="s">
        <v>297</v>
      </c>
      <c r="I162" s="139">
        <v>2201</v>
      </c>
      <c r="J162" s="140" t="s">
        <v>162</v>
      </c>
      <c r="K162" s="140" t="s">
        <v>658</v>
      </c>
      <c r="L162" s="139">
        <v>2201050</v>
      </c>
      <c r="M162" s="140" t="s">
        <v>717</v>
      </c>
      <c r="N162" s="139">
        <v>2201050</v>
      </c>
      <c r="O162" s="140" t="s">
        <v>717</v>
      </c>
      <c r="P162" s="295">
        <v>220105001</v>
      </c>
      <c r="Q162" s="142" t="s">
        <v>721</v>
      </c>
      <c r="R162" s="295">
        <v>220105001</v>
      </c>
      <c r="S162" s="142" t="s">
        <v>721</v>
      </c>
      <c r="T162" s="145" t="s">
        <v>69</v>
      </c>
      <c r="U162" s="145">
        <v>150</v>
      </c>
      <c r="V162" s="145"/>
      <c r="W162" s="145">
        <f t="shared" si="15"/>
        <v>150</v>
      </c>
      <c r="X162" s="145">
        <v>0</v>
      </c>
      <c r="Y162" s="146">
        <v>2020003630094</v>
      </c>
      <c r="Z162" s="134" t="s">
        <v>719</v>
      </c>
      <c r="AA162" s="140" t="s">
        <v>720</v>
      </c>
      <c r="AB162" s="130"/>
      <c r="AC162" s="130"/>
      <c r="AD162" s="130"/>
      <c r="AE162" s="130">
        <v>0</v>
      </c>
      <c r="AF162" s="130"/>
      <c r="AG162" s="130"/>
      <c r="AH162" s="130"/>
      <c r="AI162" s="130"/>
      <c r="AJ162" s="130"/>
      <c r="AK162" s="130"/>
      <c r="AL162" s="130"/>
      <c r="AM162" s="130"/>
      <c r="AN162" s="130">
        <f>611000000-4175320</f>
        <v>606824680</v>
      </c>
      <c r="AO162" s="130">
        <v>445280195.22000003</v>
      </c>
      <c r="AP162" s="130"/>
      <c r="AQ162" s="130"/>
      <c r="AR162" s="130"/>
      <c r="AS162" s="130"/>
      <c r="AT162" s="135">
        <v>0</v>
      </c>
      <c r="AU162" s="135"/>
      <c r="AV162" s="135"/>
      <c r="AW162" s="130"/>
      <c r="AX162" s="130"/>
      <c r="AY162" s="130"/>
      <c r="AZ162" s="130"/>
      <c r="BA162" s="130"/>
      <c r="BB162" s="130"/>
      <c r="BC162" s="130">
        <v>0</v>
      </c>
      <c r="BD162" s="130"/>
      <c r="BE162" s="130"/>
      <c r="BF162" s="138">
        <f t="shared" si="16"/>
        <v>606824680</v>
      </c>
      <c r="BG162" s="138">
        <f t="shared" si="17"/>
        <v>445280195.22000003</v>
      </c>
      <c r="BH162" s="138">
        <f t="shared" si="18"/>
        <v>0</v>
      </c>
      <c r="BI162" s="149" t="s">
        <v>5</v>
      </c>
    </row>
    <row r="163" spans="1:61" s="151" customFormat="1" ht="96" customHeight="1">
      <c r="A163" s="139">
        <v>314</v>
      </c>
      <c r="B163" s="140" t="s">
        <v>643</v>
      </c>
      <c r="C163" s="139">
        <v>1</v>
      </c>
      <c r="D163" s="140" t="s">
        <v>148</v>
      </c>
      <c r="E163" s="139">
        <v>22</v>
      </c>
      <c r="F163" s="140" t="s">
        <v>160</v>
      </c>
      <c r="G163" s="139">
        <v>2201</v>
      </c>
      <c r="H163" s="140" t="s">
        <v>297</v>
      </c>
      <c r="I163" s="139">
        <v>2201</v>
      </c>
      <c r="J163" s="140" t="s">
        <v>162</v>
      </c>
      <c r="K163" s="142" t="s">
        <v>667</v>
      </c>
      <c r="L163" s="139" t="s">
        <v>61</v>
      </c>
      <c r="M163" s="140" t="s">
        <v>722</v>
      </c>
      <c r="N163" s="139">
        <v>2201001</v>
      </c>
      <c r="O163" s="140" t="s">
        <v>253</v>
      </c>
      <c r="P163" s="139" t="s">
        <v>61</v>
      </c>
      <c r="Q163" s="142" t="s">
        <v>723</v>
      </c>
      <c r="R163" s="137">
        <v>220100100</v>
      </c>
      <c r="S163" s="142" t="s">
        <v>724</v>
      </c>
      <c r="T163" s="145" t="s">
        <v>69</v>
      </c>
      <c r="U163" s="145">
        <v>2</v>
      </c>
      <c r="V163" s="145"/>
      <c r="W163" s="145">
        <f t="shared" si="15"/>
        <v>2</v>
      </c>
      <c r="X163" s="145">
        <v>0</v>
      </c>
      <c r="Y163" s="146">
        <v>2020003630094</v>
      </c>
      <c r="Z163" s="134" t="s">
        <v>719</v>
      </c>
      <c r="AA163" s="140" t="s">
        <v>720</v>
      </c>
      <c r="AB163" s="130"/>
      <c r="AC163" s="130"/>
      <c r="AD163" s="130"/>
      <c r="AE163" s="130">
        <v>0</v>
      </c>
      <c r="AF163" s="130"/>
      <c r="AG163" s="130"/>
      <c r="AH163" s="130"/>
      <c r="AI163" s="130"/>
      <c r="AJ163" s="130"/>
      <c r="AK163" s="130"/>
      <c r="AL163" s="130"/>
      <c r="AM163" s="130"/>
      <c r="AN163" s="130">
        <v>0</v>
      </c>
      <c r="AO163" s="130"/>
      <c r="AP163" s="130"/>
      <c r="AQ163" s="130"/>
      <c r="AR163" s="130"/>
      <c r="AS163" s="130"/>
      <c r="AT163" s="135">
        <v>10000000</v>
      </c>
      <c r="AU163" s="135">
        <v>4800000</v>
      </c>
      <c r="AV163" s="135">
        <v>4800000</v>
      </c>
      <c r="AW163" s="130"/>
      <c r="AX163" s="130"/>
      <c r="AY163" s="130"/>
      <c r="AZ163" s="130"/>
      <c r="BA163" s="130"/>
      <c r="BB163" s="130"/>
      <c r="BC163" s="130">
        <v>0</v>
      </c>
      <c r="BD163" s="130"/>
      <c r="BE163" s="130"/>
      <c r="BF163" s="138">
        <f t="shared" si="16"/>
        <v>10000000</v>
      </c>
      <c r="BG163" s="138">
        <f t="shared" si="17"/>
        <v>4800000</v>
      </c>
      <c r="BH163" s="138">
        <f t="shared" si="18"/>
        <v>4800000</v>
      </c>
      <c r="BI163" s="149" t="s">
        <v>5</v>
      </c>
    </row>
    <row r="164" spans="1:61" s="151" customFormat="1" ht="81.75" customHeight="1">
      <c r="A164" s="139">
        <v>314</v>
      </c>
      <c r="B164" s="140" t="s">
        <v>643</v>
      </c>
      <c r="C164" s="139">
        <v>1</v>
      </c>
      <c r="D164" s="140" t="s">
        <v>148</v>
      </c>
      <c r="E164" s="139">
        <v>22</v>
      </c>
      <c r="F164" s="140" t="s">
        <v>160</v>
      </c>
      <c r="G164" s="139">
        <v>2201</v>
      </c>
      <c r="H164" s="140" t="s">
        <v>297</v>
      </c>
      <c r="I164" s="139">
        <v>2201</v>
      </c>
      <c r="J164" s="140" t="s">
        <v>162</v>
      </c>
      <c r="K164" s="140" t="s">
        <v>725</v>
      </c>
      <c r="L164" s="139">
        <v>2201034</v>
      </c>
      <c r="M164" s="140" t="s">
        <v>726</v>
      </c>
      <c r="N164" s="139">
        <v>2201034</v>
      </c>
      <c r="O164" s="140" t="s">
        <v>726</v>
      </c>
      <c r="P164" s="295">
        <v>220103400</v>
      </c>
      <c r="Q164" s="142" t="s">
        <v>727</v>
      </c>
      <c r="R164" s="295">
        <v>220103400</v>
      </c>
      <c r="S164" s="142" t="s">
        <v>727</v>
      </c>
      <c r="T164" s="145" t="s">
        <v>157</v>
      </c>
      <c r="U164" s="145">
        <v>4400</v>
      </c>
      <c r="V164" s="145">
        <v>0</v>
      </c>
      <c r="W164" s="145">
        <f t="shared" si="15"/>
        <v>4400</v>
      </c>
      <c r="X164" s="145">
        <v>0</v>
      </c>
      <c r="Y164" s="146">
        <v>2020003630015</v>
      </c>
      <c r="Z164" s="134" t="s">
        <v>728</v>
      </c>
      <c r="AA164" s="140" t="s">
        <v>729</v>
      </c>
      <c r="AB164" s="130"/>
      <c r="AC164" s="130"/>
      <c r="AD164" s="130"/>
      <c r="AE164" s="130">
        <v>0</v>
      </c>
      <c r="AF164" s="130"/>
      <c r="AG164" s="130"/>
      <c r="AH164" s="130"/>
      <c r="AI164" s="130"/>
      <c r="AJ164" s="130"/>
      <c r="AK164" s="130"/>
      <c r="AL164" s="130"/>
      <c r="AM164" s="130"/>
      <c r="AN164" s="130">
        <v>0</v>
      </c>
      <c r="AO164" s="130"/>
      <c r="AP164" s="130"/>
      <c r="AQ164" s="130"/>
      <c r="AR164" s="130"/>
      <c r="AS164" s="130"/>
      <c r="AT164" s="135">
        <v>10000000</v>
      </c>
      <c r="AU164" s="135"/>
      <c r="AV164" s="135"/>
      <c r="AW164" s="130"/>
      <c r="AX164" s="130"/>
      <c r="AY164" s="130"/>
      <c r="AZ164" s="130"/>
      <c r="BA164" s="130"/>
      <c r="BB164" s="130"/>
      <c r="BC164" s="130">
        <v>0</v>
      </c>
      <c r="BD164" s="130"/>
      <c r="BE164" s="130"/>
      <c r="BF164" s="138">
        <f t="shared" si="16"/>
        <v>10000000</v>
      </c>
      <c r="BG164" s="138">
        <f t="shared" si="17"/>
        <v>0</v>
      </c>
      <c r="BH164" s="138">
        <f t="shared" si="18"/>
        <v>0</v>
      </c>
      <c r="BI164" s="149" t="s">
        <v>5</v>
      </c>
    </row>
    <row r="165" spans="1:61" s="151" customFormat="1" ht="81.75" customHeight="1">
      <c r="A165" s="139">
        <v>314</v>
      </c>
      <c r="B165" s="140" t="s">
        <v>643</v>
      </c>
      <c r="C165" s="139">
        <v>1</v>
      </c>
      <c r="D165" s="140" t="s">
        <v>148</v>
      </c>
      <c r="E165" s="139">
        <v>22</v>
      </c>
      <c r="F165" s="140" t="s">
        <v>160</v>
      </c>
      <c r="G165" s="139">
        <v>2201</v>
      </c>
      <c r="H165" s="140" t="s">
        <v>297</v>
      </c>
      <c r="I165" s="139">
        <v>2201</v>
      </c>
      <c r="J165" s="140" t="s">
        <v>162</v>
      </c>
      <c r="K165" s="140" t="s">
        <v>725</v>
      </c>
      <c r="L165" s="139">
        <v>2201034</v>
      </c>
      <c r="M165" s="140" t="s">
        <v>730</v>
      </c>
      <c r="N165" s="139">
        <v>2201034</v>
      </c>
      <c r="O165" s="140" t="s">
        <v>730</v>
      </c>
      <c r="P165" s="137">
        <v>220103401</v>
      </c>
      <c r="Q165" s="142" t="s">
        <v>731</v>
      </c>
      <c r="R165" s="137">
        <v>220103401</v>
      </c>
      <c r="S165" s="142" t="s">
        <v>731</v>
      </c>
      <c r="T165" s="145" t="s">
        <v>69</v>
      </c>
      <c r="U165" s="145">
        <v>54</v>
      </c>
      <c r="V165" s="145">
        <v>0</v>
      </c>
      <c r="W165" s="145">
        <f t="shared" si="15"/>
        <v>54</v>
      </c>
      <c r="X165" s="145">
        <v>0</v>
      </c>
      <c r="Y165" s="146">
        <v>2020003630015</v>
      </c>
      <c r="Z165" s="134" t="s">
        <v>728</v>
      </c>
      <c r="AA165" s="140" t="s">
        <v>729</v>
      </c>
      <c r="AB165" s="130"/>
      <c r="AC165" s="130"/>
      <c r="AD165" s="130"/>
      <c r="AE165" s="130">
        <v>0</v>
      </c>
      <c r="AF165" s="130"/>
      <c r="AG165" s="130"/>
      <c r="AH165" s="130"/>
      <c r="AI165" s="130"/>
      <c r="AJ165" s="130"/>
      <c r="AK165" s="130"/>
      <c r="AL165" s="130"/>
      <c r="AM165" s="130"/>
      <c r="AN165" s="130">
        <v>0</v>
      </c>
      <c r="AO165" s="130"/>
      <c r="AP165" s="130"/>
      <c r="AQ165" s="130"/>
      <c r="AR165" s="130"/>
      <c r="AS165" s="130"/>
      <c r="AT165" s="135">
        <v>10000000</v>
      </c>
      <c r="AU165" s="135"/>
      <c r="AV165" s="135"/>
      <c r="AW165" s="130"/>
      <c r="AX165" s="130"/>
      <c r="AY165" s="130"/>
      <c r="AZ165" s="130"/>
      <c r="BA165" s="130"/>
      <c r="BB165" s="130"/>
      <c r="BC165" s="130">
        <v>0</v>
      </c>
      <c r="BD165" s="130"/>
      <c r="BE165" s="130"/>
      <c r="BF165" s="138">
        <f t="shared" si="16"/>
        <v>10000000</v>
      </c>
      <c r="BG165" s="138">
        <f t="shared" si="17"/>
        <v>0</v>
      </c>
      <c r="BH165" s="138">
        <f t="shared" si="18"/>
        <v>0</v>
      </c>
      <c r="BI165" s="149" t="s">
        <v>5</v>
      </c>
    </row>
    <row r="166" spans="1:61" s="151" customFormat="1" ht="81.75" customHeight="1">
      <c r="A166" s="139">
        <v>314</v>
      </c>
      <c r="B166" s="140" t="s">
        <v>643</v>
      </c>
      <c r="C166" s="139">
        <v>1</v>
      </c>
      <c r="D166" s="140" t="s">
        <v>148</v>
      </c>
      <c r="E166" s="139">
        <v>22</v>
      </c>
      <c r="F166" s="140" t="s">
        <v>160</v>
      </c>
      <c r="G166" s="139">
        <v>2201</v>
      </c>
      <c r="H166" s="140" t="s">
        <v>297</v>
      </c>
      <c r="I166" s="139">
        <v>2201</v>
      </c>
      <c r="J166" s="140" t="s">
        <v>162</v>
      </c>
      <c r="K166" s="140" t="s">
        <v>725</v>
      </c>
      <c r="L166" s="139">
        <v>2201060</v>
      </c>
      <c r="M166" s="140" t="s">
        <v>732</v>
      </c>
      <c r="N166" s="139">
        <v>2201060</v>
      </c>
      <c r="O166" s="140" t="s">
        <v>732</v>
      </c>
      <c r="P166" s="295">
        <v>220106000</v>
      </c>
      <c r="Q166" s="142" t="s">
        <v>733</v>
      </c>
      <c r="R166" s="295">
        <v>220106000</v>
      </c>
      <c r="S166" s="142" t="s">
        <v>733</v>
      </c>
      <c r="T166" s="145" t="s">
        <v>157</v>
      </c>
      <c r="U166" s="145">
        <v>100</v>
      </c>
      <c r="V166" s="145">
        <v>13</v>
      </c>
      <c r="W166" s="145">
        <f t="shared" si="15"/>
        <v>113</v>
      </c>
      <c r="X166" s="145">
        <v>0</v>
      </c>
      <c r="Y166" s="146">
        <v>2020003630015</v>
      </c>
      <c r="Z166" s="134" t="s">
        <v>728</v>
      </c>
      <c r="AA166" s="140" t="s">
        <v>729</v>
      </c>
      <c r="AB166" s="130"/>
      <c r="AC166" s="130"/>
      <c r="AD166" s="130"/>
      <c r="AE166" s="130">
        <v>0</v>
      </c>
      <c r="AF166" s="130"/>
      <c r="AG166" s="130"/>
      <c r="AH166" s="130"/>
      <c r="AI166" s="130"/>
      <c r="AJ166" s="130"/>
      <c r="AK166" s="130"/>
      <c r="AL166" s="130"/>
      <c r="AM166" s="130"/>
      <c r="AN166" s="130">
        <v>0</v>
      </c>
      <c r="AO166" s="130"/>
      <c r="AP166" s="130"/>
      <c r="AQ166" s="130"/>
      <c r="AR166" s="130"/>
      <c r="AS166" s="130"/>
      <c r="AT166" s="135">
        <v>5000000</v>
      </c>
      <c r="AU166" s="135"/>
      <c r="AV166" s="135"/>
      <c r="AW166" s="130"/>
      <c r="AX166" s="130"/>
      <c r="AY166" s="130"/>
      <c r="AZ166" s="130"/>
      <c r="BA166" s="130"/>
      <c r="BB166" s="130"/>
      <c r="BC166" s="130">
        <v>0</v>
      </c>
      <c r="BD166" s="130"/>
      <c r="BE166" s="130"/>
      <c r="BF166" s="138">
        <f t="shared" si="16"/>
        <v>5000000</v>
      </c>
      <c r="BG166" s="138">
        <f t="shared" si="17"/>
        <v>0</v>
      </c>
      <c r="BH166" s="138">
        <f t="shared" si="18"/>
        <v>0</v>
      </c>
      <c r="BI166" s="149" t="s">
        <v>5</v>
      </c>
    </row>
    <row r="167" spans="1:61" s="151" customFormat="1" ht="90.75" customHeight="1">
      <c r="A167" s="139">
        <v>314</v>
      </c>
      <c r="B167" s="140" t="s">
        <v>643</v>
      </c>
      <c r="C167" s="139">
        <v>1</v>
      </c>
      <c r="D167" s="140" t="s">
        <v>148</v>
      </c>
      <c r="E167" s="139">
        <v>22</v>
      </c>
      <c r="F167" s="140" t="s">
        <v>160</v>
      </c>
      <c r="G167" s="139">
        <v>2201</v>
      </c>
      <c r="H167" s="140" t="s">
        <v>297</v>
      </c>
      <c r="I167" s="139">
        <v>2201</v>
      </c>
      <c r="J167" s="140" t="s">
        <v>162</v>
      </c>
      <c r="K167" s="140" t="s">
        <v>706</v>
      </c>
      <c r="L167" s="139">
        <v>2201001</v>
      </c>
      <c r="M167" s="140" t="s">
        <v>253</v>
      </c>
      <c r="N167" s="139">
        <v>2201001</v>
      </c>
      <c r="O167" s="140" t="s">
        <v>253</v>
      </c>
      <c r="P167" s="137">
        <v>220100100</v>
      </c>
      <c r="Q167" s="142" t="s">
        <v>724</v>
      </c>
      <c r="R167" s="137">
        <v>220100100</v>
      </c>
      <c r="S167" s="142" t="s">
        <v>724</v>
      </c>
      <c r="T167" s="145" t="s">
        <v>69</v>
      </c>
      <c r="U167" s="145">
        <v>5</v>
      </c>
      <c r="V167" s="145"/>
      <c r="W167" s="145">
        <f t="shared" si="15"/>
        <v>5</v>
      </c>
      <c r="X167" s="145">
        <v>1</v>
      </c>
      <c r="Y167" s="146">
        <v>2020003630095</v>
      </c>
      <c r="Z167" s="134" t="s">
        <v>734</v>
      </c>
      <c r="AA167" s="134" t="s">
        <v>735</v>
      </c>
      <c r="AB167" s="130"/>
      <c r="AC167" s="130"/>
      <c r="AD167" s="130"/>
      <c r="AE167" s="130">
        <v>0</v>
      </c>
      <c r="AF167" s="130"/>
      <c r="AG167" s="130"/>
      <c r="AH167" s="130"/>
      <c r="AI167" s="130"/>
      <c r="AJ167" s="130"/>
      <c r="AK167" s="130"/>
      <c r="AL167" s="130"/>
      <c r="AM167" s="130"/>
      <c r="AN167" s="130">
        <v>0</v>
      </c>
      <c r="AO167" s="130"/>
      <c r="AP167" s="130"/>
      <c r="AQ167" s="130"/>
      <c r="AR167" s="130"/>
      <c r="AS167" s="130"/>
      <c r="AT167" s="135">
        <v>9000000</v>
      </c>
      <c r="AU167" s="135">
        <v>9000000</v>
      </c>
      <c r="AV167" s="135">
        <v>3200000</v>
      </c>
      <c r="AW167" s="130"/>
      <c r="AX167" s="130"/>
      <c r="AY167" s="130"/>
      <c r="AZ167" s="130"/>
      <c r="BA167" s="130"/>
      <c r="BB167" s="130"/>
      <c r="BC167" s="130">
        <v>0</v>
      </c>
      <c r="BD167" s="130"/>
      <c r="BE167" s="130"/>
      <c r="BF167" s="138">
        <f t="shared" si="16"/>
        <v>9000000</v>
      </c>
      <c r="BG167" s="138">
        <f t="shared" si="17"/>
        <v>9000000</v>
      </c>
      <c r="BH167" s="138">
        <f t="shared" si="18"/>
        <v>3200000</v>
      </c>
      <c r="BI167" s="149" t="s">
        <v>5</v>
      </c>
    </row>
    <row r="168" spans="1:61" s="151" customFormat="1" ht="81" customHeight="1">
      <c r="A168" s="139">
        <v>314</v>
      </c>
      <c r="B168" s="140" t="s">
        <v>643</v>
      </c>
      <c r="C168" s="139">
        <v>1</v>
      </c>
      <c r="D168" s="140" t="s">
        <v>148</v>
      </c>
      <c r="E168" s="139">
        <v>22</v>
      </c>
      <c r="F168" s="140" t="s">
        <v>160</v>
      </c>
      <c r="G168" s="139">
        <v>2201</v>
      </c>
      <c r="H168" s="140" t="s">
        <v>297</v>
      </c>
      <c r="I168" s="139">
        <v>2201</v>
      </c>
      <c r="J168" s="140" t="s">
        <v>162</v>
      </c>
      <c r="K168" s="140" t="s">
        <v>658</v>
      </c>
      <c r="L168" s="139">
        <v>2201048</v>
      </c>
      <c r="M168" s="140" t="s">
        <v>736</v>
      </c>
      <c r="N168" s="139">
        <v>2201048</v>
      </c>
      <c r="O168" s="140" t="s">
        <v>736</v>
      </c>
      <c r="P168" s="137">
        <v>220104801</v>
      </c>
      <c r="Q168" s="142" t="s">
        <v>737</v>
      </c>
      <c r="R168" s="137">
        <v>220104801</v>
      </c>
      <c r="S168" s="142" t="s">
        <v>737</v>
      </c>
      <c r="T168" s="145" t="s">
        <v>69</v>
      </c>
      <c r="U168" s="145">
        <v>1</v>
      </c>
      <c r="V168" s="145"/>
      <c r="W168" s="145">
        <f t="shared" si="15"/>
        <v>1</v>
      </c>
      <c r="X168" s="145">
        <v>0</v>
      </c>
      <c r="Y168" s="146">
        <v>2020003630095</v>
      </c>
      <c r="Z168" s="134" t="s">
        <v>734</v>
      </c>
      <c r="AA168" s="134" t="s">
        <v>735</v>
      </c>
      <c r="AB168" s="130"/>
      <c r="AC168" s="130"/>
      <c r="AD168" s="130"/>
      <c r="AE168" s="130">
        <v>0</v>
      </c>
      <c r="AF168" s="130"/>
      <c r="AG168" s="130"/>
      <c r="AH168" s="130"/>
      <c r="AI168" s="130"/>
      <c r="AJ168" s="130"/>
      <c r="AK168" s="130"/>
      <c r="AL168" s="130"/>
      <c r="AM168" s="130"/>
      <c r="AN168" s="130">
        <v>0</v>
      </c>
      <c r="AO168" s="130"/>
      <c r="AP168" s="130"/>
      <c r="AQ168" s="130"/>
      <c r="AR168" s="130"/>
      <c r="AS168" s="130"/>
      <c r="AT168" s="135">
        <v>22484457</v>
      </c>
      <c r="AU168" s="135">
        <v>10200000</v>
      </c>
      <c r="AV168" s="135">
        <v>3200000</v>
      </c>
      <c r="AW168" s="130"/>
      <c r="AX168" s="130"/>
      <c r="AY168" s="130"/>
      <c r="AZ168" s="130"/>
      <c r="BA168" s="130"/>
      <c r="BB168" s="130"/>
      <c r="BC168" s="130">
        <v>0</v>
      </c>
      <c r="BD168" s="130"/>
      <c r="BE168" s="130"/>
      <c r="BF168" s="138">
        <f t="shared" si="16"/>
        <v>22484457</v>
      </c>
      <c r="BG168" s="138">
        <f t="shared" si="17"/>
        <v>10200000</v>
      </c>
      <c r="BH168" s="138">
        <f t="shared" si="18"/>
        <v>3200000</v>
      </c>
      <c r="BI168" s="149" t="s">
        <v>5</v>
      </c>
    </row>
    <row r="169" spans="1:61" s="151" customFormat="1" ht="77.25" customHeight="1">
      <c r="A169" s="139">
        <v>314</v>
      </c>
      <c r="B169" s="140" t="s">
        <v>643</v>
      </c>
      <c r="C169" s="139">
        <v>1</v>
      </c>
      <c r="D169" s="140" t="s">
        <v>148</v>
      </c>
      <c r="E169" s="139">
        <v>22</v>
      </c>
      <c r="F169" s="140" t="s">
        <v>160</v>
      </c>
      <c r="G169" s="139" t="s">
        <v>61</v>
      </c>
      <c r="H169" s="140" t="s">
        <v>738</v>
      </c>
      <c r="I169" s="139">
        <v>2202</v>
      </c>
      <c r="J169" s="140" t="s">
        <v>739</v>
      </c>
      <c r="K169" s="140" t="s">
        <v>703</v>
      </c>
      <c r="L169" s="139" t="s">
        <v>61</v>
      </c>
      <c r="M169" s="140" t="s">
        <v>740</v>
      </c>
      <c r="N169" s="139">
        <v>2202006</v>
      </c>
      <c r="O169" s="140" t="s">
        <v>740</v>
      </c>
      <c r="P169" s="139" t="s">
        <v>61</v>
      </c>
      <c r="Q169" s="142" t="s">
        <v>741</v>
      </c>
      <c r="R169" s="139">
        <v>220200604</v>
      </c>
      <c r="S169" s="142" t="s">
        <v>742</v>
      </c>
      <c r="T169" s="145" t="s">
        <v>69</v>
      </c>
      <c r="U169" s="145">
        <v>2</v>
      </c>
      <c r="V169" s="145"/>
      <c r="W169" s="145">
        <f t="shared" si="15"/>
        <v>2</v>
      </c>
      <c r="X169" s="145">
        <v>2</v>
      </c>
      <c r="Y169" s="146">
        <v>2020003630096</v>
      </c>
      <c r="Z169" s="134" t="s">
        <v>743</v>
      </c>
      <c r="AA169" s="140" t="s">
        <v>744</v>
      </c>
      <c r="AB169" s="130"/>
      <c r="AC169" s="130"/>
      <c r="AD169" s="130"/>
      <c r="AE169" s="290">
        <f>70000000+100000000</f>
        <v>170000000</v>
      </c>
      <c r="AF169" s="290">
        <v>60197609</v>
      </c>
      <c r="AG169" s="290">
        <v>60197609</v>
      </c>
      <c r="AH169" s="130"/>
      <c r="AI169" s="130"/>
      <c r="AJ169" s="130"/>
      <c r="AK169" s="130"/>
      <c r="AL169" s="130"/>
      <c r="AM169" s="130"/>
      <c r="AN169" s="148">
        <v>0</v>
      </c>
      <c r="AO169" s="148"/>
      <c r="AP169" s="148"/>
      <c r="AQ169" s="130"/>
      <c r="AR169" s="130"/>
      <c r="AS169" s="130"/>
      <c r="AT169" s="135">
        <f>100000000-100000000</f>
        <v>0</v>
      </c>
      <c r="AU169" s="135"/>
      <c r="AV169" s="135"/>
      <c r="AW169" s="130"/>
      <c r="AX169" s="130"/>
      <c r="AY169" s="130"/>
      <c r="AZ169" s="130"/>
      <c r="BA169" s="130"/>
      <c r="BB169" s="130"/>
      <c r="BC169" s="130">
        <v>0</v>
      </c>
      <c r="BD169" s="130"/>
      <c r="BE169" s="130"/>
      <c r="BF169" s="138">
        <f t="shared" si="16"/>
        <v>170000000</v>
      </c>
      <c r="BG169" s="138">
        <f t="shared" si="17"/>
        <v>60197609</v>
      </c>
      <c r="BH169" s="138">
        <f t="shared" si="18"/>
        <v>60197609</v>
      </c>
      <c r="BI169" s="149" t="s">
        <v>5</v>
      </c>
    </row>
    <row r="170" spans="1:61" s="151" customFormat="1" ht="79.5" customHeight="1">
      <c r="A170" s="139">
        <v>314</v>
      </c>
      <c r="B170" s="140" t="s">
        <v>643</v>
      </c>
      <c r="C170" s="139">
        <v>2</v>
      </c>
      <c r="D170" s="140" t="s">
        <v>199</v>
      </c>
      <c r="E170" s="139">
        <v>39</v>
      </c>
      <c r="F170" s="140" t="s">
        <v>745</v>
      </c>
      <c r="G170" s="139">
        <v>3904</v>
      </c>
      <c r="H170" s="140" t="s">
        <v>746</v>
      </c>
      <c r="I170" s="139">
        <v>3904</v>
      </c>
      <c r="J170" s="140" t="s">
        <v>747</v>
      </c>
      <c r="K170" s="140" t="s">
        <v>748</v>
      </c>
      <c r="L170" s="139">
        <v>3904006</v>
      </c>
      <c r="M170" s="140" t="s">
        <v>749</v>
      </c>
      <c r="N170" s="139">
        <v>3904006</v>
      </c>
      <c r="O170" s="140" t="s">
        <v>749</v>
      </c>
      <c r="P170" s="145">
        <v>390400604</v>
      </c>
      <c r="Q170" s="142" t="s">
        <v>750</v>
      </c>
      <c r="R170" s="145">
        <v>390400604</v>
      </c>
      <c r="S170" s="142" t="s">
        <v>751</v>
      </c>
      <c r="T170" s="143" t="s">
        <v>157</v>
      </c>
      <c r="U170" s="145">
        <v>18</v>
      </c>
      <c r="V170" s="145"/>
      <c r="W170" s="145">
        <f t="shared" si="15"/>
        <v>18</v>
      </c>
      <c r="X170" s="145">
        <v>0</v>
      </c>
      <c r="Y170" s="146">
        <v>2020003630097</v>
      </c>
      <c r="Z170" s="134" t="s">
        <v>752</v>
      </c>
      <c r="AA170" s="140" t="s">
        <v>753</v>
      </c>
      <c r="AB170" s="130"/>
      <c r="AC170" s="130"/>
      <c r="AD170" s="130"/>
      <c r="AE170" s="290">
        <v>20000000</v>
      </c>
      <c r="AF170" s="290"/>
      <c r="AG170" s="290"/>
      <c r="AH170" s="130"/>
      <c r="AI170" s="130"/>
      <c r="AJ170" s="130"/>
      <c r="AK170" s="130"/>
      <c r="AL170" s="130"/>
      <c r="AM170" s="130"/>
      <c r="AN170" s="148">
        <v>0</v>
      </c>
      <c r="AO170" s="148"/>
      <c r="AP170" s="148"/>
      <c r="AQ170" s="130"/>
      <c r="AR170" s="130"/>
      <c r="AS170" s="130"/>
      <c r="AT170" s="135">
        <v>12514678</v>
      </c>
      <c r="AU170" s="135"/>
      <c r="AV170" s="135"/>
      <c r="AW170" s="130"/>
      <c r="AX170" s="130"/>
      <c r="AY170" s="130"/>
      <c r="AZ170" s="130"/>
      <c r="BA170" s="130"/>
      <c r="BB170" s="130"/>
      <c r="BC170" s="130">
        <v>0</v>
      </c>
      <c r="BD170" s="130"/>
      <c r="BE170" s="130"/>
      <c r="BF170" s="138">
        <f t="shared" si="16"/>
        <v>32514678</v>
      </c>
      <c r="BG170" s="138">
        <f t="shared" si="17"/>
        <v>0</v>
      </c>
      <c r="BH170" s="138">
        <f t="shared" si="18"/>
        <v>0</v>
      </c>
      <c r="BI170" s="149" t="s">
        <v>5</v>
      </c>
    </row>
    <row r="171" spans="1:61" s="151" customFormat="1" ht="174.75" customHeight="1">
      <c r="A171" s="139">
        <v>316</v>
      </c>
      <c r="B171" s="140" t="s">
        <v>754</v>
      </c>
      <c r="C171" s="139">
        <v>1</v>
      </c>
      <c r="D171" s="140" t="s">
        <v>148</v>
      </c>
      <c r="E171" s="139">
        <v>19</v>
      </c>
      <c r="F171" s="140" t="s">
        <v>755</v>
      </c>
      <c r="G171" s="139">
        <v>1905</v>
      </c>
      <c r="H171" s="140" t="s">
        <v>756</v>
      </c>
      <c r="I171" s="139">
        <v>1905</v>
      </c>
      <c r="J171" s="140" t="s">
        <v>757</v>
      </c>
      <c r="K171" s="140" t="s">
        <v>758</v>
      </c>
      <c r="L171" s="137">
        <v>1905021</v>
      </c>
      <c r="M171" s="140" t="s">
        <v>759</v>
      </c>
      <c r="N171" s="137">
        <v>1905021</v>
      </c>
      <c r="O171" s="140" t="s">
        <v>759</v>
      </c>
      <c r="P171" s="137">
        <v>190502100</v>
      </c>
      <c r="Q171" s="142" t="s">
        <v>760</v>
      </c>
      <c r="R171" s="137">
        <v>190502100</v>
      </c>
      <c r="S171" s="142" t="s">
        <v>760</v>
      </c>
      <c r="T171" s="145" t="s">
        <v>69</v>
      </c>
      <c r="U171" s="145">
        <v>12</v>
      </c>
      <c r="V171" s="145"/>
      <c r="W171" s="145">
        <f>U171+V171</f>
        <v>12</v>
      </c>
      <c r="X171" s="145">
        <v>3</v>
      </c>
      <c r="Y171" s="146">
        <v>2020003630011</v>
      </c>
      <c r="Z171" s="134" t="s">
        <v>761</v>
      </c>
      <c r="AA171" s="134" t="s">
        <v>762</v>
      </c>
      <c r="AB171" s="130"/>
      <c r="AC171" s="130"/>
      <c r="AD171" s="130"/>
      <c r="AE171" s="130"/>
      <c r="AF171" s="130"/>
      <c r="AG171" s="130"/>
      <c r="AH171" s="130"/>
      <c r="AI171" s="130"/>
      <c r="AJ171" s="130"/>
      <c r="AK171" s="130"/>
      <c r="AL171" s="130"/>
      <c r="AM171" s="130"/>
      <c r="AN171" s="130"/>
      <c r="AO171" s="130"/>
      <c r="AP171" s="130"/>
      <c r="AQ171" s="130"/>
      <c r="AR171" s="130"/>
      <c r="AS171" s="130"/>
      <c r="AT171" s="148">
        <v>60000000</v>
      </c>
      <c r="AU171" s="148">
        <v>47900000</v>
      </c>
      <c r="AV171" s="148">
        <v>28950000</v>
      </c>
      <c r="AW171" s="130"/>
      <c r="AX171" s="130"/>
      <c r="AY171" s="130"/>
      <c r="AZ171" s="130"/>
      <c r="BA171" s="130"/>
      <c r="BB171" s="130"/>
      <c r="BC171" s="130"/>
      <c r="BD171" s="130"/>
      <c r="BE171" s="130"/>
      <c r="BF171" s="138">
        <f t="shared" si="16"/>
        <v>60000000</v>
      </c>
      <c r="BG171" s="138">
        <f t="shared" si="17"/>
        <v>47900000</v>
      </c>
      <c r="BH171" s="138">
        <f t="shared" si="18"/>
        <v>28950000</v>
      </c>
      <c r="BI171" s="149" t="s">
        <v>6</v>
      </c>
    </row>
    <row r="172" spans="1:61" s="151" customFormat="1" ht="139.5" customHeight="1">
      <c r="A172" s="139">
        <v>316</v>
      </c>
      <c r="B172" s="140" t="s">
        <v>754</v>
      </c>
      <c r="C172" s="139">
        <v>1</v>
      </c>
      <c r="D172" s="140" t="s">
        <v>148</v>
      </c>
      <c r="E172" s="139">
        <v>19</v>
      </c>
      <c r="F172" s="140" t="s">
        <v>755</v>
      </c>
      <c r="G172" s="139">
        <v>1905</v>
      </c>
      <c r="H172" s="140" t="s">
        <v>756</v>
      </c>
      <c r="I172" s="139">
        <v>1905</v>
      </c>
      <c r="J172" s="140" t="s">
        <v>757</v>
      </c>
      <c r="K172" s="140" t="s">
        <v>763</v>
      </c>
      <c r="L172" s="275">
        <v>1905022</v>
      </c>
      <c r="M172" s="274" t="s">
        <v>764</v>
      </c>
      <c r="N172" s="275">
        <v>1905022</v>
      </c>
      <c r="O172" s="274" t="s">
        <v>764</v>
      </c>
      <c r="P172" s="145">
        <v>190502200</v>
      </c>
      <c r="Q172" s="142" t="s">
        <v>765</v>
      </c>
      <c r="R172" s="145">
        <v>190502200</v>
      </c>
      <c r="S172" s="142" t="s">
        <v>765</v>
      </c>
      <c r="T172" s="145" t="s">
        <v>69</v>
      </c>
      <c r="U172" s="145">
        <v>12</v>
      </c>
      <c r="V172" s="145"/>
      <c r="W172" s="145">
        <f t="shared" ref="W172:W201" si="19">U172+V172</f>
        <v>12</v>
      </c>
      <c r="X172" s="145">
        <v>3</v>
      </c>
      <c r="Y172" s="146">
        <v>2020003630011</v>
      </c>
      <c r="Z172" s="134" t="s">
        <v>761</v>
      </c>
      <c r="AA172" s="134" t="s">
        <v>762</v>
      </c>
      <c r="AB172" s="130"/>
      <c r="AC172" s="130"/>
      <c r="AD172" s="130"/>
      <c r="AE172" s="130"/>
      <c r="AF172" s="130"/>
      <c r="AG172" s="130"/>
      <c r="AH172" s="130"/>
      <c r="AI172" s="130"/>
      <c r="AJ172" s="130"/>
      <c r="AK172" s="130"/>
      <c r="AL172" s="130"/>
      <c r="AM172" s="130"/>
      <c r="AN172" s="130"/>
      <c r="AO172" s="130"/>
      <c r="AP172" s="130"/>
      <c r="AQ172" s="130"/>
      <c r="AR172" s="130"/>
      <c r="AS172" s="130"/>
      <c r="AT172" s="138">
        <f>40000000+30000000</f>
        <v>70000000</v>
      </c>
      <c r="AU172" s="138">
        <v>26200000</v>
      </c>
      <c r="AV172" s="138">
        <v>5400000</v>
      </c>
      <c r="AW172" s="130"/>
      <c r="AX172" s="130"/>
      <c r="AY172" s="130"/>
      <c r="AZ172" s="130"/>
      <c r="BA172" s="130"/>
      <c r="BB172" s="130"/>
      <c r="BC172" s="130"/>
      <c r="BD172" s="130"/>
      <c r="BE172" s="130"/>
      <c r="BF172" s="138">
        <f t="shared" si="16"/>
        <v>70000000</v>
      </c>
      <c r="BG172" s="138">
        <f t="shared" si="17"/>
        <v>26200000</v>
      </c>
      <c r="BH172" s="138">
        <f t="shared" si="18"/>
        <v>5400000</v>
      </c>
      <c r="BI172" s="149" t="s">
        <v>6</v>
      </c>
    </row>
    <row r="173" spans="1:61" s="151" customFormat="1" ht="95.25" customHeight="1">
      <c r="A173" s="139">
        <v>316</v>
      </c>
      <c r="B173" s="140" t="s">
        <v>754</v>
      </c>
      <c r="C173" s="139">
        <v>1</v>
      </c>
      <c r="D173" s="140" t="s">
        <v>148</v>
      </c>
      <c r="E173" s="139">
        <v>33</v>
      </c>
      <c r="F173" s="140" t="s">
        <v>170</v>
      </c>
      <c r="G173" s="139">
        <v>3301</v>
      </c>
      <c r="H173" s="141" t="s">
        <v>171</v>
      </c>
      <c r="I173" s="139">
        <v>3301</v>
      </c>
      <c r="J173" s="140" t="s">
        <v>172</v>
      </c>
      <c r="K173" s="140" t="s">
        <v>766</v>
      </c>
      <c r="L173" s="137">
        <v>3301051</v>
      </c>
      <c r="M173" s="140" t="s">
        <v>767</v>
      </c>
      <c r="N173" s="137">
        <v>3301051</v>
      </c>
      <c r="O173" s="140" t="s">
        <v>767</v>
      </c>
      <c r="P173" s="137">
        <v>330105110</v>
      </c>
      <c r="Q173" s="142" t="s">
        <v>768</v>
      </c>
      <c r="R173" s="137">
        <v>330105110</v>
      </c>
      <c r="S173" s="142" t="s">
        <v>768</v>
      </c>
      <c r="T173" s="145" t="s">
        <v>157</v>
      </c>
      <c r="U173" s="145">
        <v>350</v>
      </c>
      <c r="V173" s="145"/>
      <c r="W173" s="145">
        <f t="shared" si="19"/>
        <v>350</v>
      </c>
      <c r="X173" s="145">
        <v>88</v>
      </c>
      <c r="Y173" s="146">
        <v>2020003630098</v>
      </c>
      <c r="Z173" s="134" t="s">
        <v>769</v>
      </c>
      <c r="AA173" s="140" t="s">
        <v>770</v>
      </c>
      <c r="AB173" s="130"/>
      <c r="AC173" s="130"/>
      <c r="AD173" s="130"/>
      <c r="AE173" s="130"/>
      <c r="AF173" s="130"/>
      <c r="AG173" s="130"/>
      <c r="AH173" s="130"/>
      <c r="AI173" s="130"/>
      <c r="AJ173" s="130"/>
      <c r="AK173" s="130"/>
      <c r="AL173" s="130"/>
      <c r="AM173" s="130"/>
      <c r="AN173" s="130"/>
      <c r="AO173" s="130"/>
      <c r="AP173" s="130"/>
      <c r="AQ173" s="130"/>
      <c r="AR173" s="130"/>
      <c r="AS173" s="130"/>
      <c r="AT173" s="138">
        <f>14600000+4300000</f>
        <v>18900000</v>
      </c>
      <c r="AU173" s="138">
        <v>9600000</v>
      </c>
      <c r="AV173" s="138">
        <v>3200000</v>
      </c>
      <c r="AW173" s="130"/>
      <c r="AX173" s="130"/>
      <c r="AY173" s="130"/>
      <c r="AZ173" s="130"/>
      <c r="BA173" s="130"/>
      <c r="BB173" s="130"/>
      <c r="BC173" s="130"/>
      <c r="BD173" s="130"/>
      <c r="BE173" s="130"/>
      <c r="BF173" s="138">
        <f t="shared" si="16"/>
        <v>18900000</v>
      </c>
      <c r="BG173" s="138">
        <f t="shared" si="17"/>
        <v>9600000</v>
      </c>
      <c r="BH173" s="138">
        <f t="shared" si="18"/>
        <v>3200000</v>
      </c>
      <c r="BI173" s="149" t="s">
        <v>6</v>
      </c>
    </row>
    <row r="174" spans="1:61" s="151" customFormat="1" ht="94.5" customHeight="1">
      <c r="A174" s="139">
        <v>316</v>
      </c>
      <c r="B174" s="140" t="s">
        <v>754</v>
      </c>
      <c r="C174" s="139">
        <v>1</v>
      </c>
      <c r="D174" s="140" t="s">
        <v>148</v>
      </c>
      <c r="E174" s="139">
        <v>41</v>
      </c>
      <c r="F174" s="140" t="s">
        <v>771</v>
      </c>
      <c r="G174" s="139">
        <v>4102</v>
      </c>
      <c r="H174" s="140" t="s">
        <v>772</v>
      </c>
      <c r="I174" s="139">
        <v>4102</v>
      </c>
      <c r="J174" s="140" t="s">
        <v>773</v>
      </c>
      <c r="K174" s="140" t="s">
        <v>774</v>
      </c>
      <c r="L174" s="139" t="s">
        <v>61</v>
      </c>
      <c r="M174" s="140" t="s">
        <v>775</v>
      </c>
      <c r="N174" s="137">
        <v>4102035</v>
      </c>
      <c r="O174" s="140" t="s">
        <v>101</v>
      </c>
      <c r="P174" s="139" t="s">
        <v>61</v>
      </c>
      <c r="Q174" s="142" t="s">
        <v>776</v>
      </c>
      <c r="R174" s="132">
        <v>410203500</v>
      </c>
      <c r="S174" s="142" t="s">
        <v>103</v>
      </c>
      <c r="T174" s="317" t="s">
        <v>69</v>
      </c>
      <c r="U174" s="132">
        <v>1</v>
      </c>
      <c r="V174" s="132"/>
      <c r="W174" s="145">
        <f t="shared" si="19"/>
        <v>1</v>
      </c>
      <c r="X174" s="145">
        <v>0.25</v>
      </c>
      <c r="Y174" s="146">
        <v>2020003630099</v>
      </c>
      <c r="Z174" s="134" t="s">
        <v>777</v>
      </c>
      <c r="AA174" s="140" t="s">
        <v>778</v>
      </c>
      <c r="AB174" s="130"/>
      <c r="AC174" s="130"/>
      <c r="AD174" s="130"/>
      <c r="AE174" s="130"/>
      <c r="AF174" s="130"/>
      <c r="AG174" s="130"/>
      <c r="AH174" s="130"/>
      <c r="AI174" s="130"/>
      <c r="AJ174" s="130"/>
      <c r="AK174" s="130"/>
      <c r="AL174" s="130"/>
      <c r="AM174" s="130"/>
      <c r="AN174" s="130"/>
      <c r="AO174" s="130"/>
      <c r="AP174" s="130"/>
      <c r="AQ174" s="130"/>
      <c r="AR174" s="130"/>
      <c r="AS174" s="130"/>
      <c r="AT174" s="138">
        <v>20000000</v>
      </c>
      <c r="AU174" s="138">
        <v>12000000</v>
      </c>
      <c r="AV174" s="138">
        <v>6400000</v>
      </c>
      <c r="AW174" s="130"/>
      <c r="AX174" s="130"/>
      <c r="AY174" s="130"/>
      <c r="AZ174" s="130"/>
      <c r="BA174" s="130"/>
      <c r="BB174" s="130"/>
      <c r="BC174" s="130"/>
      <c r="BD174" s="130"/>
      <c r="BE174" s="130"/>
      <c r="BF174" s="138">
        <f t="shared" si="16"/>
        <v>20000000</v>
      </c>
      <c r="BG174" s="138">
        <f t="shared" si="17"/>
        <v>12000000</v>
      </c>
      <c r="BH174" s="138">
        <f t="shared" si="18"/>
        <v>6400000</v>
      </c>
      <c r="BI174" s="149" t="s">
        <v>6</v>
      </c>
    </row>
    <row r="175" spans="1:61" s="151" customFormat="1" ht="90.75" customHeight="1">
      <c r="A175" s="139">
        <v>316</v>
      </c>
      <c r="B175" s="140" t="s">
        <v>754</v>
      </c>
      <c r="C175" s="139">
        <v>1</v>
      </c>
      <c r="D175" s="140" t="s">
        <v>148</v>
      </c>
      <c r="E175" s="139">
        <v>41</v>
      </c>
      <c r="F175" s="140" t="s">
        <v>771</v>
      </c>
      <c r="G175" s="139">
        <v>4102</v>
      </c>
      <c r="H175" s="140" t="s">
        <v>772</v>
      </c>
      <c r="I175" s="139">
        <v>4102</v>
      </c>
      <c r="J175" s="140" t="s">
        <v>773</v>
      </c>
      <c r="K175" s="140" t="s">
        <v>779</v>
      </c>
      <c r="L175" s="139" t="s">
        <v>61</v>
      </c>
      <c r="M175" s="140" t="s">
        <v>780</v>
      </c>
      <c r="N175" s="137">
        <v>4102001</v>
      </c>
      <c r="O175" s="140" t="s">
        <v>781</v>
      </c>
      <c r="P175" s="139" t="s">
        <v>61</v>
      </c>
      <c r="Q175" s="142" t="s">
        <v>782</v>
      </c>
      <c r="R175" s="137">
        <v>410200100</v>
      </c>
      <c r="S175" s="142" t="s">
        <v>783</v>
      </c>
      <c r="T175" s="317" t="s">
        <v>69</v>
      </c>
      <c r="U175" s="132">
        <v>12</v>
      </c>
      <c r="V175" s="132"/>
      <c r="W175" s="145">
        <f t="shared" si="19"/>
        <v>12</v>
      </c>
      <c r="X175" s="145">
        <v>1</v>
      </c>
      <c r="Y175" s="146">
        <v>2020003630099</v>
      </c>
      <c r="Z175" s="134" t="s">
        <v>777</v>
      </c>
      <c r="AA175" s="140" t="s">
        <v>778</v>
      </c>
      <c r="AB175" s="130"/>
      <c r="AC175" s="130"/>
      <c r="AD175" s="130"/>
      <c r="AE175" s="130"/>
      <c r="AF175" s="130"/>
      <c r="AG175" s="130"/>
      <c r="AH175" s="130"/>
      <c r="AI175" s="130"/>
      <c r="AJ175" s="130"/>
      <c r="AK175" s="130"/>
      <c r="AL175" s="130"/>
      <c r="AM175" s="130"/>
      <c r="AN175" s="130"/>
      <c r="AO175" s="130"/>
      <c r="AP175" s="130"/>
      <c r="AQ175" s="130"/>
      <c r="AR175" s="130"/>
      <c r="AS175" s="130"/>
      <c r="AT175" s="138">
        <f>37000000+14600000</f>
        <v>51600000</v>
      </c>
      <c r="AU175" s="138">
        <v>16000000</v>
      </c>
      <c r="AV175" s="138">
        <v>6400000</v>
      </c>
      <c r="AW175" s="130"/>
      <c r="AX175" s="130"/>
      <c r="AY175" s="130"/>
      <c r="AZ175" s="130"/>
      <c r="BA175" s="130"/>
      <c r="BB175" s="130"/>
      <c r="BC175" s="130"/>
      <c r="BD175" s="130"/>
      <c r="BE175" s="130"/>
      <c r="BF175" s="138">
        <f t="shared" si="16"/>
        <v>51600000</v>
      </c>
      <c r="BG175" s="138">
        <f t="shared" si="17"/>
        <v>16000000</v>
      </c>
      <c r="BH175" s="138">
        <f t="shared" si="18"/>
        <v>6400000</v>
      </c>
      <c r="BI175" s="149" t="s">
        <v>6</v>
      </c>
    </row>
    <row r="176" spans="1:61" s="151" customFormat="1" ht="271.5" customHeight="1">
      <c r="A176" s="139">
        <v>316</v>
      </c>
      <c r="B176" s="140" t="s">
        <v>754</v>
      </c>
      <c r="C176" s="139">
        <v>1</v>
      </c>
      <c r="D176" s="140" t="s">
        <v>148</v>
      </c>
      <c r="E176" s="139">
        <v>41</v>
      </c>
      <c r="F176" s="140" t="s">
        <v>771</v>
      </c>
      <c r="G176" s="139">
        <v>4102</v>
      </c>
      <c r="H176" s="140" t="s">
        <v>772</v>
      </c>
      <c r="I176" s="139">
        <v>4102</v>
      </c>
      <c r="J176" s="140" t="s">
        <v>773</v>
      </c>
      <c r="K176" s="140" t="s">
        <v>784</v>
      </c>
      <c r="L176" s="139" t="s">
        <v>61</v>
      </c>
      <c r="M176" s="140" t="s">
        <v>785</v>
      </c>
      <c r="N176" s="271" t="s">
        <v>786</v>
      </c>
      <c r="O176" s="140" t="s">
        <v>787</v>
      </c>
      <c r="P176" s="139" t="s">
        <v>61</v>
      </c>
      <c r="Q176" s="142" t="s">
        <v>788</v>
      </c>
      <c r="R176" s="271" t="s">
        <v>789</v>
      </c>
      <c r="S176" s="142" t="s">
        <v>790</v>
      </c>
      <c r="T176" s="317" t="s">
        <v>69</v>
      </c>
      <c r="U176" s="132">
        <v>1</v>
      </c>
      <c r="V176" s="132"/>
      <c r="W176" s="145">
        <f t="shared" si="19"/>
        <v>1</v>
      </c>
      <c r="X176" s="145">
        <v>0.25</v>
      </c>
      <c r="Y176" s="146">
        <v>2020003630100</v>
      </c>
      <c r="Z176" s="134" t="s">
        <v>791</v>
      </c>
      <c r="AA176" s="140" t="s">
        <v>792</v>
      </c>
      <c r="AB176" s="130"/>
      <c r="AC176" s="130"/>
      <c r="AD176" s="130"/>
      <c r="AE176" s="130"/>
      <c r="AF176" s="130"/>
      <c r="AG176" s="130"/>
      <c r="AH176" s="130"/>
      <c r="AI176" s="130"/>
      <c r="AJ176" s="130"/>
      <c r="AK176" s="130"/>
      <c r="AL176" s="130"/>
      <c r="AM176" s="130"/>
      <c r="AN176" s="130"/>
      <c r="AO176" s="130"/>
      <c r="AP176" s="130"/>
      <c r="AQ176" s="130"/>
      <c r="AR176" s="130"/>
      <c r="AS176" s="130"/>
      <c r="AT176" s="138">
        <f>100200000+24600000</f>
        <v>124800000</v>
      </c>
      <c r="AU176" s="138">
        <v>67800000</v>
      </c>
      <c r="AV176" s="138">
        <v>22200000</v>
      </c>
      <c r="AW176" s="130"/>
      <c r="AX176" s="130"/>
      <c r="AY176" s="130"/>
      <c r="AZ176" s="130"/>
      <c r="BA176" s="130"/>
      <c r="BB176" s="130"/>
      <c r="BC176" s="130"/>
      <c r="BD176" s="130"/>
      <c r="BE176" s="130"/>
      <c r="BF176" s="138">
        <f t="shared" si="16"/>
        <v>124800000</v>
      </c>
      <c r="BG176" s="138">
        <f t="shared" si="17"/>
        <v>67800000</v>
      </c>
      <c r="BH176" s="138">
        <f t="shared" si="18"/>
        <v>22200000</v>
      </c>
      <c r="BI176" s="149" t="s">
        <v>6</v>
      </c>
    </row>
    <row r="177" spans="1:61" s="151" customFormat="1" ht="237" customHeight="1">
      <c r="A177" s="139">
        <v>316</v>
      </c>
      <c r="B177" s="140" t="s">
        <v>754</v>
      </c>
      <c r="C177" s="139">
        <v>1</v>
      </c>
      <c r="D177" s="140" t="s">
        <v>148</v>
      </c>
      <c r="E177" s="139">
        <v>41</v>
      </c>
      <c r="F177" s="140" t="s">
        <v>771</v>
      </c>
      <c r="G177" s="139">
        <v>4102</v>
      </c>
      <c r="H177" s="140" t="s">
        <v>772</v>
      </c>
      <c r="I177" s="139">
        <v>4102</v>
      </c>
      <c r="J177" s="141" t="s">
        <v>773</v>
      </c>
      <c r="K177" s="140" t="s">
        <v>793</v>
      </c>
      <c r="L177" s="139" t="s">
        <v>61</v>
      </c>
      <c r="M177" s="140" t="s">
        <v>794</v>
      </c>
      <c r="N177" s="271" t="s">
        <v>786</v>
      </c>
      <c r="O177" s="140" t="s">
        <v>795</v>
      </c>
      <c r="P177" s="139" t="s">
        <v>61</v>
      </c>
      <c r="Q177" s="141" t="s">
        <v>796</v>
      </c>
      <c r="R177" s="137">
        <v>410204301</v>
      </c>
      <c r="S177" s="140" t="s">
        <v>797</v>
      </c>
      <c r="T177" s="317" t="s">
        <v>69</v>
      </c>
      <c r="U177" s="132">
        <v>1</v>
      </c>
      <c r="V177" s="132"/>
      <c r="W177" s="145">
        <f t="shared" si="19"/>
        <v>1</v>
      </c>
      <c r="X177" s="145">
        <v>0.15</v>
      </c>
      <c r="Y177" s="146">
        <v>2020003630101</v>
      </c>
      <c r="Z177" s="134" t="s">
        <v>798</v>
      </c>
      <c r="AA177" s="140" t="s">
        <v>799</v>
      </c>
      <c r="AB177" s="130"/>
      <c r="AC177" s="130"/>
      <c r="AD177" s="130"/>
      <c r="AE177" s="130"/>
      <c r="AF177" s="130"/>
      <c r="AG177" s="130"/>
      <c r="AH177" s="130"/>
      <c r="AI177" s="130"/>
      <c r="AJ177" s="130"/>
      <c r="AK177" s="130"/>
      <c r="AL177" s="130"/>
      <c r="AM177" s="130"/>
      <c r="AN177" s="130"/>
      <c r="AO177" s="130"/>
      <c r="AP177" s="130"/>
      <c r="AQ177" s="130"/>
      <c r="AR177" s="130"/>
      <c r="AS177" s="130"/>
      <c r="AT177" s="138">
        <f>229000000+68700000</f>
        <v>297700000</v>
      </c>
      <c r="AU177" s="138">
        <v>103050000</v>
      </c>
      <c r="AV177" s="138">
        <v>30000000</v>
      </c>
      <c r="AW177" s="130"/>
      <c r="AX177" s="130"/>
      <c r="AY177" s="130"/>
      <c r="AZ177" s="130"/>
      <c r="BA177" s="130"/>
      <c r="BB177" s="130"/>
      <c r="BC177" s="130"/>
      <c r="BD177" s="130"/>
      <c r="BE177" s="130"/>
      <c r="BF177" s="138">
        <f t="shared" si="16"/>
        <v>297700000</v>
      </c>
      <c r="BG177" s="138">
        <f t="shared" si="17"/>
        <v>103050000</v>
      </c>
      <c r="BH177" s="138">
        <f t="shared" si="18"/>
        <v>30000000</v>
      </c>
      <c r="BI177" s="149" t="s">
        <v>6</v>
      </c>
    </row>
    <row r="178" spans="1:61" s="151" customFormat="1" ht="228.75" customHeight="1">
      <c r="A178" s="139">
        <v>316</v>
      </c>
      <c r="B178" s="140" t="s">
        <v>754</v>
      </c>
      <c r="C178" s="139">
        <v>1</v>
      </c>
      <c r="D178" s="140" t="s">
        <v>148</v>
      </c>
      <c r="E178" s="139">
        <v>41</v>
      </c>
      <c r="F178" s="140" t="s">
        <v>771</v>
      </c>
      <c r="G178" s="139">
        <v>4102</v>
      </c>
      <c r="H178" s="140" t="s">
        <v>772</v>
      </c>
      <c r="I178" s="139">
        <v>4102</v>
      </c>
      <c r="J178" s="140" t="s">
        <v>773</v>
      </c>
      <c r="K178" s="140" t="s">
        <v>800</v>
      </c>
      <c r="L178" s="139" t="s">
        <v>61</v>
      </c>
      <c r="M178" s="140" t="s">
        <v>801</v>
      </c>
      <c r="N178" s="137">
        <v>4102038</v>
      </c>
      <c r="O178" s="140" t="s">
        <v>802</v>
      </c>
      <c r="P178" s="139" t="s">
        <v>61</v>
      </c>
      <c r="Q178" s="142" t="s">
        <v>803</v>
      </c>
      <c r="R178" s="137">
        <v>410203800</v>
      </c>
      <c r="S178" s="140" t="s">
        <v>804</v>
      </c>
      <c r="T178" s="317" t="s">
        <v>69</v>
      </c>
      <c r="U178" s="132">
        <v>1</v>
      </c>
      <c r="V178" s="132"/>
      <c r="W178" s="145">
        <f t="shared" si="19"/>
        <v>1</v>
      </c>
      <c r="X178" s="145">
        <v>0.25</v>
      </c>
      <c r="Y178" s="146">
        <v>2020003630102</v>
      </c>
      <c r="Z178" s="141" t="s">
        <v>805</v>
      </c>
      <c r="AA178" s="140" t="s">
        <v>806</v>
      </c>
      <c r="AB178" s="130"/>
      <c r="AC178" s="130"/>
      <c r="AD178" s="130"/>
      <c r="AE178" s="130"/>
      <c r="AF178" s="130"/>
      <c r="AG178" s="130"/>
      <c r="AH178" s="130"/>
      <c r="AI178" s="130"/>
      <c r="AJ178" s="130"/>
      <c r="AK178" s="130"/>
      <c r="AL178" s="130"/>
      <c r="AM178" s="130"/>
      <c r="AN178" s="130"/>
      <c r="AO178" s="130"/>
      <c r="AP178" s="130"/>
      <c r="AQ178" s="130"/>
      <c r="AR178" s="130"/>
      <c r="AS178" s="130"/>
      <c r="AT178" s="138">
        <f>180000000+54000000+30000000</f>
        <v>264000000</v>
      </c>
      <c r="AU178" s="138">
        <v>78847028</v>
      </c>
      <c r="AV178" s="138">
        <v>29200000</v>
      </c>
      <c r="AW178" s="130"/>
      <c r="AX178" s="130"/>
      <c r="AY178" s="130"/>
      <c r="AZ178" s="130"/>
      <c r="BA178" s="130"/>
      <c r="BB178" s="130"/>
      <c r="BC178" s="130"/>
      <c r="BD178" s="130"/>
      <c r="BE178" s="130"/>
      <c r="BF178" s="138">
        <f t="shared" si="16"/>
        <v>264000000</v>
      </c>
      <c r="BG178" s="138">
        <f t="shared" si="17"/>
        <v>78847028</v>
      </c>
      <c r="BH178" s="138">
        <f t="shared" si="18"/>
        <v>29200000</v>
      </c>
      <c r="BI178" s="149" t="s">
        <v>6</v>
      </c>
    </row>
    <row r="179" spans="1:61" s="151" customFormat="1" ht="91.5" customHeight="1">
      <c r="A179" s="139">
        <v>316</v>
      </c>
      <c r="B179" s="140" t="s">
        <v>754</v>
      </c>
      <c r="C179" s="139">
        <v>1</v>
      </c>
      <c r="D179" s="140" t="s">
        <v>148</v>
      </c>
      <c r="E179" s="139">
        <v>41</v>
      </c>
      <c r="F179" s="140" t="s">
        <v>771</v>
      </c>
      <c r="G179" s="139">
        <v>4102</v>
      </c>
      <c r="H179" s="140" t="s">
        <v>772</v>
      </c>
      <c r="I179" s="139">
        <v>4102</v>
      </c>
      <c r="J179" s="140" t="s">
        <v>773</v>
      </c>
      <c r="K179" s="140" t="s">
        <v>807</v>
      </c>
      <c r="L179" s="139" t="s">
        <v>61</v>
      </c>
      <c r="M179" s="140" t="s">
        <v>808</v>
      </c>
      <c r="N179" s="137">
        <v>4102042</v>
      </c>
      <c r="O179" s="140" t="s">
        <v>809</v>
      </c>
      <c r="P179" s="139" t="s">
        <v>61</v>
      </c>
      <c r="Q179" s="142" t="s">
        <v>810</v>
      </c>
      <c r="R179" s="137">
        <v>410204200</v>
      </c>
      <c r="S179" s="142" t="s">
        <v>811</v>
      </c>
      <c r="T179" s="317" t="s">
        <v>69</v>
      </c>
      <c r="U179" s="132">
        <v>12</v>
      </c>
      <c r="V179" s="132"/>
      <c r="W179" s="145">
        <f t="shared" si="19"/>
        <v>12</v>
      </c>
      <c r="X179" s="145">
        <v>3</v>
      </c>
      <c r="Y179" s="278">
        <v>2021003630010</v>
      </c>
      <c r="Z179" s="134" t="s">
        <v>812</v>
      </c>
      <c r="AA179" s="274" t="s">
        <v>813</v>
      </c>
      <c r="AB179" s="130"/>
      <c r="AC179" s="130"/>
      <c r="AD179" s="130"/>
      <c r="AE179" s="130"/>
      <c r="AF179" s="130"/>
      <c r="AG179" s="130"/>
      <c r="AH179" s="130"/>
      <c r="AI179" s="130"/>
      <c r="AJ179" s="130"/>
      <c r="AK179" s="130"/>
      <c r="AL179" s="130"/>
      <c r="AM179" s="130"/>
      <c r="AN179" s="130"/>
      <c r="AO179" s="130"/>
      <c r="AP179" s="130"/>
      <c r="AQ179" s="130"/>
      <c r="AR179" s="130"/>
      <c r="AS179" s="130"/>
      <c r="AT179" s="138">
        <f>18000000+5400000</f>
        <v>23400000</v>
      </c>
      <c r="AU179" s="138">
        <v>12000000</v>
      </c>
      <c r="AV179" s="138">
        <v>3200000</v>
      </c>
      <c r="AW179" s="130"/>
      <c r="AX179" s="130"/>
      <c r="AY179" s="130"/>
      <c r="AZ179" s="130"/>
      <c r="BA179" s="130"/>
      <c r="BB179" s="130"/>
      <c r="BC179" s="130"/>
      <c r="BD179" s="130"/>
      <c r="BE179" s="130"/>
      <c r="BF179" s="138">
        <f t="shared" si="16"/>
        <v>23400000</v>
      </c>
      <c r="BG179" s="138">
        <f t="shared" si="17"/>
        <v>12000000</v>
      </c>
      <c r="BH179" s="138">
        <f t="shared" si="18"/>
        <v>3200000</v>
      </c>
      <c r="BI179" s="149" t="s">
        <v>6</v>
      </c>
    </row>
    <row r="180" spans="1:61" s="151" customFormat="1" ht="134.25" customHeight="1">
      <c r="A180" s="139">
        <v>316</v>
      </c>
      <c r="B180" s="140" t="s">
        <v>754</v>
      </c>
      <c r="C180" s="139">
        <v>1</v>
      </c>
      <c r="D180" s="140" t="s">
        <v>148</v>
      </c>
      <c r="E180" s="139">
        <v>41</v>
      </c>
      <c r="F180" s="140" t="s">
        <v>771</v>
      </c>
      <c r="G180" s="139">
        <v>4102</v>
      </c>
      <c r="H180" s="140" t="s">
        <v>772</v>
      </c>
      <c r="I180" s="139">
        <v>4102</v>
      </c>
      <c r="J180" s="140" t="s">
        <v>773</v>
      </c>
      <c r="K180" s="140" t="s">
        <v>814</v>
      </c>
      <c r="L180" s="139" t="s">
        <v>61</v>
      </c>
      <c r="M180" s="134" t="s">
        <v>815</v>
      </c>
      <c r="N180" s="137">
        <v>4102001</v>
      </c>
      <c r="O180" s="134" t="s">
        <v>816</v>
      </c>
      <c r="P180" s="139" t="s">
        <v>61</v>
      </c>
      <c r="Q180" s="142" t="s">
        <v>817</v>
      </c>
      <c r="R180" s="137">
        <v>410200100</v>
      </c>
      <c r="S180" s="142" t="s">
        <v>818</v>
      </c>
      <c r="T180" s="317" t="s">
        <v>69</v>
      </c>
      <c r="U180" s="132">
        <v>1</v>
      </c>
      <c r="V180" s="132"/>
      <c r="W180" s="145">
        <f t="shared" si="19"/>
        <v>1</v>
      </c>
      <c r="X180" s="145">
        <v>0.25</v>
      </c>
      <c r="Y180" s="146">
        <v>2020003630033</v>
      </c>
      <c r="Z180" s="134" t="s">
        <v>819</v>
      </c>
      <c r="AA180" s="134" t="s">
        <v>820</v>
      </c>
      <c r="AB180" s="130"/>
      <c r="AC180" s="130"/>
      <c r="AD180" s="130"/>
      <c r="AE180" s="130"/>
      <c r="AF180" s="130"/>
      <c r="AG180" s="130"/>
      <c r="AH180" s="130"/>
      <c r="AI180" s="130"/>
      <c r="AJ180" s="130"/>
      <c r="AK180" s="130"/>
      <c r="AL180" s="130"/>
      <c r="AM180" s="130"/>
      <c r="AN180" s="130"/>
      <c r="AO180" s="130"/>
      <c r="AP180" s="130"/>
      <c r="AQ180" s="130"/>
      <c r="AR180" s="130"/>
      <c r="AS180" s="130"/>
      <c r="AT180" s="138">
        <v>15000000</v>
      </c>
      <c r="AU180" s="138">
        <v>11000000</v>
      </c>
      <c r="AV180" s="138">
        <v>9400000</v>
      </c>
      <c r="AW180" s="130"/>
      <c r="AX180" s="130"/>
      <c r="AY180" s="130"/>
      <c r="AZ180" s="130"/>
      <c r="BA180" s="130"/>
      <c r="BB180" s="130"/>
      <c r="BC180" s="130"/>
      <c r="BD180" s="130"/>
      <c r="BE180" s="130"/>
      <c r="BF180" s="138">
        <f t="shared" si="16"/>
        <v>15000000</v>
      </c>
      <c r="BG180" s="138">
        <f t="shared" si="17"/>
        <v>11000000</v>
      </c>
      <c r="BH180" s="138">
        <f t="shared" si="18"/>
        <v>9400000</v>
      </c>
      <c r="BI180" s="149" t="s">
        <v>6</v>
      </c>
    </row>
    <row r="181" spans="1:61" s="151" customFormat="1" ht="180.75" customHeight="1">
      <c r="A181" s="139">
        <v>316</v>
      </c>
      <c r="B181" s="140" t="s">
        <v>754</v>
      </c>
      <c r="C181" s="139">
        <v>1</v>
      </c>
      <c r="D181" s="140" t="s">
        <v>148</v>
      </c>
      <c r="E181" s="139">
        <v>41</v>
      </c>
      <c r="F181" s="140" t="s">
        <v>771</v>
      </c>
      <c r="G181" s="139">
        <v>4102</v>
      </c>
      <c r="H181" s="140" t="s">
        <v>772</v>
      </c>
      <c r="I181" s="139">
        <v>4102</v>
      </c>
      <c r="J181" s="140" t="s">
        <v>773</v>
      </c>
      <c r="K181" s="140" t="s">
        <v>821</v>
      </c>
      <c r="L181" s="139">
        <v>4102022</v>
      </c>
      <c r="M181" s="274" t="s">
        <v>822</v>
      </c>
      <c r="N181" s="275">
        <v>4102046</v>
      </c>
      <c r="O181" s="274" t="s">
        <v>823</v>
      </c>
      <c r="P181" s="275" t="s">
        <v>824</v>
      </c>
      <c r="Q181" s="142" t="s">
        <v>825</v>
      </c>
      <c r="R181" s="275">
        <v>410204600</v>
      </c>
      <c r="S181" s="142" t="s">
        <v>826</v>
      </c>
      <c r="T181" s="317" t="s">
        <v>157</v>
      </c>
      <c r="U181" s="132">
        <v>21</v>
      </c>
      <c r="V181" s="132"/>
      <c r="W181" s="145">
        <f t="shared" si="19"/>
        <v>21</v>
      </c>
      <c r="X181" s="145">
        <v>4</v>
      </c>
      <c r="Y181" s="146">
        <v>2020003630033</v>
      </c>
      <c r="Z181" s="134" t="s">
        <v>819</v>
      </c>
      <c r="AA181" s="134" t="s">
        <v>820</v>
      </c>
      <c r="AB181" s="130"/>
      <c r="AC181" s="130"/>
      <c r="AD181" s="130"/>
      <c r="AE181" s="130"/>
      <c r="AF181" s="130"/>
      <c r="AG181" s="130"/>
      <c r="AH181" s="130"/>
      <c r="AI181" s="130"/>
      <c r="AJ181" s="130"/>
      <c r="AK181" s="130"/>
      <c r="AL181" s="130"/>
      <c r="AM181" s="130"/>
      <c r="AN181" s="130"/>
      <c r="AO181" s="130"/>
      <c r="AP181" s="130"/>
      <c r="AQ181" s="130"/>
      <c r="AR181" s="130"/>
      <c r="AS181" s="130"/>
      <c r="AT181" s="138">
        <v>18000000</v>
      </c>
      <c r="AU181" s="138">
        <v>2000000</v>
      </c>
      <c r="AV181" s="138"/>
      <c r="AW181" s="130"/>
      <c r="AX181" s="130"/>
      <c r="AY181" s="130"/>
      <c r="AZ181" s="130"/>
      <c r="BA181" s="130"/>
      <c r="BB181" s="130"/>
      <c r="BC181" s="130"/>
      <c r="BD181" s="130"/>
      <c r="BE181" s="130"/>
      <c r="BF181" s="138">
        <f t="shared" si="16"/>
        <v>18000000</v>
      </c>
      <c r="BG181" s="138">
        <f t="shared" si="17"/>
        <v>2000000</v>
      </c>
      <c r="BH181" s="138">
        <f t="shared" si="18"/>
        <v>0</v>
      </c>
      <c r="BI181" s="149" t="s">
        <v>6</v>
      </c>
    </row>
    <row r="182" spans="1:61" s="151" customFormat="1" ht="98.25" customHeight="1">
      <c r="A182" s="139">
        <v>316</v>
      </c>
      <c r="B182" s="140" t="s">
        <v>754</v>
      </c>
      <c r="C182" s="139">
        <v>1</v>
      </c>
      <c r="D182" s="140" t="s">
        <v>148</v>
      </c>
      <c r="E182" s="139">
        <v>41</v>
      </c>
      <c r="F182" s="140" t="s">
        <v>771</v>
      </c>
      <c r="G182" s="139">
        <v>4102</v>
      </c>
      <c r="H182" s="140" t="s">
        <v>772</v>
      </c>
      <c r="I182" s="139">
        <v>4102</v>
      </c>
      <c r="J182" s="140" t="s">
        <v>773</v>
      </c>
      <c r="K182" s="140" t="s">
        <v>827</v>
      </c>
      <c r="L182" s="139">
        <v>4102038</v>
      </c>
      <c r="M182" s="140" t="s">
        <v>828</v>
      </c>
      <c r="N182" s="139">
        <v>4102038</v>
      </c>
      <c r="O182" s="140" t="s">
        <v>828</v>
      </c>
      <c r="P182" s="145">
        <v>410203800</v>
      </c>
      <c r="Q182" s="142" t="s">
        <v>804</v>
      </c>
      <c r="R182" s="145">
        <v>410203800</v>
      </c>
      <c r="S182" s="142" t="s">
        <v>804</v>
      </c>
      <c r="T182" s="317" t="s">
        <v>157</v>
      </c>
      <c r="U182" s="132">
        <v>10</v>
      </c>
      <c r="V182" s="132"/>
      <c r="W182" s="145">
        <f t="shared" si="19"/>
        <v>10</v>
      </c>
      <c r="X182" s="145">
        <v>3</v>
      </c>
      <c r="Y182" s="146">
        <v>2020003630034</v>
      </c>
      <c r="Z182" s="140" t="s">
        <v>829</v>
      </c>
      <c r="AA182" s="274" t="s">
        <v>830</v>
      </c>
      <c r="AB182" s="130"/>
      <c r="AC182" s="130"/>
      <c r="AD182" s="130"/>
      <c r="AE182" s="130"/>
      <c r="AF182" s="130"/>
      <c r="AG182" s="130"/>
      <c r="AH182" s="130"/>
      <c r="AI182" s="130"/>
      <c r="AJ182" s="130"/>
      <c r="AK182" s="130"/>
      <c r="AL182" s="130"/>
      <c r="AM182" s="130"/>
      <c r="AN182" s="130"/>
      <c r="AO182" s="130"/>
      <c r="AP182" s="130"/>
      <c r="AQ182" s="130"/>
      <c r="AR182" s="130"/>
      <c r="AS182" s="130"/>
      <c r="AT182" s="138">
        <f>37000000+11100000</f>
        <v>48100000</v>
      </c>
      <c r="AU182" s="138">
        <v>20430000</v>
      </c>
      <c r="AV182" s="138">
        <v>9250000</v>
      </c>
      <c r="AW182" s="130"/>
      <c r="AX182" s="130"/>
      <c r="AY182" s="130"/>
      <c r="AZ182" s="130"/>
      <c r="BA182" s="130"/>
      <c r="BB182" s="130"/>
      <c r="BC182" s="130"/>
      <c r="BD182" s="130"/>
      <c r="BE182" s="130"/>
      <c r="BF182" s="138">
        <f t="shared" si="16"/>
        <v>48100000</v>
      </c>
      <c r="BG182" s="138">
        <f t="shared" si="17"/>
        <v>20430000</v>
      </c>
      <c r="BH182" s="138">
        <f t="shared" si="18"/>
        <v>9250000</v>
      </c>
      <c r="BI182" s="149" t="s">
        <v>6</v>
      </c>
    </row>
    <row r="183" spans="1:61" s="151" customFormat="1" ht="79.5" customHeight="1">
      <c r="A183" s="139">
        <v>316</v>
      </c>
      <c r="B183" s="140" t="s">
        <v>754</v>
      </c>
      <c r="C183" s="139">
        <v>1</v>
      </c>
      <c r="D183" s="140" t="s">
        <v>148</v>
      </c>
      <c r="E183" s="139">
        <v>41</v>
      </c>
      <c r="F183" s="140" t="s">
        <v>771</v>
      </c>
      <c r="G183" s="139">
        <v>4103</v>
      </c>
      <c r="H183" s="140" t="s">
        <v>321</v>
      </c>
      <c r="I183" s="139">
        <v>4103</v>
      </c>
      <c r="J183" s="140" t="s">
        <v>322</v>
      </c>
      <c r="K183" s="140" t="s">
        <v>831</v>
      </c>
      <c r="L183" s="137">
        <v>4103059</v>
      </c>
      <c r="M183" s="140" t="s">
        <v>832</v>
      </c>
      <c r="N183" s="137">
        <v>4103059</v>
      </c>
      <c r="O183" s="140" t="s">
        <v>832</v>
      </c>
      <c r="P183" s="132">
        <v>410305900</v>
      </c>
      <c r="Q183" s="142" t="s">
        <v>833</v>
      </c>
      <c r="R183" s="132">
        <v>410305900</v>
      </c>
      <c r="S183" s="142" t="s">
        <v>833</v>
      </c>
      <c r="T183" s="145" t="s">
        <v>157</v>
      </c>
      <c r="U183" s="145">
        <v>16</v>
      </c>
      <c r="V183" s="145"/>
      <c r="W183" s="145">
        <f t="shared" si="19"/>
        <v>16</v>
      </c>
      <c r="X183" s="145">
        <v>4</v>
      </c>
      <c r="Y183" s="146">
        <v>2020003630103</v>
      </c>
      <c r="Z183" s="140" t="s">
        <v>834</v>
      </c>
      <c r="AA183" s="140" t="s">
        <v>835</v>
      </c>
      <c r="AB183" s="130"/>
      <c r="AC183" s="130"/>
      <c r="AD183" s="130"/>
      <c r="AE183" s="130"/>
      <c r="AF183" s="130"/>
      <c r="AG183" s="130"/>
      <c r="AH183" s="130"/>
      <c r="AI183" s="130"/>
      <c r="AJ183" s="130"/>
      <c r="AK183" s="130"/>
      <c r="AL183" s="130"/>
      <c r="AM183" s="130"/>
      <c r="AN183" s="130"/>
      <c r="AO183" s="130"/>
      <c r="AP183" s="130"/>
      <c r="AQ183" s="130"/>
      <c r="AR183" s="130"/>
      <c r="AS183" s="130"/>
      <c r="AT183" s="138">
        <f>35000000+10500000</f>
        <v>45500000</v>
      </c>
      <c r="AU183" s="138">
        <v>19200000</v>
      </c>
      <c r="AV183" s="138">
        <v>9600000</v>
      </c>
      <c r="AW183" s="130"/>
      <c r="AX183" s="130"/>
      <c r="AY183" s="130"/>
      <c r="AZ183" s="130"/>
      <c r="BA183" s="130"/>
      <c r="BB183" s="130"/>
      <c r="BC183" s="130"/>
      <c r="BD183" s="130"/>
      <c r="BE183" s="130"/>
      <c r="BF183" s="138">
        <f t="shared" si="16"/>
        <v>45500000</v>
      </c>
      <c r="BG183" s="138">
        <f t="shared" si="17"/>
        <v>19200000</v>
      </c>
      <c r="BH183" s="138">
        <f t="shared" si="18"/>
        <v>9600000</v>
      </c>
      <c r="BI183" s="149" t="s">
        <v>6</v>
      </c>
    </row>
    <row r="184" spans="1:61" s="151" customFormat="1" ht="78" customHeight="1">
      <c r="A184" s="139">
        <v>316</v>
      </c>
      <c r="B184" s="140" t="s">
        <v>754</v>
      </c>
      <c r="C184" s="139">
        <v>1</v>
      </c>
      <c r="D184" s="140" t="s">
        <v>148</v>
      </c>
      <c r="E184" s="139">
        <v>41</v>
      </c>
      <c r="F184" s="140" t="s">
        <v>771</v>
      </c>
      <c r="G184" s="139">
        <v>4103</v>
      </c>
      <c r="H184" s="140" t="s">
        <v>321</v>
      </c>
      <c r="I184" s="139">
        <v>4103</v>
      </c>
      <c r="J184" s="140" t="s">
        <v>322</v>
      </c>
      <c r="K184" s="140" t="s">
        <v>836</v>
      </c>
      <c r="L184" s="139">
        <v>4103052</v>
      </c>
      <c r="M184" s="140" t="s">
        <v>325</v>
      </c>
      <c r="N184" s="139">
        <v>4103052</v>
      </c>
      <c r="O184" s="140" t="s">
        <v>325</v>
      </c>
      <c r="P184" s="145">
        <v>410305202</v>
      </c>
      <c r="Q184" s="142" t="s">
        <v>837</v>
      </c>
      <c r="R184" s="145">
        <v>410305202</v>
      </c>
      <c r="S184" s="142" t="s">
        <v>838</v>
      </c>
      <c r="T184" s="145" t="s">
        <v>69</v>
      </c>
      <c r="U184" s="145">
        <v>1</v>
      </c>
      <c r="V184" s="145"/>
      <c r="W184" s="145">
        <f t="shared" si="19"/>
        <v>1</v>
      </c>
      <c r="X184" s="145">
        <v>0.3</v>
      </c>
      <c r="Y184" s="146">
        <v>2020003630104</v>
      </c>
      <c r="Z184" s="142" t="s">
        <v>839</v>
      </c>
      <c r="AA184" s="140" t="s">
        <v>840</v>
      </c>
      <c r="AB184" s="130"/>
      <c r="AC184" s="130"/>
      <c r="AD184" s="130"/>
      <c r="AE184" s="130"/>
      <c r="AF184" s="130"/>
      <c r="AG184" s="130"/>
      <c r="AH184" s="130"/>
      <c r="AI184" s="130"/>
      <c r="AJ184" s="130"/>
      <c r="AK184" s="130"/>
      <c r="AL184" s="130"/>
      <c r="AM184" s="130"/>
      <c r="AN184" s="130"/>
      <c r="AO184" s="130"/>
      <c r="AP184" s="130"/>
      <c r="AQ184" s="130"/>
      <c r="AR184" s="130"/>
      <c r="AS184" s="130"/>
      <c r="AT184" s="138">
        <f>32000000+9600000</f>
        <v>41600000</v>
      </c>
      <c r="AU184" s="138">
        <v>14400000</v>
      </c>
      <c r="AV184" s="138">
        <v>6400000</v>
      </c>
      <c r="AW184" s="130"/>
      <c r="AX184" s="130"/>
      <c r="AY184" s="130"/>
      <c r="AZ184" s="130"/>
      <c r="BA184" s="130"/>
      <c r="BB184" s="130"/>
      <c r="BC184" s="130"/>
      <c r="BD184" s="130"/>
      <c r="BE184" s="130"/>
      <c r="BF184" s="138">
        <f t="shared" si="16"/>
        <v>41600000</v>
      </c>
      <c r="BG184" s="138">
        <f t="shared" si="17"/>
        <v>14400000</v>
      </c>
      <c r="BH184" s="138">
        <f t="shared" si="18"/>
        <v>6400000</v>
      </c>
      <c r="BI184" s="149" t="s">
        <v>6</v>
      </c>
    </row>
    <row r="185" spans="1:61" s="151" customFormat="1" ht="171" customHeight="1">
      <c r="A185" s="139">
        <v>316</v>
      </c>
      <c r="B185" s="140" t="s">
        <v>754</v>
      </c>
      <c r="C185" s="139">
        <v>1</v>
      </c>
      <c r="D185" s="140" t="s">
        <v>148</v>
      </c>
      <c r="E185" s="139">
        <v>41</v>
      </c>
      <c r="F185" s="140" t="s">
        <v>771</v>
      </c>
      <c r="G185" s="139">
        <v>4103</v>
      </c>
      <c r="H185" s="140" t="s">
        <v>321</v>
      </c>
      <c r="I185" s="139">
        <v>4103</v>
      </c>
      <c r="J185" s="140" t="s">
        <v>322</v>
      </c>
      <c r="K185" s="140" t="s">
        <v>821</v>
      </c>
      <c r="L185" s="139">
        <v>4103050</v>
      </c>
      <c r="M185" s="140" t="s">
        <v>841</v>
      </c>
      <c r="N185" s="139">
        <v>4103050</v>
      </c>
      <c r="O185" s="140" t="s">
        <v>841</v>
      </c>
      <c r="P185" s="145">
        <v>410305001</v>
      </c>
      <c r="Q185" s="142" t="s">
        <v>842</v>
      </c>
      <c r="R185" s="145">
        <v>410305001</v>
      </c>
      <c r="S185" s="142" t="s">
        <v>842</v>
      </c>
      <c r="T185" s="145" t="s">
        <v>69</v>
      </c>
      <c r="U185" s="145">
        <v>12</v>
      </c>
      <c r="V185" s="145"/>
      <c r="W185" s="145">
        <f t="shared" si="19"/>
        <v>12</v>
      </c>
      <c r="X185" s="145">
        <v>2</v>
      </c>
      <c r="Y185" s="146">
        <v>2020003630105</v>
      </c>
      <c r="Z185" s="142" t="s">
        <v>843</v>
      </c>
      <c r="AA185" s="140" t="s">
        <v>844</v>
      </c>
      <c r="AB185" s="130"/>
      <c r="AC185" s="130"/>
      <c r="AD185" s="130"/>
      <c r="AE185" s="130"/>
      <c r="AF185" s="130"/>
      <c r="AG185" s="130"/>
      <c r="AH185" s="130"/>
      <c r="AI185" s="130"/>
      <c r="AJ185" s="130"/>
      <c r="AK185" s="130"/>
      <c r="AL185" s="130"/>
      <c r="AM185" s="130"/>
      <c r="AN185" s="130"/>
      <c r="AO185" s="130"/>
      <c r="AP185" s="130"/>
      <c r="AQ185" s="130"/>
      <c r="AR185" s="130"/>
      <c r="AS185" s="130"/>
      <c r="AT185" s="138">
        <f>29000000+8700000</f>
        <v>37700000</v>
      </c>
      <c r="AU185" s="138">
        <v>4800000</v>
      </c>
      <c r="AV185" s="138"/>
      <c r="AW185" s="130"/>
      <c r="AX185" s="130"/>
      <c r="AY185" s="130"/>
      <c r="AZ185" s="130"/>
      <c r="BA185" s="130"/>
      <c r="BB185" s="130"/>
      <c r="BC185" s="130"/>
      <c r="BD185" s="130"/>
      <c r="BE185" s="130"/>
      <c r="BF185" s="138">
        <f t="shared" si="16"/>
        <v>37700000</v>
      </c>
      <c r="BG185" s="138">
        <f t="shared" si="17"/>
        <v>4800000</v>
      </c>
      <c r="BH185" s="138">
        <f t="shared" si="18"/>
        <v>0</v>
      </c>
      <c r="BI185" s="149" t="s">
        <v>6</v>
      </c>
    </row>
    <row r="186" spans="1:61" s="151" customFormat="1" ht="105" customHeight="1">
      <c r="A186" s="139">
        <v>316</v>
      </c>
      <c r="B186" s="140" t="s">
        <v>754</v>
      </c>
      <c r="C186" s="139">
        <v>1</v>
      </c>
      <c r="D186" s="140" t="s">
        <v>148</v>
      </c>
      <c r="E186" s="139">
        <v>41</v>
      </c>
      <c r="F186" s="140" t="s">
        <v>771</v>
      </c>
      <c r="G186" s="139">
        <v>4103</v>
      </c>
      <c r="H186" s="140" t="s">
        <v>321</v>
      </c>
      <c r="I186" s="139">
        <v>4103</v>
      </c>
      <c r="J186" s="140" t="s">
        <v>322</v>
      </c>
      <c r="K186" s="140" t="s">
        <v>845</v>
      </c>
      <c r="L186" s="137">
        <v>4103058</v>
      </c>
      <c r="M186" s="140" t="s">
        <v>846</v>
      </c>
      <c r="N186" s="137">
        <v>4103058</v>
      </c>
      <c r="O186" s="140" t="s">
        <v>846</v>
      </c>
      <c r="P186" s="132">
        <v>410305800</v>
      </c>
      <c r="Q186" s="142" t="s">
        <v>847</v>
      </c>
      <c r="R186" s="132">
        <v>410305800</v>
      </c>
      <c r="S186" s="142" t="s">
        <v>847</v>
      </c>
      <c r="T186" s="145" t="s">
        <v>157</v>
      </c>
      <c r="U186" s="145">
        <v>5</v>
      </c>
      <c r="V186" s="145"/>
      <c r="W186" s="145">
        <f t="shared" si="19"/>
        <v>5</v>
      </c>
      <c r="X186" s="145">
        <v>3</v>
      </c>
      <c r="Y186" s="146">
        <v>2020003630106</v>
      </c>
      <c r="Z186" s="142" t="s">
        <v>848</v>
      </c>
      <c r="AA186" s="140" t="s">
        <v>849</v>
      </c>
      <c r="AB186" s="130"/>
      <c r="AC186" s="130"/>
      <c r="AD186" s="130"/>
      <c r="AE186" s="130"/>
      <c r="AF186" s="130"/>
      <c r="AG186" s="130"/>
      <c r="AH186" s="130"/>
      <c r="AI186" s="130"/>
      <c r="AJ186" s="130"/>
      <c r="AK186" s="130"/>
      <c r="AL186" s="130"/>
      <c r="AM186" s="130"/>
      <c r="AN186" s="130"/>
      <c r="AO186" s="130"/>
      <c r="AP186" s="130"/>
      <c r="AQ186" s="130"/>
      <c r="AR186" s="130"/>
      <c r="AS186" s="130"/>
      <c r="AT186" s="138">
        <f>30000000+9000000</f>
        <v>39000000</v>
      </c>
      <c r="AU186" s="138">
        <v>15100000</v>
      </c>
      <c r="AV186" s="138">
        <v>7400000</v>
      </c>
      <c r="AW186" s="130"/>
      <c r="AX186" s="130"/>
      <c r="AY186" s="130"/>
      <c r="AZ186" s="130"/>
      <c r="BA186" s="130"/>
      <c r="BB186" s="130"/>
      <c r="BC186" s="130"/>
      <c r="BD186" s="130"/>
      <c r="BE186" s="130"/>
      <c r="BF186" s="138">
        <f t="shared" si="16"/>
        <v>39000000</v>
      </c>
      <c r="BG186" s="138">
        <f t="shared" si="17"/>
        <v>15100000</v>
      </c>
      <c r="BH186" s="138">
        <f t="shared" si="18"/>
        <v>7400000</v>
      </c>
      <c r="BI186" s="149" t="s">
        <v>6</v>
      </c>
    </row>
    <row r="187" spans="1:61" s="151" customFormat="1" ht="105" customHeight="1">
      <c r="A187" s="139">
        <v>316</v>
      </c>
      <c r="B187" s="140" t="s">
        <v>754</v>
      </c>
      <c r="C187" s="139">
        <v>1</v>
      </c>
      <c r="D187" s="140" t="s">
        <v>148</v>
      </c>
      <c r="E187" s="139">
        <v>41</v>
      </c>
      <c r="F187" s="140" t="s">
        <v>771</v>
      </c>
      <c r="G187" s="139">
        <v>4103</v>
      </c>
      <c r="H187" s="140" t="s">
        <v>321</v>
      </c>
      <c r="I187" s="139">
        <v>4103</v>
      </c>
      <c r="J187" s="140" t="s">
        <v>322</v>
      </c>
      <c r="K187" s="134" t="s">
        <v>850</v>
      </c>
      <c r="L187" s="139" t="s">
        <v>61</v>
      </c>
      <c r="M187" s="140" t="s">
        <v>851</v>
      </c>
      <c r="N187" s="137">
        <v>4103060</v>
      </c>
      <c r="O187" s="140" t="s">
        <v>852</v>
      </c>
      <c r="P187" s="139" t="s">
        <v>61</v>
      </c>
      <c r="Q187" s="142" t="s">
        <v>853</v>
      </c>
      <c r="R187" s="137">
        <v>410306000</v>
      </c>
      <c r="S187" s="142" t="s">
        <v>854</v>
      </c>
      <c r="T187" s="145" t="s">
        <v>157</v>
      </c>
      <c r="U187" s="145">
        <v>5</v>
      </c>
      <c r="V187" s="145"/>
      <c r="W187" s="145">
        <f t="shared" si="19"/>
        <v>5</v>
      </c>
      <c r="X187" s="145">
        <v>0</v>
      </c>
      <c r="Y187" s="146">
        <v>2020003630036</v>
      </c>
      <c r="Z187" s="140" t="s">
        <v>855</v>
      </c>
      <c r="AA187" s="140" t="s">
        <v>856</v>
      </c>
      <c r="AB187" s="130"/>
      <c r="AC187" s="130"/>
      <c r="AD187" s="130"/>
      <c r="AE187" s="130"/>
      <c r="AF187" s="130"/>
      <c r="AG187" s="130"/>
      <c r="AH187" s="130"/>
      <c r="AI187" s="130"/>
      <c r="AJ187" s="130"/>
      <c r="AK187" s="130"/>
      <c r="AL187" s="130"/>
      <c r="AM187" s="130"/>
      <c r="AN187" s="130"/>
      <c r="AO187" s="130"/>
      <c r="AP187" s="130"/>
      <c r="AQ187" s="130"/>
      <c r="AR187" s="130"/>
      <c r="AS187" s="130"/>
      <c r="AT187" s="138">
        <v>55000000</v>
      </c>
      <c r="AU187" s="138"/>
      <c r="AV187" s="138"/>
      <c r="AW187" s="130"/>
      <c r="AX187" s="130"/>
      <c r="AY187" s="130"/>
      <c r="AZ187" s="130"/>
      <c r="BA187" s="130"/>
      <c r="BB187" s="130"/>
      <c r="BC187" s="130"/>
      <c r="BD187" s="130"/>
      <c r="BE187" s="130"/>
      <c r="BF187" s="138">
        <f t="shared" si="16"/>
        <v>55000000</v>
      </c>
      <c r="BG187" s="138">
        <f t="shared" si="17"/>
        <v>0</v>
      </c>
      <c r="BH187" s="138">
        <f t="shared" si="18"/>
        <v>0</v>
      </c>
      <c r="BI187" s="149" t="s">
        <v>6</v>
      </c>
    </row>
    <row r="188" spans="1:61" s="151" customFormat="1" ht="116.25" customHeight="1">
      <c r="A188" s="139">
        <v>316</v>
      </c>
      <c r="B188" s="140" t="s">
        <v>754</v>
      </c>
      <c r="C188" s="139">
        <v>1</v>
      </c>
      <c r="D188" s="140" t="s">
        <v>148</v>
      </c>
      <c r="E188" s="139">
        <v>41</v>
      </c>
      <c r="F188" s="140" t="s">
        <v>771</v>
      </c>
      <c r="G188" s="139">
        <v>4103</v>
      </c>
      <c r="H188" s="140" t="s">
        <v>321</v>
      </c>
      <c r="I188" s="139">
        <v>4103</v>
      </c>
      <c r="J188" s="140" t="s">
        <v>322</v>
      </c>
      <c r="K188" s="134" t="s">
        <v>857</v>
      </c>
      <c r="L188" s="139" t="s">
        <v>61</v>
      </c>
      <c r="M188" s="140" t="s">
        <v>858</v>
      </c>
      <c r="N188" s="137">
        <v>4103060</v>
      </c>
      <c r="O188" s="140" t="s">
        <v>852</v>
      </c>
      <c r="P188" s="139" t="s">
        <v>61</v>
      </c>
      <c r="Q188" s="142" t="s">
        <v>859</v>
      </c>
      <c r="R188" s="137">
        <v>410306000</v>
      </c>
      <c r="S188" s="142" t="s">
        <v>854</v>
      </c>
      <c r="T188" s="145" t="s">
        <v>69</v>
      </c>
      <c r="U188" s="145">
        <v>2</v>
      </c>
      <c r="V188" s="145"/>
      <c r="W188" s="145">
        <f t="shared" si="19"/>
        <v>2</v>
      </c>
      <c r="X188" s="145">
        <v>0</v>
      </c>
      <c r="Y188" s="146">
        <v>2020003630036</v>
      </c>
      <c r="Z188" s="140" t="s">
        <v>855</v>
      </c>
      <c r="AA188" s="140" t="s">
        <v>856</v>
      </c>
      <c r="AB188" s="130"/>
      <c r="AC188" s="130"/>
      <c r="AD188" s="130"/>
      <c r="AE188" s="130"/>
      <c r="AF188" s="130"/>
      <c r="AG188" s="130"/>
      <c r="AH188" s="130"/>
      <c r="AI188" s="130"/>
      <c r="AJ188" s="130"/>
      <c r="AK188" s="130"/>
      <c r="AL188" s="130"/>
      <c r="AM188" s="130"/>
      <c r="AN188" s="130"/>
      <c r="AO188" s="130"/>
      <c r="AP188" s="130"/>
      <c r="AQ188" s="130"/>
      <c r="AR188" s="130"/>
      <c r="AS188" s="130"/>
      <c r="AT188" s="138">
        <v>40000000</v>
      </c>
      <c r="AU188" s="138"/>
      <c r="AV188" s="138"/>
      <c r="AW188" s="130"/>
      <c r="AX188" s="130"/>
      <c r="AY188" s="130"/>
      <c r="AZ188" s="130"/>
      <c r="BA188" s="130"/>
      <c r="BB188" s="130"/>
      <c r="BC188" s="130"/>
      <c r="BD188" s="130"/>
      <c r="BE188" s="130"/>
      <c r="BF188" s="138">
        <f t="shared" si="16"/>
        <v>40000000</v>
      </c>
      <c r="BG188" s="138">
        <f t="shared" si="17"/>
        <v>0</v>
      </c>
      <c r="BH188" s="138">
        <f t="shared" si="18"/>
        <v>0</v>
      </c>
      <c r="BI188" s="149" t="s">
        <v>6</v>
      </c>
    </row>
    <row r="189" spans="1:61" s="151" customFormat="1" ht="135" customHeight="1">
      <c r="A189" s="139">
        <v>316</v>
      </c>
      <c r="B189" s="140" t="s">
        <v>754</v>
      </c>
      <c r="C189" s="139">
        <v>1</v>
      </c>
      <c r="D189" s="140" t="s">
        <v>148</v>
      </c>
      <c r="E189" s="139">
        <v>41</v>
      </c>
      <c r="F189" s="140" t="s">
        <v>771</v>
      </c>
      <c r="G189" s="139">
        <v>4103</v>
      </c>
      <c r="H189" s="140" t="s">
        <v>321</v>
      </c>
      <c r="I189" s="139">
        <v>4103</v>
      </c>
      <c r="J189" s="140" t="s">
        <v>322</v>
      </c>
      <c r="K189" s="140" t="s">
        <v>860</v>
      </c>
      <c r="L189" s="139" t="s">
        <v>61</v>
      </c>
      <c r="M189" s="140" t="s">
        <v>861</v>
      </c>
      <c r="N189" s="137">
        <v>4103052</v>
      </c>
      <c r="O189" s="140" t="s">
        <v>325</v>
      </c>
      <c r="P189" s="139" t="s">
        <v>61</v>
      </c>
      <c r="Q189" s="142" t="s">
        <v>862</v>
      </c>
      <c r="R189" s="137">
        <v>410305202</v>
      </c>
      <c r="S189" s="142" t="s">
        <v>837</v>
      </c>
      <c r="T189" s="145" t="s">
        <v>69</v>
      </c>
      <c r="U189" s="145">
        <v>1</v>
      </c>
      <c r="V189" s="145"/>
      <c r="W189" s="145">
        <f t="shared" si="19"/>
        <v>1</v>
      </c>
      <c r="X189" s="145">
        <v>0.25</v>
      </c>
      <c r="Y189" s="146">
        <v>2020003630037</v>
      </c>
      <c r="Z189" s="140" t="s">
        <v>863</v>
      </c>
      <c r="AA189" s="140" t="s">
        <v>864</v>
      </c>
      <c r="AB189" s="130"/>
      <c r="AC189" s="130"/>
      <c r="AD189" s="130"/>
      <c r="AE189" s="130"/>
      <c r="AF189" s="130"/>
      <c r="AG189" s="130"/>
      <c r="AH189" s="130"/>
      <c r="AI189" s="130"/>
      <c r="AJ189" s="130"/>
      <c r="AK189" s="130"/>
      <c r="AL189" s="130"/>
      <c r="AM189" s="130"/>
      <c r="AN189" s="130"/>
      <c r="AO189" s="130"/>
      <c r="AP189" s="130"/>
      <c r="AQ189" s="130"/>
      <c r="AR189" s="130"/>
      <c r="AS189" s="130"/>
      <c r="AT189" s="138">
        <v>40000000</v>
      </c>
      <c r="AU189" s="138">
        <v>9600000</v>
      </c>
      <c r="AV189" s="138">
        <v>3200000</v>
      </c>
      <c r="AW189" s="130"/>
      <c r="AX189" s="130"/>
      <c r="AY189" s="130"/>
      <c r="AZ189" s="130"/>
      <c r="BA189" s="130"/>
      <c r="BB189" s="130"/>
      <c r="BC189" s="130"/>
      <c r="BD189" s="130"/>
      <c r="BE189" s="130"/>
      <c r="BF189" s="138">
        <f t="shared" si="16"/>
        <v>40000000</v>
      </c>
      <c r="BG189" s="138">
        <f t="shared" si="17"/>
        <v>9600000</v>
      </c>
      <c r="BH189" s="138">
        <f t="shared" si="18"/>
        <v>3200000</v>
      </c>
      <c r="BI189" s="149" t="s">
        <v>6</v>
      </c>
    </row>
    <row r="190" spans="1:61" s="151" customFormat="1" ht="87" customHeight="1">
      <c r="A190" s="139">
        <v>316</v>
      </c>
      <c r="B190" s="140" t="s">
        <v>754</v>
      </c>
      <c r="C190" s="139">
        <v>1</v>
      </c>
      <c r="D190" s="140" t="s">
        <v>148</v>
      </c>
      <c r="E190" s="139">
        <v>41</v>
      </c>
      <c r="F190" s="140" t="s">
        <v>771</v>
      </c>
      <c r="G190" s="139">
        <v>4104</v>
      </c>
      <c r="H190" s="140" t="s">
        <v>865</v>
      </c>
      <c r="I190" s="139">
        <v>4104</v>
      </c>
      <c r="J190" s="140" t="s">
        <v>182</v>
      </c>
      <c r="K190" s="142" t="s">
        <v>866</v>
      </c>
      <c r="L190" s="139">
        <v>4104035</v>
      </c>
      <c r="M190" s="140" t="s">
        <v>867</v>
      </c>
      <c r="N190" s="137">
        <v>4104020</v>
      </c>
      <c r="O190" s="140" t="s">
        <v>868</v>
      </c>
      <c r="P190" s="139">
        <v>410403500</v>
      </c>
      <c r="Q190" s="142" t="s">
        <v>869</v>
      </c>
      <c r="R190" s="137">
        <v>410402000</v>
      </c>
      <c r="S190" s="142" t="s">
        <v>870</v>
      </c>
      <c r="T190" s="145" t="s">
        <v>157</v>
      </c>
      <c r="U190" s="145">
        <v>315</v>
      </c>
      <c r="V190" s="145"/>
      <c r="W190" s="145">
        <f t="shared" si="19"/>
        <v>315</v>
      </c>
      <c r="X190" s="145">
        <v>0</v>
      </c>
      <c r="Y190" s="146">
        <v>2020003630035</v>
      </c>
      <c r="Z190" s="140" t="s">
        <v>871</v>
      </c>
      <c r="AA190" s="140" t="s">
        <v>872</v>
      </c>
      <c r="AB190" s="130"/>
      <c r="AC190" s="130"/>
      <c r="AD190" s="130"/>
      <c r="AE190" s="130"/>
      <c r="AF190" s="130"/>
      <c r="AG190" s="130"/>
      <c r="AH190" s="130"/>
      <c r="AI190" s="130"/>
      <c r="AJ190" s="130"/>
      <c r="AK190" s="130"/>
      <c r="AL190" s="130"/>
      <c r="AM190" s="130"/>
      <c r="AN190" s="130"/>
      <c r="AO190" s="130"/>
      <c r="AP190" s="130"/>
      <c r="AQ190" s="130"/>
      <c r="AR190" s="130"/>
      <c r="AS190" s="130"/>
      <c r="AT190" s="138">
        <v>80000000</v>
      </c>
      <c r="AU190" s="138"/>
      <c r="AV190" s="138"/>
      <c r="AW190" s="130"/>
      <c r="AX190" s="130"/>
      <c r="AY190" s="130"/>
      <c r="AZ190" s="130"/>
      <c r="BA190" s="130"/>
      <c r="BB190" s="130"/>
      <c r="BC190" s="130"/>
      <c r="BD190" s="130"/>
      <c r="BE190" s="130"/>
      <c r="BF190" s="138">
        <f t="shared" si="16"/>
        <v>80000000</v>
      </c>
      <c r="BG190" s="138">
        <f t="shared" si="17"/>
        <v>0</v>
      </c>
      <c r="BH190" s="138">
        <f t="shared" si="18"/>
        <v>0</v>
      </c>
      <c r="BI190" s="149" t="s">
        <v>6</v>
      </c>
    </row>
    <row r="191" spans="1:61" s="151" customFormat="1" ht="87" customHeight="1">
      <c r="A191" s="139">
        <v>316</v>
      </c>
      <c r="B191" s="140" t="s">
        <v>754</v>
      </c>
      <c r="C191" s="139">
        <v>1</v>
      </c>
      <c r="D191" s="140" t="s">
        <v>148</v>
      </c>
      <c r="E191" s="139">
        <v>41</v>
      </c>
      <c r="F191" s="140" t="s">
        <v>771</v>
      </c>
      <c r="G191" s="139">
        <v>4104</v>
      </c>
      <c r="H191" s="140" t="s">
        <v>865</v>
      </c>
      <c r="I191" s="139">
        <v>4104</v>
      </c>
      <c r="J191" s="140" t="s">
        <v>182</v>
      </c>
      <c r="K191" s="142" t="s">
        <v>873</v>
      </c>
      <c r="L191" s="139">
        <v>4104035</v>
      </c>
      <c r="M191" s="140" t="s">
        <v>867</v>
      </c>
      <c r="N191" s="137">
        <v>4104020</v>
      </c>
      <c r="O191" s="140" t="s">
        <v>868</v>
      </c>
      <c r="P191" s="139" t="s">
        <v>61</v>
      </c>
      <c r="Q191" s="318" t="s">
        <v>874</v>
      </c>
      <c r="R191" s="137">
        <v>410402000</v>
      </c>
      <c r="S191" s="142" t="s">
        <v>870</v>
      </c>
      <c r="T191" s="289" t="s">
        <v>69</v>
      </c>
      <c r="U191" s="145">
        <v>12</v>
      </c>
      <c r="V191" s="145"/>
      <c r="W191" s="145">
        <f t="shared" si="19"/>
        <v>12</v>
      </c>
      <c r="X191" s="145">
        <v>3</v>
      </c>
      <c r="Y191" s="146">
        <v>2020003630035</v>
      </c>
      <c r="Z191" s="140" t="s">
        <v>871</v>
      </c>
      <c r="AA191" s="140" t="s">
        <v>872</v>
      </c>
      <c r="AB191" s="130"/>
      <c r="AC191" s="130"/>
      <c r="AD191" s="130"/>
      <c r="AE191" s="130"/>
      <c r="AF191" s="130"/>
      <c r="AG191" s="130"/>
      <c r="AH191" s="130"/>
      <c r="AI191" s="130"/>
      <c r="AJ191" s="130"/>
      <c r="AK191" s="130"/>
      <c r="AL191" s="130"/>
      <c r="AM191" s="130"/>
      <c r="AN191" s="130"/>
      <c r="AO191" s="130"/>
      <c r="AP191" s="130"/>
      <c r="AQ191" s="130"/>
      <c r="AR191" s="130"/>
      <c r="AS191" s="130"/>
      <c r="AT191" s="138">
        <f>81000000+48300000</f>
        <v>129300000</v>
      </c>
      <c r="AU191" s="138">
        <v>63000000</v>
      </c>
      <c r="AV191" s="138">
        <v>25600000</v>
      </c>
      <c r="AW191" s="130"/>
      <c r="AX191" s="130"/>
      <c r="AY191" s="130"/>
      <c r="AZ191" s="130"/>
      <c r="BA191" s="130"/>
      <c r="BB191" s="130"/>
      <c r="BC191" s="130"/>
      <c r="BD191" s="130"/>
      <c r="BE191" s="130"/>
      <c r="BF191" s="138">
        <f t="shared" si="16"/>
        <v>129300000</v>
      </c>
      <c r="BG191" s="138">
        <f t="shared" si="17"/>
        <v>63000000</v>
      </c>
      <c r="BH191" s="138">
        <f t="shared" si="18"/>
        <v>25600000</v>
      </c>
      <c r="BI191" s="149" t="s">
        <v>6</v>
      </c>
    </row>
    <row r="192" spans="1:61" s="151" customFormat="1" ht="87" customHeight="1">
      <c r="A192" s="139">
        <v>316</v>
      </c>
      <c r="B192" s="140" t="s">
        <v>754</v>
      </c>
      <c r="C192" s="139">
        <v>1</v>
      </c>
      <c r="D192" s="140" t="s">
        <v>148</v>
      </c>
      <c r="E192" s="139">
        <v>41</v>
      </c>
      <c r="F192" s="140" t="s">
        <v>771</v>
      </c>
      <c r="G192" s="139">
        <v>4104</v>
      </c>
      <c r="H192" s="140" t="s">
        <v>865</v>
      </c>
      <c r="I192" s="139">
        <v>4104</v>
      </c>
      <c r="J192" s="140" t="s">
        <v>182</v>
      </c>
      <c r="K192" s="140" t="s">
        <v>875</v>
      </c>
      <c r="L192" s="132">
        <v>4104026</v>
      </c>
      <c r="M192" s="140" t="s">
        <v>876</v>
      </c>
      <c r="N192" s="137">
        <v>4104027</v>
      </c>
      <c r="O192" s="140" t="s">
        <v>877</v>
      </c>
      <c r="P192" s="139" t="s">
        <v>61</v>
      </c>
      <c r="Q192" s="142" t="s">
        <v>878</v>
      </c>
      <c r="R192" s="137">
        <v>410402700</v>
      </c>
      <c r="S192" s="142" t="s">
        <v>879</v>
      </c>
      <c r="T192" s="145" t="s">
        <v>69</v>
      </c>
      <c r="U192" s="145">
        <v>12</v>
      </c>
      <c r="V192" s="145"/>
      <c r="W192" s="145">
        <f t="shared" si="19"/>
        <v>12</v>
      </c>
      <c r="X192" s="145">
        <v>4</v>
      </c>
      <c r="Y192" s="146">
        <v>2020003630012</v>
      </c>
      <c r="Z192" s="140" t="s">
        <v>880</v>
      </c>
      <c r="AA192" s="140" t="s">
        <v>881</v>
      </c>
      <c r="AB192" s="130"/>
      <c r="AC192" s="130"/>
      <c r="AD192" s="130"/>
      <c r="AE192" s="130"/>
      <c r="AF192" s="130"/>
      <c r="AG192" s="130"/>
      <c r="AH192" s="130"/>
      <c r="AI192" s="130"/>
      <c r="AJ192" s="130"/>
      <c r="AK192" s="130"/>
      <c r="AL192" s="130"/>
      <c r="AM192" s="130"/>
      <c r="AN192" s="130"/>
      <c r="AO192" s="130"/>
      <c r="AP192" s="130"/>
      <c r="AQ192" s="130"/>
      <c r="AR192" s="130"/>
      <c r="AS192" s="130"/>
      <c r="AT192" s="138">
        <f>40000000+12000000+70000000</f>
        <v>122000000</v>
      </c>
      <c r="AU192" s="138">
        <v>18600000</v>
      </c>
      <c r="AV192" s="138">
        <v>7400000</v>
      </c>
      <c r="AW192" s="130"/>
      <c r="AX192" s="130"/>
      <c r="AY192" s="130"/>
      <c r="AZ192" s="130"/>
      <c r="BA192" s="130"/>
      <c r="BB192" s="130"/>
      <c r="BC192" s="130"/>
      <c r="BD192" s="130"/>
      <c r="BE192" s="130"/>
      <c r="BF192" s="138">
        <f t="shared" si="16"/>
        <v>122000000</v>
      </c>
      <c r="BG192" s="138">
        <f t="shared" si="17"/>
        <v>18600000</v>
      </c>
      <c r="BH192" s="138">
        <f t="shared" si="18"/>
        <v>7400000</v>
      </c>
      <c r="BI192" s="149" t="s">
        <v>6</v>
      </c>
    </row>
    <row r="193" spans="1:61" s="151" customFormat="1" ht="87" customHeight="1">
      <c r="A193" s="139">
        <v>316</v>
      </c>
      <c r="B193" s="140" t="s">
        <v>754</v>
      </c>
      <c r="C193" s="139">
        <v>1</v>
      </c>
      <c r="D193" s="140" t="s">
        <v>148</v>
      </c>
      <c r="E193" s="139">
        <v>41</v>
      </c>
      <c r="F193" s="140" t="s">
        <v>771</v>
      </c>
      <c r="G193" s="139">
        <v>4104</v>
      </c>
      <c r="H193" s="140" t="s">
        <v>865</v>
      </c>
      <c r="I193" s="139">
        <v>4104</v>
      </c>
      <c r="J193" s="140" t="s">
        <v>182</v>
      </c>
      <c r="K193" s="140" t="s">
        <v>882</v>
      </c>
      <c r="L193" s="137">
        <v>4104015</v>
      </c>
      <c r="M193" s="274" t="s">
        <v>883</v>
      </c>
      <c r="N193" s="137">
        <v>4104015</v>
      </c>
      <c r="O193" s="274" t="s">
        <v>884</v>
      </c>
      <c r="P193" s="132">
        <v>410401500</v>
      </c>
      <c r="Q193" s="142" t="s">
        <v>885</v>
      </c>
      <c r="R193" s="132">
        <v>410401500</v>
      </c>
      <c r="S193" s="142" t="s">
        <v>886</v>
      </c>
      <c r="T193" s="145" t="s">
        <v>69</v>
      </c>
      <c r="U193" s="145">
        <v>7500</v>
      </c>
      <c r="V193" s="145"/>
      <c r="W193" s="145">
        <f t="shared" si="19"/>
        <v>7500</v>
      </c>
      <c r="X193" s="145">
        <v>8087</v>
      </c>
      <c r="Y193" s="146">
        <v>2020003630109</v>
      </c>
      <c r="Z193" s="140" t="s">
        <v>887</v>
      </c>
      <c r="AA193" s="260" t="s">
        <v>888</v>
      </c>
      <c r="AB193" s="130"/>
      <c r="AC193" s="130"/>
      <c r="AD193" s="130"/>
      <c r="AE193" s="130"/>
      <c r="AF193" s="130"/>
      <c r="AG193" s="130"/>
      <c r="AH193" s="130"/>
      <c r="AI193" s="130"/>
      <c r="AJ193" s="130"/>
      <c r="AK193" s="130"/>
      <c r="AL193" s="130"/>
      <c r="AM193" s="130"/>
      <c r="AN193" s="130"/>
      <c r="AO193" s="130"/>
      <c r="AP193" s="130"/>
      <c r="AQ193" s="130"/>
      <c r="AR193" s="130"/>
      <c r="AS193" s="130"/>
      <c r="AT193" s="138">
        <f>108700000+32400000</f>
        <v>141100000</v>
      </c>
      <c r="AU193" s="138">
        <v>73800000</v>
      </c>
      <c r="AV193" s="138">
        <v>29600000</v>
      </c>
      <c r="AW193" s="130"/>
      <c r="AX193" s="130"/>
      <c r="AY193" s="130"/>
      <c r="AZ193" s="130"/>
      <c r="BA193" s="130"/>
      <c r="BB193" s="130"/>
      <c r="BC193" s="130"/>
      <c r="BD193" s="130"/>
      <c r="BE193" s="130"/>
      <c r="BF193" s="138">
        <f t="shared" si="16"/>
        <v>141100000</v>
      </c>
      <c r="BG193" s="138">
        <f t="shared" si="17"/>
        <v>73800000</v>
      </c>
      <c r="BH193" s="138">
        <f t="shared" si="18"/>
        <v>29600000</v>
      </c>
      <c r="BI193" s="149" t="s">
        <v>6</v>
      </c>
    </row>
    <row r="194" spans="1:61" s="151" customFormat="1" ht="87" customHeight="1">
      <c r="A194" s="139">
        <v>316</v>
      </c>
      <c r="B194" s="140" t="s">
        <v>754</v>
      </c>
      <c r="C194" s="139">
        <v>1</v>
      </c>
      <c r="D194" s="140" t="s">
        <v>148</v>
      </c>
      <c r="E194" s="139">
        <v>41</v>
      </c>
      <c r="F194" s="140" t="s">
        <v>771</v>
      </c>
      <c r="G194" s="139">
        <v>4104</v>
      </c>
      <c r="H194" s="140" t="s">
        <v>865</v>
      </c>
      <c r="I194" s="139">
        <v>4104</v>
      </c>
      <c r="J194" s="140" t="s">
        <v>182</v>
      </c>
      <c r="K194" s="140" t="s">
        <v>889</v>
      </c>
      <c r="L194" s="139" t="s">
        <v>61</v>
      </c>
      <c r="M194" s="274" t="s">
        <v>890</v>
      </c>
      <c r="N194" s="139">
        <v>4104008</v>
      </c>
      <c r="O194" s="274" t="s">
        <v>891</v>
      </c>
      <c r="P194" s="139" t="s">
        <v>61</v>
      </c>
      <c r="Q194" s="318" t="s">
        <v>892</v>
      </c>
      <c r="R194" s="139">
        <v>410400800</v>
      </c>
      <c r="S194" s="318" t="s">
        <v>893</v>
      </c>
      <c r="T194" s="143" t="s">
        <v>69</v>
      </c>
      <c r="U194" s="145">
        <v>12</v>
      </c>
      <c r="V194" s="145"/>
      <c r="W194" s="145">
        <f t="shared" si="19"/>
        <v>12</v>
      </c>
      <c r="X194" s="145">
        <v>12</v>
      </c>
      <c r="Y194" s="146">
        <v>2020003630109</v>
      </c>
      <c r="Z194" s="140" t="s">
        <v>887</v>
      </c>
      <c r="AA194" s="260" t="s">
        <v>888</v>
      </c>
      <c r="AB194" s="130">
        <f>4406063424+1400016+934325106.43</f>
        <v>5341788546.4300003</v>
      </c>
      <c r="AC194" s="130">
        <v>934325106.43000007</v>
      </c>
      <c r="AD194" s="130">
        <v>934325106.43000007</v>
      </c>
      <c r="AE194" s="130"/>
      <c r="AF194" s="130"/>
      <c r="AG194" s="130"/>
      <c r="AH194" s="130"/>
      <c r="AI194" s="130"/>
      <c r="AJ194" s="130"/>
      <c r="AK194" s="130"/>
      <c r="AL194" s="130"/>
      <c r="AM194" s="130"/>
      <c r="AN194" s="130"/>
      <c r="AO194" s="130"/>
      <c r="AP194" s="130"/>
      <c r="AQ194" s="130"/>
      <c r="AR194" s="130"/>
      <c r="AS194" s="130"/>
      <c r="AT194" s="138"/>
      <c r="AU194" s="138"/>
      <c r="AV194" s="138"/>
      <c r="AW194" s="130"/>
      <c r="AX194" s="130"/>
      <c r="AY194" s="130"/>
      <c r="AZ194" s="130"/>
      <c r="BA194" s="130"/>
      <c r="BB194" s="130"/>
      <c r="BC194" s="130"/>
      <c r="BD194" s="130"/>
      <c r="BE194" s="130"/>
      <c r="BF194" s="138">
        <f t="shared" si="16"/>
        <v>5341788546.4300003</v>
      </c>
      <c r="BG194" s="138">
        <f t="shared" si="17"/>
        <v>934325106.43000007</v>
      </c>
      <c r="BH194" s="138">
        <f t="shared" si="18"/>
        <v>934325106.43000007</v>
      </c>
      <c r="BI194" s="149" t="s">
        <v>6</v>
      </c>
    </row>
    <row r="195" spans="1:61" s="151" customFormat="1" ht="87" customHeight="1">
      <c r="A195" s="139">
        <v>316</v>
      </c>
      <c r="B195" s="140" t="s">
        <v>754</v>
      </c>
      <c r="C195" s="139">
        <v>2</v>
      </c>
      <c r="D195" s="140" t="s">
        <v>199</v>
      </c>
      <c r="E195" s="139">
        <v>17</v>
      </c>
      <c r="F195" s="140" t="s">
        <v>200</v>
      </c>
      <c r="G195" s="139">
        <v>1702</v>
      </c>
      <c r="H195" s="140" t="s">
        <v>463</v>
      </c>
      <c r="I195" s="139">
        <v>1702</v>
      </c>
      <c r="J195" s="140" t="s">
        <v>464</v>
      </c>
      <c r="K195" s="140" t="s">
        <v>894</v>
      </c>
      <c r="L195" s="137">
        <v>1702011</v>
      </c>
      <c r="M195" s="140" t="s">
        <v>895</v>
      </c>
      <c r="N195" s="137">
        <v>1702011</v>
      </c>
      <c r="O195" s="140" t="s">
        <v>895</v>
      </c>
      <c r="P195" s="132" t="s">
        <v>896</v>
      </c>
      <c r="Q195" s="142" t="s">
        <v>897</v>
      </c>
      <c r="R195" s="132" t="s">
        <v>896</v>
      </c>
      <c r="S195" s="142" t="s">
        <v>897</v>
      </c>
      <c r="T195" s="289" t="s">
        <v>157</v>
      </c>
      <c r="U195" s="145">
        <v>10</v>
      </c>
      <c r="V195" s="145"/>
      <c r="W195" s="145">
        <f t="shared" si="19"/>
        <v>10</v>
      </c>
      <c r="X195" s="145">
        <v>3</v>
      </c>
      <c r="Y195" s="146">
        <v>2020003630113</v>
      </c>
      <c r="Z195" s="140" t="s">
        <v>898</v>
      </c>
      <c r="AA195" s="140" t="s">
        <v>899</v>
      </c>
      <c r="AB195" s="130"/>
      <c r="AC195" s="130"/>
      <c r="AD195" s="130"/>
      <c r="AE195" s="130"/>
      <c r="AF195" s="130"/>
      <c r="AG195" s="130"/>
      <c r="AH195" s="130"/>
      <c r="AI195" s="130"/>
      <c r="AJ195" s="130"/>
      <c r="AK195" s="130"/>
      <c r="AL195" s="130"/>
      <c r="AM195" s="130"/>
      <c r="AN195" s="130"/>
      <c r="AO195" s="130"/>
      <c r="AP195" s="130"/>
      <c r="AQ195" s="130"/>
      <c r="AR195" s="130"/>
      <c r="AS195" s="130"/>
      <c r="AT195" s="138">
        <f>18000000+5400000</f>
        <v>23400000</v>
      </c>
      <c r="AU195" s="138">
        <v>10400000</v>
      </c>
      <c r="AV195" s="138">
        <v>7200000</v>
      </c>
      <c r="AW195" s="130"/>
      <c r="AX195" s="130"/>
      <c r="AY195" s="130"/>
      <c r="AZ195" s="130"/>
      <c r="BA195" s="130"/>
      <c r="BB195" s="130"/>
      <c r="BC195" s="130"/>
      <c r="BD195" s="130"/>
      <c r="BE195" s="130"/>
      <c r="BF195" s="138">
        <f t="shared" si="16"/>
        <v>23400000</v>
      </c>
      <c r="BG195" s="138">
        <f t="shared" si="17"/>
        <v>10400000</v>
      </c>
      <c r="BH195" s="138">
        <f t="shared" si="18"/>
        <v>7200000</v>
      </c>
      <c r="BI195" s="149" t="s">
        <v>6</v>
      </c>
    </row>
    <row r="196" spans="1:61" s="151" customFormat="1" ht="87" customHeight="1">
      <c r="A196" s="139">
        <v>316</v>
      </c>
      <c r="B196" s="140" t="s">
        <v>754</v>
      </c>
      <c r="C196" s="139">
        <v>2</v>
      </c>
      <c r="D196" s="140" t="s">
        <v>199</v>
      </c>
      <c r="E196" s="139">
        <v>36</v>
      </c>
      <c r="F196" s="140" t="s">
        <v>445</v>
      </c>
      <c r="G196" s="139">
        <v>3604</v>
      </c>
      <c r="H196" s="140" t="s">
        <v>900</v>
      </c>
      <c r="I196" s="139">
        <v>3604</v>
      </c>
      <c r="J196" s="140" t="s">
        <v>901</v>
      </c>
      <c r="K196" s="140" t="s">
        <v>902</v>
      </c>
      <c r="L196" s="139">
        <v>3604006</v>
      </c>
      <c r="M196" s="140" t="s">
        <v>903</v>
      </c>
      <c r="N196" s="139">
        <v>3604006</v>
      </c>
      <c r="O196" s="140" t="s">
        <v>903</v>
      </c>
      <c r="P196" s="132">
        <v>360400600</v>
      </c>
      <c r="Q196" s="142" t="s">
        <v>350</v>
      </c>
      <c r="R196" s="132">
        <v>360400600</v>
      </c>
      <c r="S196" s="142" t="s">
        <v>350</v>
      </c>
      <c r="T196" s="309" t="s">
        <v>157</v>
      </c>
      <c r="U196" s="309">
        <v>300</v>
      </c>
      <c r="V196" s="309"/>
      <c r="W196" s="145">
        <f t="shared" si="19"/>
        <v>300</v>
      </c>
      <c r="X196" s="145">
        <v>88</v>
      </c>
      <c r="Y196" s="146">
        <v>2020003630114</v>
      </c>
      <c r="Z196" s="274" t="s">
        <v>904</v>
      </c>
      <c r="AA196" s="274" t="s">
        <v>905</v>
      </c>
      <c r="AB196" s="130"/>
      <c r="AC196" s="130"/>
      <c r="AD196" s="130"/>
      <c r="AE196" s="130"/>
      <c r="AF196" s="130"/>
      <c r="AG196" s="130"/>
      <c r="AH196" s="130"/>
      <c r="AI196" s="130"/>
      <c r="AJ196" s="130"/>
      <c r="AK196" s="130"/>
      <c r="AL196" s="130"/>
      <c r="AM196" s="130"/>
      <c r="AN196" s="130"/>
      <c r="AO196" s="130"/>
      <c r="AP196" s="130"/>
      <c r="AQ196" s="130"/>
      <c r="AR196" s="130"/>
      <c r="AS196" s="130"/>
      <c r="AT196" s="138">
        <v>15000000</v>
      </c>
      <c r="AU196" s="138">
        <v>7800000</v>
      </c>
      <c r="AV196" s="138">
        <v>3200000</v>
      </c>
      <c r="AW196" s="130"/>
      <c r="AX196" s="130"/>
      <c r="AY196" s="130"/>
      <c r="AZ196" s="130"/>
      <c r="BA196" s="130"/>
      <c r="BB196" s="130"/>
      <c r="BC196" s="130"/>
      <c r="BD196" s="130"/>
      <c r="BE196" s="130"/>
      <c r="BF196" s="138">
        <f t="shared" si="16"/>
        <v>15000000</v>
      </c>
      <c r="BG196" s="138">
        <f t="shared" si="17"/>
        <v>7800000</v>
      </c>
      <c r="BH196" s="138">
        <f t="shared" si="18"/>
        <v>3200000</v>
      </c>
      <c r="BI196" s="149" t="s">
        <v>6</v>
      </c>
    </row>
    <row r="197" spans="1:61" s="151" customFormat="1" ht="87" customHeight="1">
      <c r="A197" s="139">
        <v>316</v>
      </c>
      <c r="B197" s="140" t="s">
        <v>754</v>
      </c>
      <c r="C197" s="139">
        <v>4</v>
      </c>
      <c r="D197" s="140" t="s">
        <v>59</v>
      </c>
      <c r="E197" s="139">
        <v>45</v>
      </c>
      <c r="F197" s="140" t="s">
        <v>906</v>
      </c>
      <c r="G197" s="139">
        <v>4502</v>
      </c>
      <c r="H197" s="140" t="s">
        <v>78</v>
      </c>
      <c r="I197" s="139">
        <v>4502</v>
      </c>
      <c r="J197" s="140" t="s">
        <v>79</v>
      </c>
      <c r="K197" s="140" t="s">
        <v>907</v>
      </c>
      <c r="L197" s="137">
        <v>4502001</v>
      </c>
      <c r="M197" s="140" t="s">
        <v>90</v>
      </c>
      <c r="N197" s="137">
        <v>4502001</v>
      </c>
      <c r="O197" s="140" t="s">
        <v>90</v>
      </c>
      <c r="P197" s="139" t="s">
        <v>61</v>
      </c>
      <c r="Q197" s="142" t="s">
        <v>908</v>
      </c>
      <c r="R197" s="137">
        <v>450200108</v>
      </c>
      <c r="S197" s="142" t="s">
        <v>909</v>
      </c>
      <c r="T197" s="145" t="s">
        <v>157</v>
      </c>
      <c r="U197" s="145">
        <v>1</v>
      </c>
      <c r="V197" s="145"/>
      <c r="W197" s="145">
        <f t="shared" si="19"/>
        <v>1</v>
      </c>
      <c r="X197" s="145">
        <v>0</v>
      </c>
      <c r="Y197" s="146">
        <v>2020003630115</v>
      </c>
      <c r="Z197" s="140" t="s">
        <v>910</v>
      </c>
      <c r="AA197" s="140" t="s">
        <v>911</v>
      </c>
      <c r="AB197" s="130"/>
      <c r="AC197" s="130"/>
      <c r="AD197" s="130"/>
      <c r="AE197" s="130"/>
      <c r="AF197" s="130"/>
      <c r="AG197" s="130"/>
      <c r="AH197" s="130"/>
      <c r="AI197" s="130"/>
      <c r="AJ197" s="130"/>
      <c r="AK197" s="130"/>
      <c r="AL197" s="130"/>
      <c r="AM197" s="130"/>
      <c r="AN197" s="130"/>
      <c r="AO197" s="130"/>
      <c r="AP197" s="130"/>
      <c r="AQ197" s="130"/>
      <c r="AR197" s="130"/>
      <c r="AS197" s="130"/>
      <c r="AT197" s="138">
        <v>15000000</v>
      </c>
      <c r="AU197" s="138"/>
      <c r="AV197" s="138"/>
      <c r="AW197" s="130"/>
      <c r="AX197" s="130"/>
      <c r="AY197" s="130"/>
      <c r="AZ197" s="130"/>
      <c r="BA197" s="130"/>
      <c r="BB197" s="130"/>
      <c r="BC197" s="130"/>
      <c r="BD197" s="130"/>
      <c r="BE197" s="130"/>
      <c r="BF197" s="138">
        <f t="shared" si="16"/>
        <v>15000000</v>
      </c>
      <c r="BG197" s="138">
        <f t="shared" si="17"/>
        <v>0</v>
      </c>
      <c r="BH197" s="138">
        <f t="shared" si="18"/>
        <v>0</v>
      </c>
      <c r="BI197" s="149" t="s">
        <v>6</v>
      </c>
    </row>
    <row r="198" spans="1:61" s="151" customFormat="1" ht="129" customHeight="1">
      <c r="A198" s="139">
        <v>316</v>
      </c>
      <c r="B198" s="140" t="s">
        <v>754</v>
      </c>
      <c r="C198" s="139">
        <v>4</v>
      </c>
      <c r="D198" s="140" t="s">
        <v>59</v>
      </c>
      <c r="E198" s="139">
        <v>45</v>
      </c>
      <c r="F198" s="140" t="s">
        <v>906</v>
      </c>
      <c r="G198" s="139">
        <v>4502</v>
      </c>
      <c r="H198" s="140" t="s">
        <v>78</v>
      </c>
      <c r="I198" s="139">
        <v>4502</v>
      </c>
      <c r="J198" s="140" t="s">
        <v>79</v>
      </c>
      <c r="K198" s="142" t="s">
        <v>912</v>
      </c>
      <c r="L198" s="139" t="s">
        <v>61</v>
      </c>
      <c r="M198" s="140" t="s">
        <v>913</v>
      </c>
      <c r="N198" s="275">
        <v>4502038</v>
      </c>
      <c r="O198" s="140" t="s">
        <v>914</v>
      </c>
      <c r="P198" s="139" t="s">
        <v>61</v>
      </c>
      <c r="Q198" s="142" t="s">
        <v>915</v>
      </c>
      <c r="R198" s="145">
        <v>450203800</v>
      </c>
      <c r="S198" s="142" t="s">
        <v>916</v>
      </c>
      <c r="T198" s="145" t="s">
        <v>69</v>
      </c>
      <c r="U198" s="145">
        <v>1</v>
      </c>
      <c r="V198" s="145"/>
      <c r="W198" s="145">
        <f t="shared" si="19"/>
        <v>1</v>
      </c>
      <c r="X198" s="145">
        <v>0.25</v>
      </c>
      <c r="Y198" s="278">
        <v>2021003630008</v>
      </c>
      <c r="Z198" s="140" t="s">
        <v>917</v>
      </c>
      <c r="AA198" s="140" t="s">
        <v>918</v>
      </c>
      <c r="AB198" s="130"/>
      <c r="AC198" s="130"/>
      <c r="AD198" s="130"/>
      <c r="AE198" s="130"/>
      <c r="AF198" s="130"/>
      <c r="AG198" s="130"/>
      <c r="AH198" s="130"/>
      <c r="AI198" s="130"/>
      <c r="AJ198" s="130"/>
      <c r="AK198" s="130"/>
      <c r="AL198" s="130"/>
      <c r="AM198" s="130"/>
      <c r="AN198" s="130"/>
      <c r="AO198" s="130"/>
      <c r="AP198" s="130"/>
      <c r="AQ198" s="130"/>
      <c r="AR198" s="130"/>
      <c r="AS198" s="130"/>
      <c r="AT198" s="138">
        <f>80000000+24000000</f>
        <v>104000000</v>
      </c>
      <c r="AU198" s="138">
        <v>53106757</v>
      </c>
      <c r="AV198" s="138">
        <v>5656757</v>
      </c>
      <c r="AW198" s="130"/>
      <c r="AX198" s="130"/>
      <c r="AY198" s="130"/>
      <c r="AZ198" s="130"/>
      <c r="BA198" s="130"/>
      <c r="BB198" s="130"/>
      <c r="BC198" s="130"/>
      <c r="BD198" s="130"/>
      <c r="BE198" s="130"/>
      <c r="BF198" s="138">
        <f t="shared" si="16"/>
        <v>104000000</v>
      </c>
      <c r="BG198" s="138">
        <f t="shared" si="17"/>
        <v>53106757</v>
      </c>
      <c r="BH198" s="138">
        <f t="shared" si="18"/>
        <v>5656757</v>
      </c>
      <c r="BI198" s="149" t="s">
        <v>6</v>
      </c>
    </row>
    <row r="199" spans="1:61" s="151" customFormat="1" ht="123.75" customHeight="1">
      <c r="A199" s="139">
        <v>316</v>
      </c>
      <c r="B199" s="140" t="s">
        <v>754</v>
      </c>
      <c r="C199" s="139">
        <v>4</v>
      </c>
      <c r="D199" s="140" t="s">
        <v>59</v>
      </c>
      <c r="E199" s="139">
        <v>45</v>
      </c>
      <c r="F199" s="140" t="s">
        <v>906</v>
      </c>
      <c r="G199" s="139">
        <v>4502</v>
      </c>
      <c r="H199" s="140" t="s">
        <v>78</v>
      </c>
      <c r="I199" s="139">
        <v>4502</v>
      </c>
      <c r="J199" s="140" t="s">
        <v>79</v>
      </c>
      <c r="K199" s="140" t="s">
        <v>912</v>
      </c>
      <c r="L199" s="139" t="s">
        <v>61</v>
      </c>
      <c r="M199" s="140" t="s">
        <v>919</v>
      </c>
      <c r="N199" s="275">
        <v>4502038</v>
      </c>
      <c r="O199" s="140" t="s">
        <v>914</v>
      </c>
      <c r="P199" s="139" t="s">
        <v>61</v>
      </c>
      <c r="Q199" s="142" t="s">
        <v>920</v>
      </c>
      <c r="R199" s="145">
        <v>450203800</v>
      </c>
      <c r="S199" s="142" t="s">
        <v>916</v>
      </c>
      <c r="T199" s="145" t="s">
        <v>69</v>
      </c>
      <c r="U199" s="145">
        <v>1</v>
      </c>
      <c r="V199" s="145"/>
      <c r="W199" s="145">
        <f t="shared" si="19"/>
        <v>1</v>
      </c>
      <c r="X199" s="145">
        <v>0.25</v>
      </c>
      <c r="Y199" s="278">
        <v>2021003630007</v>
      </c>
      <c r="Z199" s="140" t="s">
        <v>921</v>
      </c>
      <c r="AA199" s="140" t="s">
        <v>922</v>
      </c>
      <c r="AB199" s="130"/>
      <c r="AC199" s="130"/>
      <c r="AD199" s="130"/>
      <c r="AE199" s="130"/>
      <c r="AF199" s="130"/>
      <c r="AG199" s="130"/>
      <c r="AH199" s="130"/>
      <c r="AI199" s="130"/>
      <c r="AJ199" s="130"/>
      <c r="AK199" s="130"/>
      <c r="AL199" s="130"/>
      <c r="AM199" s="130"/>
      <c r="AN199" s="130"/>
      <c r="AO199" s="130"/>
      <c r="AP199" s="130"/>
      <c r="AQ199" s="130"/>
      <c r="AR199" s="130"/>
      <c r="AS199" s="130"/>
      <c r="AT199" s="138">
        <f>78000000+23400000</f>
        <v>101400000</v>
      </c>
      <c r="AU199" s="138">
        <v>39500000</v>
      </c>
      <c r="AV199" s="138">
        <v>16100000</v>
      </c>
      <c r="AW199" s="130"/>
      <c r="AX199" s="130"/>
      <c r="AY199" s="130"/>
      <c r="AZ199" s="130"/>
      <c r="BA199" s="130"/>
      <c r="BB199" s="130"/>
      <c r="BC199" s="130"/>
      <c r="BD199" s="130"/>
      <c r="BE199" s="130"/>
      <c r="BF199" s="138">
        <f t="shared" si="16"/>
        <v>101400000</v>
      </c>
      <c r="BG199" s="138">
        <f t="shared" si="17"/>
        <v>39500000</v>
      </c>
      <c r="BH199" s="138">
        <f t="shared" si="18"/>
        <v>16100000</v>
      </c>
      <c r="BI199" s="149" t="s">
        <v>6</v>
      </c>
    </row>
    <row r="200" spans="1:61" s="151" customFormat="1" ht="93.75" customHeight="1">
      <c r="A200" s="139">
        <v>316</v>
      </c>
      <c r="B200" s="140" t="s">
        <v>754</v>
      </c>
      <c r="C200" s="139">
        <v>4</v>
      </c>
      <c r="D200" s="140" t="s">
        <v>59</v>
      </c>
      <c r="E200" s="139">
        <v>45</v>
      </c>
      <c r="F200" s="140" t="s">
        <v>906</v>
      </c>
      <c r="G200" s="139">
        <v>4502</v>
      </c>
      <c r="H200" s="140" t="s">
        <v>78</v>
      </c>
      <c r="I200" s="139">
        <v>4502</v>
      </c>
      <c r="J200" s="140" t="s">
        <v>79</v>
      </c>
      <c r="K200" s="142" t="s">
        <v>923</v>
      </c>
      <c r="L200" s="137">
        <v>4502024</v>
      </c>
      <c r="M200" s="140" t="s">
        <v>360</v>
      </c>
      <c r="N200" s="137">
        <v>4502024</v>
      </c>
      <c r="O200" s="140" t="s">
        <v>360</v>
      </c>
      <c r="P200" s="139" t="s">
        <v>61</v>
      </c>
      <c r="Q200" s="142" t="s">
        <v>924</v>
      </c>
      <c r="R200" s="137">
        <v>450202401</v>
      </c>
      <c r="S200" s="141" t="s">
        <v>925</v>
      </c>
      <c r="T200" s="145" t="s">
        <v>69</v>
      </c>
      <c r="U200" s="145">
        <v>1</v>
      </c>
      <c r="V200" s="145"/>
      <c r="W200" s="145">
        <f t="shared" si="19"/>
        <v>1</v>
      </c>
      <c r="X200" s="145">
        <v>0.25</v>
      </c>
      <c r="Y200" s="278">
        <v>2020003630111</v>
      </c>
      <c r="Z200" s="140" t="s">
        <v>926</v>
      </c>
      <c r="AA200" s="140" t="s">
        <v>927</v>
      </c>
      <c r="AB200" s="130"/>
      <c r="AC200" s="130"/>
      <c r="AD200" s="130"/>
      <c r="AE200" s="130"/>
      <c r="AF200" s="130"/>
      <c r="AG200" s="130"/>
      <c r="AH200" s="130"/>
      <c r="AI200" s="130"/>
      <c r="AJ200" s="130"/>
      <c r="AK200" s="130"/>
      <c r="AL200" s="130"/>
      <c r="AM200" s="130"/>
      <c r="AN200" s="130"/>
      <c r="AO200" s="130"/>
      <c r="AP200" s="130"/>
      <c r="AQ200" s="130"/>
      <c r="AR200" s="130"/>
      <c r="AS200" s="130"/>
      <c r="AT200" s="138">
        <f>30172972+9000000</f>
        <v>39172972</v>
      </c>
      <c r="AU200" s="138">
        <v>23766215</v>
      </c>
      <c r="AV200" s="138">
        <v>15693243</v>
      </c>
      <c r="AW200" s="130"/>
      <c r="AX200" s="130"/>
      <c r="AY200" s="130"/>
      <c r="AZ200" s="130"/>
      <c r="BA200" s="130"/>
      <c r="BB200" s="130"/>
      <c r="BC200" s="130"/>
      <c r="BD200" s="130"/>
      <c r="BE200" s="130"/>
      <c r="BF200" s="138">
        <f t="shared" ref="BF200:BF263" si="20">AB200+AE200+AH200+AK200+AN200+AQ200+AT200+AW200+BC200+AZ200</f>
        <v>39172972</v>
      </c>
      <c r="BG200" s="138">
        <f t="shared" ref="BG200:BG263" si="21">AC200+AF200+AI200+AL200+AO200+AR200+AU200+AX200+BD200+BA200</f>
        <v>23766215</v>
      </c>
      <c r="BH200" s="138">
        <f t="shared" ref="BH200:BH263" si="22">AD200+AG200+AJ200+AM200+AP200+AS200+AV200+AY200+BE200+BB200</f>
        <v>15693243</v>
      </c>
      <c r="BI200" s="149" t="s">
        <v>6</v>
      </c>
    </row>
    <row r="201" spans="1:61" s="151" customFormat="1" ht="51">
      <c r="A201" s="139">
        <v>316</v>
      </c>
      <c r="B201" s="140" t="s">
        <v>754</v>
      </c>
      <c r="C201" s="139">
        <v>4</v>
      </c>
      <c r="D201" s="140" t="s">
        <v>59</v>
      </c>
      <c r="E201" s="139">
        <v>45</v>
      </c>
      <c r="F201" s="140" t="s">
        <v>906</v>
      </c>
      <c r="G201" s="139">
        <v>4502</v>
      </c>
      <c r="H201" s="140" t="s">
        <v>78</v>
      </c>
      <c r="I201" s="139">
        <v>4502</v>
      </c>
      <c r="J201" s="140" t="s">
        <v>79</v>
      </c>
      <c r="K201" s="319" t="s">
        <v>928</v>
      </c>
      <c r="L201" s="137">
        <v>4502024</v>
      </c>
      <c r="M201" s="140" t="s">
        <v>360</v>
      </c>
      <c r="N201" s="137">
        <v>4502024</v>
      </c>
      <c r="O201" s="140" t="s">
        <v>360</v>
      </c>
      <c r="P201" s="139" t="s">
        <v>61</v>
      </c>
      <c r="Q201" s="142" t="s">
        <v>929</v>
      </c>
      <c r="R201" s="137">
        <v>450202401</v>
      </c>
      <c r="S201" s="142" t="s">
        <v>925</v>
      </c>
      <c r="T201" s="145" t="s">
        <v>69</v>
      </c>
      <c r="U201" s="145">
        <v>1</v>
      </c>
      <c r="V201" s="145"/>
      <c r="W201" s="145">
        <f t="shared" si="19"/>
        <v>1</v>
      </c>
      <c r="X201" s="145">
        <v>0.25</v>
      </c>
      <c r="Y201" s="146">
        <v>2020003630112</v>
      </c>
      <c r="Z201" s="140" t="s">
        <v>930</v>
      </c>
      <c r="AA201" s="140" t="s">
        <v>931</v>
      </c>
      <c r="AB201" s="130"/>
      <c r="AC201" s="130"/>
      <c r="AD201" s="130"/>
      <c r="AE201" s="130"/>
      <c r="AF201" s="130"/>
      <c r="AG201" s="130"/>
      <c r="AH201" s="130"/>
      <c r="AI201" s="130"/>
      <c r="AJ201" s="130"/>
      <c r="AK201" s="130"/>
      <c r="AL201" s="130"/>
      <c r="AM201" s="130"/>
      <c r="AN201" s="130"/>
      <c r="AO201" s="130"/>
      <c r="AP201" s="130"/>
      <c r="AQ201" s="130"/>
      <c r="AR201" s="130"/>
      <c r="AS201" s="130"/>
      <c r="AT201" s="138">
        <f>50000000+15000000+50000000</f>
        <v>115000000</v>
      </c>
      <c r="AU201" s="138">
        <v>16760000</v>
      </c>
      <c r="AV201" s="138">
        <v>16760000</v>
      </c>
      <c r="AW201" s="130"/>
      <c r="AX201" s="130"/>
      <c r="AY201" s="130"/>
      <c r="AZ201" s="130"/>
      <c r="BA201" s="130"/>
      <c r="BB201" s="130"/>
      <c r="BC201" s="130"/>
      <c r="BD201" s="130"/>
      <c r="BE201" s="130"/>
      <c r="BF201" s="138">
        <f t="shared" si="20"/>
        <v>115000000</v>
      </c>
      <c r="BG201" s="138">
        <f t="shared" si="21"/>
        <v>16760000</v>
      </c>
      <c r="BH201" s="138">
        <f t="shared" si="22"/>
        <v>16760000</v>
      </c>
      <c r="BI201" s="149" t="s">
        <v>6</v>
      </c>
    </row>
    <row r="202" spans="1:61" s="151" customFormat="1" ht="57.75" customHeight="1">
      <c r="A202" s="139">
        <v>318</v>
      </c>
      <c r="B202" s="140" t="s">
        <v>932</v>
      </c>
      <c r="C202" s="139">
        <v>1</v>
      </c>
      <c r="D202" s="140" t="s">
        <v>148</v>
      </c>
      <c r="E202" s="139">
        <v>19</v>
      </c>
      <c r="F202" s="140" t="s">
        <v>755</v>
      </c>
      <c r="G202" s="139">
        <v>1903</v>
      </c>
      <c r="H202" s="141" t="s">
        <v>933</v>
      </c>
      <c r="I202" s="139">
        <v>1903</v>
      </c>
      <c r="J202" s="140" t="s">
        <v>934</v>
      </c>
      <c r="K202" s="140" t="s">
        <v>977</v>
      </c>
      <c r="L202" s="139">
        <v>1903011</v>
      </c>
      <c r="M202" s="140" t="s">
        <v>962</v>
      </c>
      <c r="N202" s="139">
        <v>1903011</v>
      </c>
      <c r="O202" s="140" t="s">
        <v>962</v>
      </c>
      <c r="P202" s="145">
        <v>190301101</v>
      </c>
      <c r="Q202" s="140" t="s">
        <v>978</v>
      </c>
      <c r="R202" s="145">
        <v>190301101</v>
      </c>
      <c r="S202" s="142" t="s">
        <v>978</v>
      </c>
      <c r="T202" s="145" t="s">
        <v>69</v>
      </c>
      <c r="U202" s="145">
        <v>12</v>
      </c>
      <c r="V202" s="145"/>
      <c r="W202" s="145">
        <v>12</v>
      </c>
      <c r="X202" s="145">
        <v>12</v>
      </c>
      <c r="Y202" s="146">
        <v>2020003630118</v>
      </c>
      <c r="Z202" s="140" t="s">
        <v>972</v>
      </c>
      <c r="AA202" s="140" t="s">
        <v>973</v>
      </c>
      <c r="AB202" s="130"/>
      <c r="AC202" s="130"/>
      <c r="AD202" s="130"/>
      <c r="AE202" s="130"/>
      <c r="AF202" s="130"/>
      <c r="AG202" s="130"/>
      <c r="AH202" s="148">
        <v>157350078</v>
      </c>
      <c r="AI202" s="148"/>
      <c r="AJ202" s="148"/>
      <c r="AK202" s="130"/>
      <c r="AL202" s="130"/>
      <c r="AM202" s="130"/>
      <c r="AN202" s="130"/>
      <c r="AO202" s="130"/>
      <c r="AP202" s="130"/>
      <c r="AQ202" s="130"/>
      <c r="AR202" s="130"/>
      <c r="AS202" s="130"/>
      <c r="AT202" s="135"/>
      <c r="AU202" s="135"/>
      <c r="AV202" s="135"/>
      <c r="AW202" s="130"/>
      <c r="AX202" s="130"/>
      <c r="AY202" s="130"/>
      <c r="AZ202" s="130"/>
      <c r="BA202" s="130"/>
      <c r="BB202" s="130"/>
      <c r="BC202" s="130"/>
      <c r="BD202" s="130"/>
      <c r="BE202" s="130"/>
      <c r="BF202" s="138">
        <f t="shared" ref="BF202:BF233" si="23">AB202+AE202+AH202+AK202+AN202+AQ202+AT202+AW202+BC202+AZ202</f>
        <v>157350078</v>
      </c>
      <c r="BG202" s="138">
        <f t="shared" si="21"/>
        <v>0</v>
      </c>
      <c r="BH202" s="138">
        <f t="shared" si="22"/>
        <v>0</v>
      </c>
      <c r="BI202" s="149" t="s">
        <v>14</v>
      </c>
    </row>
    <row r="203" spans="1:61" s="151" customFormat="1" ht="54" customHeight="1">
      <c r="A203" s="139">
        <v>318</v>
      </c>
      <c r="B203" s="140" t="s">
        <v>932</v>
      </c>
      <c r="C203" s="139">
        <v>1</v>
      </c>
      <c r="D203" s="140" t="s">
        <v>148</v>
      </c>
      <c r="E203" s="139">
        <v>19</v>
      </c>
      <c r="F203" s="140" t="s">
        <v>755</v>
      </c>
      <c r="G203" s="139">
        <v>1903</v>
      </c>
      <c r="H203" s="140" t="s">
        <v>933</v>
      </c>
      <c r="I203" s="139">
        <v>1903</v>
      </c>
      <c r="J203" s="140" t="s">
        <v>934</v>
      </c>
      <c r="K203" s="142" t="s">
        <v>977</v>
      </c>
      <c r="L203" s="139">
        <v>1903011</v>
      </c>
      <c r="M203" s="140" t="s">
        <v>962</v>
      </c>
      <c r="N203" s="139">
        <v>1903011</v>
      </c>
      <c r="O203" s="140" t="s">
        <v>962</v>
      </c>
      <c r="P203" s="145">
        <v>190301101</v>
      </c>
      <c r="Q203" s="140" t="s">
        <v>978</v>
      </c>
      <c r="R203" s="145">
        <v>190301101</v>
      </c>
      <c r="S203" s="142" t="s">
        <v>978</v>
      </c>
      <c r="T203" s="145" t="s">
        <v>69</v>
      </c>
      <c r="U203" s="145">
        <v>12</v>
      </c>
      <c r="V203" s="145"/>
      <c r="W203" s="145">
        <v>12</v>
      </c>
      <c r="X203" s="145">
        <v>3</v>
      </c>
      <c r="Y203" s="146">
        <v>2020003630120</v>
      </c>
      <c r="Z203" s="140" t="s">
        <v>985</v>
      </c>
      <c r="AA203" s="140" t="s">
        <v>986</v>
      </c>
      <c r="AB203" s="130"/>
      <c r="AC203" s="130"/>
      <c r="AD203" s="130"/>
      <c r="AE203" s="130"/>
      <c r="AF203" s="130"/>
      <c r="AG203" s="130"/>
      <c r="AH203" s="130"/>
      <c r="AI203" s="130"/>
      <c r="AJ203" s="130"/>
      <c r="AK203" s="148"/>
      <c r="AL203" s="148"/>
      <c r="AM203" s="148"/>
      <c r="AN203" s="130"/>
      <c r="AO203" s="130"/>
      <c r="AP203" s="130"/>
      <c r="AQ203" s="130"/>
      <c r="AR203" s="130"/>
      <c r="AS203" s="130"/>
      <c r="AT203" s="135">
        <v>15000000</v>
      </c>
      <c r="AU203" s="135">
        <v>15000000</v>
      </c>
      <c r="AV203" s="135">
        <v>9100000</v>
      </c>
      <c r="AW203" s="130"/>
      <c r="AX203" s="130"/>
      <c r="AY203" s="130"/>
      <c r="AZ203" s="130"/>
      <c r="BA203" s="130"/>
      <c r="BB203" s="130"/>
      <c r="BC203" s="130"/>
      <c r="BD203" s="130"/>
      <c r="BE203" s="130"/>
      <c r="BF203" s="138">
        <f t="shared" si="23"/>
        <v>15000000</v>
      </c>
      <c r="BG203" s="138">
        <f t="shared" si="21"/>
        <v>15000000</v>
      </c>
      <c r="BH203" s="138">
        <f t="shared" si="22"/>
        <v>9100000</v>
      </c>
      <c r="BI203" s="149" t="s">
        <v>14</v>
      </c>
    </row>
    <row r="204" spans="1:61" s="151" customFormat="1" ht="77.25" customHeight="1">
      <c r="A204" s="139">
        <v>318</v>
      </c>
      <c r="B204" s="140" t="s">
        <v>932</v>
      </c>
      <c r="C204" s="139">
        <v>1</v>
      </c>
      <c r="D204" s="140" t="s">
        <v>148</v>
      </c>
      <c r="E204" s="139">
        <v>19</v>
      </c>
      <c r="F204" s="140" t="s">
        <v>755</v>
      </c>
      <c r="G204" s="139">
        <v>1903</v>
      </c>
      <c r="H204" s="140" t="s">
        <v>933</v>
      </c>
      <c r="I204" s="139">
        <v>1903</v>
      </c>
      <c r="J204" s="140" t="s">
        <v>934</v>
      </c>
      <c r="K204" s="140" t="s">
        <v>935</v>
      </c>
      <c r="L204" s="139">
        <v>1903009</v>
      </c>
      <c r="M204" s="140" t="s">
        <v>936</v>
      </c>
      <c r="N204" s="139">
        <v>1903009</v>
      </c>
      <c r="O204" s="140" t="s">
        <v>937</v>
      </c>
      <c r="P204" s="145">
        <v>190300900</v>
      </c>
      <c r="Q204" s="142" t="s">
        <v>938</v>
      </c>
      <c r="R204" s="145">
        <v>190300900</v>
      </c>
      <c r="S204" s="142" t="s">
        <v>939</v>
      </c>
      <c r="T204" s="145" t="s">
        <v>157</v>
      </c>
      <c r="U204" s="145">
        <v>960</v>
      </c>
      <c r="V204" s="145"/>
      <c r="W204" s="145">
        <v>960</v>
      </c>
      <c r="X204" s="145">
        <v>242</v>
      </c>
      <c r="Y204" s="146">
        <v>2020003630116</v>
      </c>
      <c r="Z204" s="140" t="s">
        <v>940</v>
      </c>
      <c r="AA204" s="140" t="s">
        <v>941</v>
      </c>
      <c r="AB204" s="130"/>
      <c r="AC204" s="130"/>
      <c r="AD204" s="130"/>
      <c r="AE204" s="130"/>
      <c r="AF204" s="130"/>
      <c r="AG204" s="130"/>
      <c r="AH204" s="130">
        <v>35000000</v>
      </c>
      <c r="AI204" s="130">
        <v>18133333</v>
      </c>
      <c r="AJ204" s="130">
        <v>6400000</v>
      </c>
      <c r="AK204" s="130"/>
      <c r="AL204" s="130"/>
      <c r="AM204" s="130"/>
      <c r="AN204" s="130"/>
      <c r="AO204" s="130"/>
      <c r="AP204" s="130"/>
      <c r="AQ204" s="130"/>
      <c r="AR204" s="130"/>
      <c r="AS204" s="130"/>
      <c r="AT204" s="135"/>
      <c r="AU204" s="135"/>
      <c r="AV204" s="135"/>
      <c r="AW204" s="130"/>
      <c r="AX204" s="130"/>
      <c r="AY204" s="130"/>
      <c r="AZ204" s="130"/>
      <c r="BA204" s="130"/>
      <c r="BB204" s="130"/>
      <c r="BC204" s="130"/>
      <c r="BD204" s="130"/>
      <c r="BE204" s="130"/>
      <c r="BF204" s="138">
        <f t="shared" si="23"/>
        <v>35000000</v>
      </c>
      <c r="BG204" s="138">
        <f t="shared" si="21"/>
        <v>18133333</v>
      </c>
      <c r="BH204" s="138">
        <f t="shared" si="22"/>
        <v>6400000</v>
      </c>
      <c r="BI204" s="149" t="s">
        <v>14</v>
      </c>
    </row>
    <row r="205" spans="1:61" s="151" customFormat="1" ht="77.25" customHeight="1">
      <c r="A205" s="139">
        <v>318</v>
      </c>
      <c r="B205" s="140" t="s">
        <v>932</v>
      </c>
      <c r="C205" s="139">
        <v>1</v>
      </c>
      <c r="D205" s="140" t="s">
        <v>148</v>
      </c>
      <c r="E205" s="139">
        <v>19</v>
      </c>
      <c r="F205" s="140" t="s">
        <v>755</v>
      </c>
      <c r="G205" s="139">
        <v>1903</v>
      </c>
      <c r="H205" s="140" t="s">
        <v>933</v>
      </c>
      <c r="I205" s="139">
        <v>1903</v>
      </c>
      <c r="J205" s="140" t="s">
        <v>934</v>
      </c>
      <c r="K205" s="140" t="s">
        <v>942</v>
      </c>
      <c r="L205" s="139">
        <v>1903031</v>
      </c>
      <c r="M205" s="140" t="s">
        <v>943</v>
      </c>
      <c r="N205" s="139">
        <v>1903031</v>
      </c>
      <c r="O205" s="140" t="s">
        <v>943</v>
      </c>
      <c r="P205" s="145">
        <v>190303100</v>
      </c>
      <c r="Q205" s="142" t="s">
        <v>944</v>
      </c>
      <c r="R205" s="145">
        <v>190303100</v>
      </c>
      <c r="S205" s="142" t="s">
        <v>944</v>
      </c>
      <c r="T205" s="145" t="s">
        <v>69</v>
      </c>
      <c r="U205" s="145">
        <v>12</v>
      </c>
      <c r="V205" s="145"/>
      <c r="W205" s="145">
        <v>12</v>
      </c>
      <c r="X205" s="145">
        <v>12</v>
      </c>
      <c r="Y205" s="146">
        <v>2020003630116</v>
      </c>
      <c r="Z205" s="140" t="s">
        <v>940</v>
      </c>
      <c r="AA205" s="140" t="s">
        <v>941</v>
      </c>
      <c r="AB205" s="130"/>
      <c r="AC205" s="130"/>
      <c r="AD205" s="130"/>
      <c r="AE205" s="130"/>
      <c r="AF205" s="130"/>
      <c r="AG205" s="130"/>
      <c r="AH205" s="148">
        <v>37500000</v>
      </c>
      <c r="AI205" s="148">
        <v>16533333</v>
      </c>
      <c r="AJ205" s="148">
        <v>6400000</v>
      </c>
      <c r="AK205" s="130"/>
      <c r="AL205" s="130"/>
      <c r="AM205" s="130"/>
      <c r="AN205" s="130"/>
      <c r="AO205" s="130"/>
      <c r="AP205" s="130"/>
      <c r="AQ205" s="130"/>
      <c r="AR205" s="130"/>
      <c r="AS205" s="130"/>
      <c r="AT205" s="135"/>
      <c r="AU205" s="135"/>
      <c r="AV205" s="135"/>
      <c r="AW205" s="130"/>
      <c r="AX205" s="130"/>
      <c r="AY205" s="130"/>
      <c r="AZ205" s="130"/>
      <c r="BA205" s="130"/>
      <c r="BB205" s="130"/>
      <c r="BC205" s="130"/>
      <c r="BD205" s="130"/>
      <c r="BE205" s="130"/>
      <c r="BF205" s="138">
        <f t="shared" si="23"/>
        <v>37500000</v>
      </c>
      <c r="BG205" s="138">
        <f t="shared" si="21"/>
        <v>16533333</v>
      </c>
      <c r="BH205" s="138">
        <f t="shared" si="22"/>
        <v>6400000</v>
      </c>
      <c r="BI205" s="149" t="s">
        <v>14</v>
      </c>
    </row>
    <row r="206" spans="1:61" s="151" customFormat="1" ht="79.5" customHeight="1">
      <c r="A206" s="139">
        <v>318</v>
      </c>
      <c r="B206" s="140" t="s">
        <v>932</v>
      </c>
      <c r="C206" s="139">
        <v>1</v>
      </c>
      <c r="D206" s="140" t="s">
        <v>148</v>
      </c>
      <c r="E206" s="139">
        <v>19</v>
      </c>
      <c r="F206" s="140" t="s">
        <v>755</v>
      </c>
      <c r="G206" s="139">
        <v>1903</v>
      </c>
      <c r="H206" s="140" t="s">
        <v>933</v>
      </c>
      <c r="I206" s="139">
        <v>1903</v>
      </c>
      <c r="J206" s="140" t="s">
        <v>934</v>
      </c>
      <c r="K206" s="140" t="s">
        <v>945</v>
      </c>
      <c r="L206" s="139">
        <v>1903023</v>
      </c>
      <c r="M206" s="140" t="s">
        <v>946</v>
      </c>
      <c r="N206" s="139">
        <v>1903023</v>
      </c>
      <c r="O206" s="140" t="s">
        <v>946</v>
      </c>
      <c r="P206" s="145">
        <v>190302300</v>
      </c>
      <c r="Q206" s="142" t="s">
        <v>947</v>
      </c>
      <c r="R206" s="145">
        <v>190302300</v>
      </c>
      <c r="S206" s="142" t="s">
        <v>947</v>
      </c>
      <c r="T206" s="145" t="s">
        <v>69</v>
      </c>
      <c r="U206" s="145">
        <v>12</v>
      </c>
      <c r="V206" s="145"/>
      <c r="W206" s="145">
        <v>12</v>
      </c>
      <c r="X206" s="145">
        <v>5</v>
      </c>
      <c r="Y206" s="146">
        <v>2020003630116</v>
      </c>
      <c r="Z206" s="140" t="s">
        <v>940</v>
      </c>
      <c r="AA206" s="140" t="s">
        <v>941</v>
      </c>
      <c r="AB206" s="130"/>
      <c r="AC206" s="130"/>
      <c r="AD206" s="130"/>
      <c r="AE206" s="130"/>
      <c r="AF206" s="130"/>
      <c r="AG206" s="130"/>
      <c r="AH206" s="130">
        <v>20000000</v>
      </c>
      <c r="AI206" s="130">
        <v>14826666</v>
      </c>
      <c r="AJ206" s="130">
        <v>3200000</v>
      </c>
      <c r="AK206" s="130"/>
      <c r="AL206" s="130"/>
      <c r="AM206" s="130"/>
      <c r="AN206" s="130"/>
      <c r="AO206" s="130"/>
      <c r="AP206" s="130"/>
      <c r="AQ206" s="130"/>
      <c r="AR206" s="130"/>
      <c r="AS206" s="130"/>
      <c r="AT206" s="148"/>
      <c r="AU206" s="148"/>
      <c r="AV206" s="148"/>
      <c r="AW206" s="130"/>
      <c r="AX206" s="130"/>
      <c r="AY206" s="130"/>
      <c r="AZ206" s="130"/>
      <c r="BA206" s="130"/>
      <c r="BB206" s="130"/>
      <c r="BC206" s="130"/>
      <c r="BD206" s="130"/>
      <c r="BE206" s="130"/>
      <c r="BF206" s="138">
        <f t="shared" si="23"/>
        <v>20000000</v>
      </c>
      <c r="BG206" s="138">
        <f t="shared" si="21"/>
        <v>14826666</v>
      </c>
      <c r="BH206" s="138">
        <f t="shared" si="22"/>
        <v>3200000</v>
      </c>
      <c r="BI206" s="149" t="s">
        <v>14</v>
      </c>
    </row>
    <row r="207" spans="1:61" s="151" customFormat="1" ht="76.5">
      <c r="A207" s="139">
        <v>318</v>
      </c>
      <c r="B207" s="140" t="s">
        <v>932</v>
      </c>
      <c r="C207" s="139">
        <v>1</v>
      </c>
      <c r="D207" s="140" t="s">
        <v>148</v>
      </c>
      <c r="E207" s="139">
        <v>19</v>
      </c>
      <c r="F207" s="140" t="s">
        <v>755</v>
      </c>
      <c r="G207" s="139">
        <v>1903</v>
      </c>
      <c r="H207" s="140" t="s">
        <v>933</v>
      </c>
      <c r="I207" s="139">
        <v>1903</v>
      </c>
      <c r="J207" s="140" t="s">
        <v>934</v>
      </c>
      <c r="K207" s="140" t="s">
        <v>948</v>
      </c>
      <c r="L207" s="139" t="s">
        <v>61</v>
      </c>
      <c r="M207" s="140" t="s">
        <v>949</v>
      </c>
      <c r="N207" s="139">
        <v>1903023</v>
      </c>
      <c r="O207" s="140" t="s">
        <v>950</v>
      </c>
      <c r="P207" s="139" t="s">
        <v>61</v>
      </c>
      <c r="Q207" s="142" t="s">
        <v>951</v>
      </c>
      <c r="R207" s="145">
        <v>190302300</v>
      </c>
      <c r="S207" s="142" t="s">
        <v>952</v>
      </c>
      <c r="T207" s="145" t="s">
        <v>69</v>
      </c>
      <c r="U207" s="145">
        <v>12</v>
      </c>
      <c r="V207" s="145"/>
      <c r="W207" s="145">
        <v>12</v>
      </c>
      <c r="X207" s="145">
        <v>5</v>
      </c>
      <c r="Y207" s="146">
        <v>2020003630116</v>
      </c>
      <c r="Z207" s="140" t="s">
        <v>940</v>
      </c>
      <c r="AA207" s="140" t="s">
        <v>941</v>
      </c>
      <c r="AB207" s="130"/>
      <c r="AC207" s="130"/>
      <c r="AD207" s="130"/>
      <c r="AE207" s="130"/>
      <c r="AF207" s="130"/>
      <c r="AG207" s="130"/>
      <c r="AH207" s="130">
        <v>22500000</v>
      </c>
      <c r="AI207" s="130">
        <v>17706666</v>
      </c>
      <c r="AJ207" s="130">
        <v>6400000</v>
      </c>
      <c r="AK207" s="148"/>
      <c r="AL207" s="148"/>
      <c r="AM207" s="148"/>
      <c r="AN207" s="130"/>
      <c r="AO207" s="130"/>
      <c r="AP207" s="130"/>
      <c r="AQ207" s="130"/>
      <c r="AR207" s="130"/>
      <c r="AS207" s="130"/>
      <c r="AT207" s="148"/>
      <c r="AU207" s="148"/>
      <c r="AV207" s="148"/>
      <c r="AW207" s="130"/>
      <c r="AX207" s="130"/>
      <c r="AY207" s="130"/>
      <c r="AZ207" s="130"/>
      <c r="BA207" s="130"/>
      <c r="BB207" s="130"/>
      <c r="BC207" s="130"/>
      <c r="BD207" s="130"/>
      <c r="BE207" s="130"/>
      <c r="BF207" s="138">
        <f t="shared" si="23"/>
        <v>22500000</v>
      </c>
      <c r="BG207" s="138">
        <f t="shared" si="21"/>
        <v>17706666</v>
      </c>
      <c r="BH207" s="138">
        <f t="shared" si="22"/>
        <v>6400000</v>
      </c>
      <c r="BI207" s="149" t="s">
        <v>14</v>
      </c>
    </row>
    <row r="208" spans="1:61" s="151" customFormat="1" ht="82.5" customHeight="1">
      <c r="A208" s="139">
        <v>318</v>
      </c>
      <c r="B208" s="140" t="s">
        <v>932</v>
      </c>
      <c r="C208" s="139">
        <v>1</v>
      </c>
      <c r="D208" s="140" t="s">
        <v>148</v>
      </c>
      <c r="E208" s="139">
        <v>19</v>
      </c>
      <c r="F208" s="140" t="s">
        <v>755</v>
      </c>
      <c r="G208" s="139">
        <v>1903</v>
      </c>
      <c r="H208" s="140" t="s">
        <v>933</v>
      </c>
      <c r="I208" s="139">
        <v>1903</v>
      </c>
      <c r="J208" s="140" t="s">
        <v>934</v>
      </c>
      <c r="K208" s="140" t="s">
        <v>935</v>
      </c>
      <c r="L208" s="139" t="s">
        <v>61</v>
      </c>
      <c r="M208" s="140" t="s">
        <v>953</v>
      </c>
      <c r="N208" s="139">
        <v>1903038</v>
      </c>
      <c r="O208" s="140" t="s">
        <v>954</v>
      </c>
      <c r="P208" s="139" t="s">
        <v>61</v>
      </c>
      <c r="Q208" s="142" t="s">
        <v>955</v>
      </c>
      <c r="R208" s="139">
        <v>190303801</v>
      </c>
      <c r="S208" s="142" t="s">
        <v>956</v>
      </c>
      <c r="T208" s="145" t="s">
        <v>69</v>
      </c>
      <c r="U208" s="139">
        <v>1</v>
      </c>
      <c r="V208" s="139"/>
      <c r="W208" s="145">
        <v>1</v>
      </c>
      <c r="X208" s="145">
        <v>0.3</v>
      </c>
      <c r="Y208" s="146">
        <v>2020003630116</v>
      </c>
      <c r="Z208" s="140" t="s">
        <v>940</v>
      </c>
      <c r="AA208" s="140" t="s">
        <v>941</v>
      </c>
      <c r="AB208" s="130"/>
      <c r="AC208" s="130"/>
      <c r="AD208" s="130"/>
      <c r="AE208" s="130"/>
      <c r="AF208" s="130"/>
      <c r="AG208" s="130"/>
      <c r="AH208" s="130">
        <v>0</v>
      </c>
      <c r="AI208" s="130"/>
      <c r="AJ208" s="130"/>
      <c r="AK208" s="130"/>
      <c r="AL208" s="130"/>
      <c r="AM208" s="130"/>
      <c r="AN208" s="130"/>
      <c r="AO208" s="130"/>
      <c r="AP208" s="130"/>
      <c r="AQ208" s="130"/>
      <c r="AR208" s="130"/>
      <c r="AS208" s="130"/>
      <c r="AT208" s="148"/>
      <c r="AU208" s="148"/>
      <c r="AV208" s="148"/>
      <c r="AW208" s="130"/>
      <c r="AX208" s="130"/>
      <c r="AY208" s="130"/>
      <c r="AZ208" s="130"/>
      <c r="BA208" s="130"/>
      <c r="BB208" s="130"/>
      <c r="BC208" s="138">
        <f>400000000+696605698.65</f>
        <v>1096605698.6500001</v>
      </c>
      <c r="BD208" s="138">
        <v>166612020</v>
      </c>
      <c r="BE208" s="138">
        <v>35437629</v>
      </c>
      <c r="BF208" s="138">
        <f t="shared" si="23"/>
        <v>1096605698.6500001</v>
      </c>
      <c r="BG208" s="138">
        <f t="shared" si="21"/>
        <v>166612020</v>
      </c>
      <c r="BH208" s="138">
        <f t="shared" si="22"/>
        <v>35437629</v>
      </c>
      <c r="BI208" s="149" t="s">
        <v>14</v>
      </c>
    </row>
    <row r="209" spans="1:77" s="151" customFormat="1" ht="101.25" customHeight="1">
      <c r="A209" s="139">
        <v>318</v>
      </c>
      <c r="B209" s="140" t="s">
        <v>932</v>
      </c>
      <c r="C209" s="139">
        <v>1</v>
      </c>
      <c r="D209" s="140" t="s">
        <v>148</v>
      </c>
      <c r="E209" s="139">
        <v>19</v>
      </c>
      <c r="F209" s="140" t="s">
        <v>755</v>
      </c>
      <c r="G209" s="139">
        <v>1903</v>
      </c>
      <c r="H209" s="140" t="s">
        <v>933</v>
      </c>
      <c r="I209" s="139">
        <v>1903</v>
      </c>
      <c r="J209" s="140" t="s">
        <v>934</v>
      </c>
      <c r="K209" s="140" t="s">
        <v>957</v>
      </c>
      <c r="L209" s="139">
        <v>1903038</v>
      </c>
      <c r="M209" s="140" t="s">
        <v>954</v>
      </c>
      <c r="N209" s="139">
        <v>1903038</v>
      </c>
      <c r="O209" s="140" t="s">
        <v>954</v>
      </c>
      <c r="P209" s="145">
        <v>190303801</v>
      </c>
      <c r="Q209" s="141" t="s">
        <v>958</v>
      </c>
      <c r="R209" s="145">
        <v>190303801</v>
      </c>
      <c r="S209" s="142" t="s">
        <v>958</v>
      </c>
      <c r="T209" s="145" t="s">
        <v>69</v>
      </c>
      <c r="U209" s="145">
        <v>11</v>
      </c>
      <c r="V209" s="145"/>
      <c r="W209" s="145">
        <v>11</v>
      </c>
      <c r="X209" s="145">
        <v>11</v>
      </c>
      <c r="Y209" s="146">
        <v>2020003630116</v>
      </c>
      <c r="Z209" s="140" t="s">
        <v>940</v>
      </c>
      <c r="AA209" s="140" t="s">
        <v>941</v>
      </c>
      <c r="AB209" s="130"/>
      <c r="AC209" s="130"/>
      <c r="AD209" s="130"/>
      <c r="AE209" s="130"/>
      <c r="AF209" s="130"/>
      <c r="AG209" s="130"/>
      <c r="AH209" s="138">
        <f>17500000+300000000</f>
        <v>317500000</v>
      </c>
      <c r="AI209" s="138">
        <v>69300000</v>
      </c>
      <c r="AJ209" s="138">
        <v>23500000</v>
      </c>
      <c r="AK209" s="130"/>
      <c r="AL209" s="130"/>
      <c r="AM209" s="130"/>
      <c r="AN209" s="130"/>
      <c r="AO209" s="130"/>
      <c r="AP209" s="130"/>
      <c r="AQ209" s="130"/>
      <c r="AR209" s="130"/>
      <c r="AS209" s="130"/>
      <c r="AT209" s="148"/>
      <c r="AU209" s="148"/>
      <c r="AV209" s="148"/>
      <c r="AW209" s="130"/>
      <c r="AX209" s="130"/>
      <c r="AY209" s="130"/>
      <c r="AZ209" s="130"/>
      <c r="BA209" s="130"/>
      <c r="BB209" s="130"/>
      <c r="BC209" s="130"/>
      <c r="BD209" s="130"/>
      <c r="BE209" s="130"/>
      <c r="BF209" s="138">
        <f t="shared" si="23"/>
        <v>317500000</v>
      </c>
      <c r="BG209" s="138">
        <f t="shared" si="21"/>
        <v>69300000</v>
      </c>
      <c r="BH209" s="138">
        <f t="shared" si="22"/>
        <v>23500000</v>
      </c>
      <c r="BI209" s="149" t="s">
        <v>14</v>
      </c>
    </row>
    <row r="210" spans="1:77" s="151" customFormat="1" ht="93.75" customHeight="1">
      <c r="A210" s="139">
        <v>318</v>
      </c>
      <c r="B210" s="140" t="s">
        <v>932</v>
      </c>
      <c r="C210" s="139">
        <v>1</v>
      </c>
      <c r="D210" s="140" t="s">
        <v>148</v>
      </c>
      <c r="E210" s="139">
        <v>19</v>
      </c>
      <c r="F210" s="140" t="s">
        <v>755</v>
      </c>
      <c r="G210" s="139">
        <v>1903</v>
      </c>
      <c r="H210" s="141" t="s">
        <v>933</v>
      </c>
      <c r="I210" s="139">
        <v>1903</v>
      </c>
      <c r="J210" s="141" t="s">
        <v>934</v>
      </c>
      <c r="K210" s="140" t="s">
        <v>942</v>
      </c>
      <c r="L210" s="139">
        <v>1903027</v>
      </c>
      <c r="M210" s="140" t="s">
        <v>959</v>
      </c>
      <c r="N210" s="139">
        <v>1903027</v>
      </c>
      <c r="O210" s="140" t="s">
        <v>959</v>
      </c>
      <c r="P210" s="145">
        <v>190302700</v>
      </c>
      <c r="Q210" s="142" t="s">
        <v>960</v>
      </c>
      <c r="R210" s="145">
        <v>190302700</v>
      </c>
      <c r="S210" s="142" t="s">
        <v>960</v>
      </c>
      <c r="T210" s="145" t="s">
        <v>69</v>
      </c>
      <c r="U210" s="145">
        <v>5</v>
      </c>
      <c r="V210" s="145"/>
      <c r="W210" s="145">
        <v>5</v>
      </c>
      <c r="X210" s="145">
        <v>2</v>
      </c>
      <c r="Y210" s="146">
        <v>2020003630116</v>
      </c>
      <c r="Z210" s="140" t="s">
        <v>940</v>
      </c>
      <c r="AA210" s="140" t="s">
        <v>941</v>
      </c>
      <c r="AB210" s="130"/>
      <c r="AC210" s="130"/>
      <c r="AD210" s="130"/>
      <c r="AE210" s="130"/>
      <c r="AF210" s="130"/>
      <c r="AG210" s="130"/>
      <c r="AH210" s="138">
        <v>12500000</v>
      </c>
      <c r="AI210" s="138">
        <v>8533333</v>
      </c>
      <c r="AJ210" s="138">
        <v>3200000</v>
      </c>
      <c r="AK210" s="130"/>
      <c r="AL210" s="130"/>
      <c r="AM210" s="130"/>
      <c r="AN210" s="130"/>
      <c r="AO210" s="130"/>
      <c r="AP210" s="130"/>
      <c r="AQ210" s="130"/>
      <c r="AR210" s="130"/>
      <c r="AS210" s="130"/>
      <c r="AT210" s="148"/>
      <c r="AU210" s="148"/>
      <c r="AV210" s="148"/>
      <c r="AW210" s="130"/>
      <c r="AX210" s="130"/>
      <c r="AY210" s="130"/>
      <c r="AZ210" s="130"/>
      <c r="BA210" s="130"/>
      <c r="BB210" s="130"/>
      <c r="BC210" s="130"/>
      <c r="BD210" s="130"/>
      <c r="BE210" s="130"/>
      <c r="BF210" s="138">
        <f t="shared" si="23"/>
        <v>12500000</v>
      </c>
      <c r="BG210" s="138">
        <f t="shared" si="21"/>
        <v>8533333</v>
      </c>
      <c r="BH210" s="138">
        <f t="shared" si="22"/>
        <v>3200000</v>
      </c>
      <c r="BI210" s="149" t="s">
        <v>14</v>
      </c>
    </row>
    <row r="211" spans="1:77" s="151" customFormat="1" ht="95.25" customHeight="1">
      <c r="A211" s="139">
        <v>318</v>
      </c>
      <c r="B211" s="140" t="s">
        <v>932</v>
      </c>
      <c r="C211" s="139">
        <v>1</v>
      </c>
      <c r="D211" s="140" t="s">
        <v>148</v>
      </c>
      <c r="E211" s="139">
        <v>19</v>
      </c>
      <c r="F211" s="140" t="s">
        <v>755</v>
      </c>
      <c r="G211" s="139">
        <v>1903</v>
      </c>
      <c r="H211" s="140" t="s">
        <v>933</v>
      </c>
      <c r="I211" s="139">
        <v>1903</v>
      </c>
      <c r="J211" s="140" t="s">
        <v>934</v>
      </c>
      <c r="K211" s="142" t="s">
        <v>961</v>
      </c>
      <c r="L211" s="139">
        <v>1903011</v>
      </c>
      <c r="M211" s="140" t="s">
        <v>962</v>
      </c>
      <c r="N211" s="139">
        <v>1903011</v>
      </c>
      <c r="O211" s="140" t="s">
        <v>962</v>
      </c>
      <c r="P211" s="145">
        <v>190301100</v>
      </c>
      <c r="Q211" s="142" t="s">
        <v>963</v>
      </c>
      <c r="R211" s="145">
        <v>190301100</v>
      </c>
      <c r="S211" s="142" t="s">
        <v>964</v>
      </c>
      <c r="T211" s="145" t="s">
        <v>69</v>
      </c>
      <c r="U211" s="145">
        <v>140</v>
      </c>
      <c r="V211" s="145"/>
      <c r="W211" s="145">
        <v>140</v>
      </c>
      <c r="X211" s="145">
        <v>111</v>
      </c>
      <c r="Y211" s="146">
        <v>2020003630116</v>
      </c>
      <c r="Z211" s="140" t="s">
        <v>940</v>
      </c>
      <c r="AA211" s="140" t="s">
        <v>941</v>
      </c>
      <c r="AB211" s="130"/>
      <c r="AC211" s="130"/>
      <c r="AD211" s="130"/>
      <c r="AE211" s="130"/>
      <c r="AF211" s="130"/>
      <c r="AG211" s="130"/>
      <c r="AH211" s="130">
        <v>22500000</v>
      </c>
      <c r="AI211" s="130">
        <v>15793333</v>
      </c>
      <c r="AJ211" s="130">
        <v>5300000</v>
      </c>
      <c r="AK211" s="130"/>
      <c r="AL211" s="130"/>
      <c r="AM211" s="130"/>
      <c r="AN211" s="130"/>
      <c r="AO211" s="130"/>
      <c r="AP211" s="130"/>
      <c r="AQ211" s="130"/>
      <c r="AR211" s="130"/>
      <c r="AS211" s="130"/>
      <c r="AT211" s="148"/>
      <c r="AU211" s="148"/>
      <c r="AV211" s="148"/>
      <c r="AW211" s="130"/>
      <c r="AX211" s="130"/>
      <c r="AY211" s="130"/>
      <c r="AZ211" s="130"/>
      <c r="BA211" s="130"/>
      <c r="BB211" s="130"/>
      <c r="BC211" s="130"/>
      <c r="BD211" s="130"/>
      <c r="BE211" s="130"/>
      <c r="BF211" s="138">
        <f t="shared" si="23"/>
        <v>22500000</v>
      </c>
      <c r="BG211" s="138">
        <f t="shared" si="21"/>
        <v>15793333</v>
      </c>
      <c r="BH211" s="138">
        <f t="shared" si="22"/>
        <v>5300000</v>
      </c>
      <c r="BI211" s="149" t="s">
        <v>14</v>
      </c>
    </row>
    <row r="212" spans="1:77" s="151" customFormat="1" ht="76.5" customHeight="1">
      <c r="A212" s="139">
        <v>318</v>
      </c>
      <c r="B212" s="140" t="s">
        <v>932</v>
      </c>
      <c r="C212" s="139">
        <v>1</v>
      </c>
      <c r="D212" s="140" t="s">
        <v>148</v>
      </c>
      <c r="E212" s="139">
        <v>19</v>
      </c>
      <c r="F212" s="140" t="s">
        <v>755</v>
      </c>
      <c r="G212" s="139">
        <v>1903</v>
      </c>
      <c r="H212" s="140" t="s">
        <v>933</v>
      </c>
      <c r="I212" s="139">
        <v>1903</v>
      </c>
      <c r="J212" s="140" t="s">
        <v>934</v>
      </c>
      <c r="K212" s="140" t="s">
        <v>965</v>
      </c>
      <c r="L212" s="139">
        <v>1903001</v>
      </c>
      <c r="M212" s="140" t="s">
        <v>101</v>
      </c>
      <c r="N212" s="139">
        <v>1903001</v>
      </c>
      <c r="O212" s="140" t="s">
        <v>101</v>
      </c>
      <c r="P212" s="145">
        <v>190300100</v>
      </c>
      <c r="Q212" s="142" t="s">
        <v>966</v>
      </c>
      <c r="R212" s="145">
        <v>190300100</v>
      </c>
      <c r="S212" s="142" t="s">
        <v>966</v>
      </c>
      <c r="T212" s="145" t="s">
        <v>69</v>
      </c>
      <c r="U212" s="145">
        <v>2</v>
      </c>
      <c r="V212" s="145"/>
      <c r="W212" s="145">
        <v>2</v>
      </c>
      <c r="X212" s="145">
        <v>1</v>
      </c>
      <c r="Y212" s="146">
        <v>2020003630117</v>
      </c>
      <c r="Z212" s="140" t="s">
        <v>967</v>
      </c>
      <c r="AA212" s="140" t="s">
        <v>968</v>
      </c>
      <c r="AB212" s="130"/>
      <c r="AC212" s="130"/>
      <c r="AD212" s="130"/>
      <c r="AE212" s="130"/>
      <c r="AF212" s="130"/>
      <c r="AG212" s="130"/>
      <c r="AH212" s="130">
        <v>62500000</v>
      </c>
      <c r="AI212" s="130">
        <v>39493333</v>
      </c>
      <c r="AJ212" s="130">
        <v>13200000</v>
      </c>
      <c r="AK212" s="130"/>
      <c r="AL212" s="130"/>
      <c r="AM212" s="130"/>
      <c r="AN212" s="130"/>
      <c r="AO212" s="130"/>
      <c r="AP212" s="130"/>
      <c r="AQ212" s="130"/>
      <c r="AR212" s="130"/>
      <c r="AS212" s="130"/>
      <c r="AT212" s="135"/>
      <c r="AU212" s="135"/>
      <c r="AV212" s="135"/>
      <c r="AW212" s="130"/>
      <c r="AX212" s="130"/>
      <c r="AY212" s="130"/>
      <c r="AZ212" s="130"/>
      <c r="BA212" s="130"/>
      <c r="BB212" s="130"/>
      <c r="BC212" s="130"/>
      <c r="BD212" s="130"/>
      <c r="BE212" s="130"/>
      <c r="BF212" s="138">
        <f t="shared" si="23"/>
        <v>62500000</v>
      </c>
      <c r="BG212" s="138">
        <f t="shared" si="21"/>
        <v>39493333</v>
      </c>
      <c r="BH212" s="138">
        <f t="shared" si="22"/>
        <v>13200000</v>
      </c>
      <c r="BI212" s="149" t="s">
        <v>14</v>
      </c>
    </row>
    <row r="213" spans="1:77" s="151" customFormat="1" ht="108.75" customHeight="1">
      <c r="A213" s="139">
        <v>318</v>
      </c>
      <c r="B213" s="140" t="s">
        <v>932</v>
      </c>
      <c r="C213" s="139">
        <v>1</v>
      </c>
      <c r="D213" s="140" t="s">
        <v>148</v>
      </c>
      <c r="E213" s="139">
        <v>19</v>
      </c>
      <c r="F213" s="140" t="s">
        <v>755</v>
      </c>
      <c r="G213" s="139">
        <v>1903</v>
      </c>
      <c r="H213" s="140" t="s">
        <v>933</v>
      </c>
      <c r="I213" s="139">
        <v>1903</v>
      </c>
      <c r="J213" s="140" t="s">
        <v>934</v>
      </c>
      <c r="K213" s="140" t="s">
        <v>969</v>
      </c>
      <c r="L213" s="139">
        <v>1903012</v>
      </c>
      <c r="M213" s="140" t="s">
        <v>970</v>
      </c>
      <c r="N213" s="139">
        <v>1903012</v>
      </c>
      <c r="O213" s="140" t="s">
        <v>970</v>
      </c>
      <c r="P213" s="145">
        <v>190301200</v>
      </c>
      <c r="Q213" s="141" t="s">
        <v>971</v>
      </c>
      <c r="R213" s="145">
        <v>190301200</v>
      </c>
      <c r="S213" s="142" t="s">
        <v>971</v>
      </c>
      <c r="T213" s="145" t="s">
        <v>69</v>
      </c>
      <c r="U213" s="145">
        <v>4000</v>
      </c>
      <c r="V213" s="145"/>
      <c r="W213" s="145">
        <v>4000</v>
      </c>
      <c r="X213" s="145">
        <v>1444</v>
      </c>
      <c r="Y213" s="146">
        <v>2020003630118</v>
      </c>
      <c r="Z213" s="140" t="s">
        <v>972</v>
      </c>
      <c r="AA213" s="140" t="s">
        <v>973</v>
      </c>
      <c r="AB213" s="130"/>
      <c r="AC213" s="130"/>
      <c r="AD213" s="130"/>
      <c r="AE213" s="130"/>
      <c r="AF213" s="130"/>
      <c r="AG213" s="130"/>
      <c r="AH213" s="148">
        <v>1134356161</v>
      </c>
      <c r="AI213" s="148">
        <v>385920706</v>
      </c>
      <c r="AJ213" s="148">
        <v>46350000</v>
      </c>
      <c r="AK213" s="148"/>
      <c r="AL213" s="148"/>
      <c r="AM213" s="148"/>
      <c r="AN213" s="130"/>
      <c r="AO213" s="130"/>
      <c r="AP213" s="130"/>
      <c r="AQ213" s="130"/>
      <c r="AR213" s="130"/>
      <c r="AS213" s="130"/>
      <c r="AT213" s="135"/>
      <c r="AU213" s="135"/>
      <c r="AV213" s="135"/>
      <c r="AW213" s="130"/>
      <c r="AX213" s="130"/>
      <c r="AY213" s="130"/>
      <c r="AZ213" s="130"/>
      <c r="BA213" s="130"/>
      <c r="BB213" s="130"/>
      <c r="BC213" s="136"/>
      <c r="BD213" s="136"/>
      <c r="BE213" s="136"/>
      <c r="BF213" s="138">
        <f t="shared" si="23"/>
        <v>1134356161</v>
      </c>
      <c r="BG213" s="138">
        <f t="shared" si="21"/>
        <v>385920706</v>
      </c>
      <c r="BH213" s="138">
        <f t="shared" si="22"/>
        <v>46350000</v>
      </c>
      <c r="BI213" s="149" t="s">
        <v>14</v>
      </c>
    </row>
    <row r="214" spans="1:77" s="151" customFormat="1" ht="38.25">
      <c r="A214" s="139">
        <v>318</v>
      </c>
      <c r="B214" s="140" t="s">
        <v>932</v>
      </c>
      <c r="C214" s="139">
        <v>1</v>
      </c>
      <c r="D214" s="140" t="s">
        <v>148</v>
      </c>
      <c r="E214" s="139">
        <v>19</v>
      </c>
      <c r="F214" s="140" t="s">
        <v>755</v>
      </c>
      <c r="G214" s="139">
        <v>1903</v>
      </c>
      <c r="H214" s="140" t="s">
        <v>933</v>
      </c>
      <c r="I214" s="139">
        <v>1903</v>
      </c>
      <c r="J214" s="140" t="s">
        <v>934</v>
      </c>
      <c r="K214" s="140" t="s">
        <v>974</v>
      </c>
      <c r="L214" s="139">
        <v>1903016</v>
      </c>
      <c r="M214" s="140" t="s">
        <v>975</v>
      </c>
      <c r="N214" s="139">
        <v>1903016</v>
      </c>
      <c r="O214" s="140" t="s">
        <v>975</v>
      </c>
      <c r="P214" s="145">
        <v>190301600</v>
      </c>
      <c r="Q214" s="142" t="s">
        <v>976</v>
      </c>
      <c r="R214" s="145">
        <v>190301600</v>
      </c>
      <c r="S214" s="142" t="s">
        <v>976</v>
      </c>
      <c r="T214" s="145" t="s">
        <v>69</v>
      </c>
      <c r="U214" s="145">
        <v>240</v>
      </c>
      <c r="V214" s="145"/>
      <c r="W214" s="145">
        <v>240</v>
      </c>
      <c r="X214" s="145">
        <v>54</v>
      </c>
      <c r="Y214" s="146">
        <v>2020003630118</v>
      </c>
      <c r="Z214" s="140" t="s">
        <v>972</v>
      </c>
      <c r="AA214" s="140" t="s">
        <v>973</v>
      </c>
      <c r="AB214" s="130"/>
      <c r="AC214" s="130"/>
      <c r="AD214" s="130"/>
      <c r="AE214" s="130"/>
      <c r="AF214" s="130"/>
      <c r="AG214" s="130"/>
      <c r="AH214" s="148">
        <v>135772557</v>
      </c>
      <c r="AI214" s="148">
        <v>41441266</v>
      </c>
      <c r="AJ214" s="148">
        <v>14186000</v>
      </c>
      <c r="AK214" s="130"/>
      <c r="AL214" s="130"/>
      <c r="AM214" s="130"/>
      <c r="AN214" s="130"/>
      <c r="AO214" s="130"/>
      <c r="AP214" s="130"/>
      <c r="AQ214" s="130"/>
      <c r="AR214" s="130"/>
      <c r="AS214" s="130"/>
      <c r="AT214" s="135"/>
      <c r="AU214" s="135"/>
      <c r="AV214" s="135"/>
      <c r="AW214" s="130"/>
      <c r="AX214" s="130"/>
      <c r="AY214" s="130"/>
      <c r="AZ214" s="130"/>
      <c r="BA214" s="130"/>
      <c r="BB214" s="130"/>
      <c r="BC214" s="130"/>
      <c r="BD214" s="130"/>
      <c r="BE214" s="130"/>
      <c r="BF214" s="138">
        <f t="shared" si="23"/>
        <v>135772557</v>
      </c>
      <c r="BG214" s="138">
        <f t="shared" si="21"/>
        <v>41441266</v>
      </c>
      <c r="BH214" s="138">
        <f t="shared" si="22"/>
        <v>14186000</v>
      </c>
      <c r="BI214" s="149" t="s">
        <v>14</v>
      </c>
    </row>
    <row r="215" spans="1:77" s="151" customFormat="1" ht="41.25" customHeight="1">
      <c r="A215" s="139">
        <v>318</v>
      </c>
      <c r="B215" s="140" t="s">
        <v>932</v>
      </c>
      <c r="C215" s="139">
        <v>1</v>
      </c>
      <c r="D215" s="140" t="s">
        <v>148</v>
      </c>
      <c r="E215" s="139">
        <v>19</v>
      </c>
      <c r="F215" s="140" t="s">
        <v>755</v>
      </c>
      <c r="G215" s="139">
        <v>1903</v>
      </c>
      <c r="H215" s="140" t="s">
        <v>933</v>
      </c>
      <c r="I215" s="139">
        <v>1903</v>
      </c>
      <c r="J215" s="140" t="s">
        <v>934</v>
      </c>
      <c r="K215" s="140" t="s">
        <v>977</v>
      </c>
      <c r="L215" s="139">
        <v>1903034</v>
      </c>
      <c r="M215" s="140" t="s">
        <v>119</v>
      </c>
      <c r="N215" s="139">
        <v>1903034</v>
      </c>
      <c r="O215" s="140" t="s">
        <v>119</v>
      </c>
      <c r="P215" s="145">
        <v>190303400</v>
      </c>
      <c r="Q215" s="142" t="s">
        <v>979</v>
      </c>
      <c r="R215" s="145">
        <v>190303400</v>
      </c>
      <c r="S215" s="142" t="s">
        <v>979</v>
      </c>
      <c r="T215" s="145" t="s">
        <v>69</v>
      </c>
      <c r="U215" s="145">
        <v>12</v>
      </c>
      <c r="V215" s="145"/>
      <c r="W215" s="145">
        <v>12</v>
      </c>
      <c r="X215" s="145">
        <v>3</v>
      </c>
      <c r="Y215" s="146">
        <v>2020003630119</v>
      </c>
      <c r="Z215" s="140" t="s">
        <v>980</v>
      </c>
      <c r="AA215" s="140" t="s">
        <v>981</v>
      </c>
      <c r="AB215" s="130"/>
      <c r="AC215" s="130"/>
      <c r="AD215" s="130"/>
      <c r="AE215" s="130"/>
      <c r="AF215" s="130"/>
      <c r="AG215" s="130"/>
      <c r="AH215" s="130"/>
      <c r="AI215" s="130"/>
      <c r="AJ215" s="130"/>
      <c r="AK215" s="148"/>
      <c r="AL215" s="148"/>
      <c r="AM215" s="148"/>
      <c r="AN215" s="130"/>
      <c r="AO215" s="130"/>
      <c r="AP215" s="130"/>
      <c r="AQ215" s="130"/>
      <c r="AR215" s="130"/>
      <c r="AS215" s="130"/>
      <c r="AT215" s="135">
        <v>92585478</v>
      </c>
      <c r="AU215" s="135">
        <v>37600000</v>
      </c>
      <c r="AV215" s="135">
        <v>20800000</v>
      </c>
      <c r="AW215" s="130"/>
      <c r="AX215" s="130"/>
      <c r="AY215" s="130"/>
      <c r="AZ215" s="130"/>
      <c r="BA215" s="130"/>
      <c r="BB215" s="130"/>
      <c r="BC215" s="130"/>
      <c r="BD215" s="130"/>
      <c r="BE215" s="130"/>
      <c r="BF215" s="138">
        <f t="shared" si="23"/>
        <v>92585478</v>
      </c>
      <c r="BG215" s="138">
        <f t="shared" si="21"/>
        <v>37600000</v>
      </c>
      <c r="BH215" s="138">
        <f t="shared" si="22"/>
        <v>20800000</v>
      </c>
      <c r="BI215" s="149" t="s">
        <v>14</v>
      </c>
    </row>
    <row r="216" spans="1:77" s="151" customFormat="1" ht="54" customHeight="1">
      <c r="A216" s="139">
        <v>318</v>
      </c>
      <c r="B216" s="140" t="s">
        <v>932</v>
      </c>
      <c r="C216" s="139">
        <v>1</v>
      </c>
      <c r="D216" s="140" t="s">
        <v>148</v>
      </c>
      <c r="E216" s="139">
        <v>19</v>
      </c>
      <c r="F216" s="140" t="s">
        <v>755</v>
      </c>
      <c r="G216" s="139">
        <v>1903</v>
      </c>
      <c r="H216" s="140" t="s">
        <v>933</v>
      </c>
      <c r="I216" s="139">
        <v>1903</v>
      </c>
      <c r="J216" s="140" t="s">
        <v>934</v>
      </c>
      <c r="K216" s="140" t="s">
        <v>982</v>
      </c>
      <c r="L216" s="139">
        <v>1903045</v>
      </c>
      <c r="M216" s="140" t="s">
        <v>983</v>
      </c>
      <c r="N216" s="139">
        <v>1903045</v>
      </c>
      <c r="O216" s="140" t="s">
        <v>983</v>
      </c>
      <c r="P216" s="145">
        <v>190304500</v>
      </c>
      <c r="Q216" s="142" t="s">
        <v>984</v>
      </c>
      <c r="R216" s="145">
        <v>190304500</v>
      </c>
      <c r="S216" s="142" t="s">
        <v>984</v>
      </c>
      <c r="T216" s="145" t="s">
        <v>157</v>
      </c>
      <c r="U216" s="145">
        <v>1058</v>
      </c>
      <c r="V216" s="145"/>
      <c r="W216" s="145">
        <v>1058</v>
      </c>
      <c r="X216" s="145">
        <v>438</v>
      </c>
      <c r="Y216" s="146">
        <v>2020003630120</v>
      </c>
      <c r="Z216" s="140" t="s">
        <v>985</v>
      </c>
      <c r="AA216" s="140" t="s">
        <v>986</v>
      </c>
      <c r="AB216" s="130"/>
      <c r="AC216" s="130"/>
      <c r="AD216" s="130"/>
      <c r="AE216" s="130"/>
      <c r="AF216" s="130"/>
      <c r="AG216" s="130"/>
      <c r="AH216" s="130"/>
      <c r="AI216" s="130"/>
      <c r="AJ216" s="130"/>
      <c r="AK216" s="148"/>
      <c r="AL216" s="148"/>
      <c r="AM216" s="148"/>
      <c r="AN216" s="130"/>
      <c r="AO216" s="130"/>
      <c r="AP216" s="130"/>
      <c r="AQ216" s="130"/>
      <c r="AR216" s="130"/>
      <c r="AS216" s="130"/>
      <c r="AT216" s="135">
        <v>19000000</v>
      </c>
      <c r="AU216" s="135">
        <v>14600000</v>
      </c>
      <c r="AV216" s="135">
        <v>8500000</v>
      </c>
      <c r="AW216" s="130"/>
      <c r="AX216" s="130"/>
      <c r="AY216" s="130"/>
      <c r="AZ216" s="130"/>
      <c r="BA216" s="130"/>
      <c r="BB216" s="130"/>
      <c r="BC216" s="130"/>
      <c r="BD216" s="130"/>
      <c r="BE216" s="130"/>
      <c r="BF216" s="138">
        <f t="shared" si="23"/>
        <v>19000000</v>
      </c>
      <c r="BG216" s="138">
        <f t="shared" si="21"/>
        <v>14600000</v>
      </c>
      <c r="BH216" s="138">
        <f t="shared" si="22"/>
        <v>8500000</v>
      </c>
      <c r="BI216" s="149" t="s">
        <v>14</v>
      </c>
    </row>
    <row r="217" spans="1:77" s="151" customFormat="1" ht="60" customHeight="1">
      <c r="A217" s="139">
        <v>318</v>
      </c>
      <c r="B217" s="140" t="s">
        <v>932</v>
      </c>
      <c r="C217" s="139">
        <v>1</v>
      </c>
      <c r="D217" s="140" t="s">
        <v>148</v>
      </c>
      <c r="E217" s="139">
        <v>19</v>
      </c>
      <c r="F217" s="140" t="s">
        <v>755</v>
      </c>
      <c r="G217" s="139">
        <v>1903</v>
      </c>
      <c r="H217" s="140" t="s">
        <v>933</v>
      </c>
      <c r="I217" s="139">
        <v>1903</v>
      </c>
      <c r="J217" s="140" t="s">
        <v>934</v>
      </c>
      <c r="K217" s="140" t="s">
        <v>965</v>
      </c>
      <c r="L217" s="139">
        <v>1903001</v>
      </c>
      <c r="M217" s="140" t="s">
        <v>101</v>
      </c>
      <c r="N217" s="139">
        <v>1903001</v>
      </c>
      <c r="O217" s="140" t="s">
        <v>101</v>
      </c>
      <c r="P217" s="145">
        <v>190300100</v>
      </c>
      <c r="Q217" s="142" t="s">
        <v>966</v>
      </c>
      <c r="R217" s="145">
        <v>190300100</v>
      </c>
      <c r="S217" s="142" t="s">
        <v>966</v>
      </c>
      <c r="T217" s="145" t="s">
        <v>69</v>
      </c>
      <c r="U217" s="139">
        <v>2</v>
      </c>
      <c r="V217" s="139"/>
      <c r="W217" s="145">
        <v>2</v>
      </c>
      <c r="X217" s="145">
        <v>0</v>
      </c>
      <c r="Y217" s="146">
        <v>2020003630120</v>
      </c>
      <c r="Z217" s="140" t="s">
        <v>985</v>
      </c>
      <c r="AA217" s="140" t="s">
        <v>986</v>
      </c>
      <c r="AB217" s="130"/>
      <c r="AC217" s="130"/>
      <c r="AD217" s="130"/>
      <c r="AE217" s="130"/>
      <c r="AF217" s="130"/>
      <c r="AG217" s="130"/>
      <c r="AH217" s="130"/>
      <c r="AI217" s="130"/>
      <c r="AJ217" s="130"/>
      <c r="AK217" s="130"/>
      <c r="AL217" s="130"/>
      <c r="AM217" s="130"/>
      <c r="AN217" s="130"/>
      <c r="AO217" s="130"/>
      <c r="AP217" s="130"/>
      <c r="AQ217" s="130"/>
      <c r="AR217" s="130"/>
      <c r="AS217" s="130"/>
      <c r="AT217" s="135">
        <v>15000000</v>
      </c>
      <c r="AU217" s="135"/>
      <c r="AV217" s="135"/>
      <c r="AW217" s="130"/>
      <c r="AX217" s="130"/>
      <c r="AY217" s="130"/>
      <c r="AZ217" s="130"/>
      <c r="BA217" s="130"/>
      <c r="BB217" s="130"/>
      <c r="BC217" s="130"/>
      <c r="BD217" s="130"/>
      <c r="BE217" s="130"/>
      <c r="BF217" s="138">
        <f t="shared" si="23"/>
        <v>15000000</v>
      </c>
      <c r="BG217" s="138">
        <f t="shared" si="21"/>
        <v>0</v>
      </c>
      <c r="BH217" s="138">
        <f t="shared" si="22"/>
        <v>0</v>
      </c>
      <c r="BI217" s="149" t="s">
        <v>14</v>
      </c>
    </row>
    <row r="218" spans="1:77" s="151" customFormat="1" ht="38.25">
      <c r="A218" s="139">
        <v>318</v>
      </c>
      <c r="B218" s="140" t="s">
        <v>932</v>
      </c>
      <c r="C218" s="139">
        <v>1</v>
      </c>
      <c r="D218" s="140" t="s">
        <v>148</v>
      </c>
      <c r="E218" s="139">
        <v>19</v>
      </c>
      <c r="F218" s="140" t="s">
        <v>755</v>
      </c>
      <c r="G218" s="139">
        <v>1903</v>
      </c>
      <c r="H218" s="140" t="s">
        <v>933</v>
      </c>
      <c r="I218" s="139">
        <v>1903</v>
      </c>
      <c r="J218" s="140" t="s">
        <v>934</v>
      </c>
      <c r="K218" s="142" t="s">
        <v>987</v>
      </c>
      <c r="L218" s="145">
        <v>1903010</v>
      </c>
      <c r="M218" s="142" t="s">
        <v>988</v>
      </c>
      <c r="N218" s="145">
        <v>1903010</v>
      </c>
      <c r="O218" s="142" t="s">
        <v>988</v>
      </c>
      <c r="P218" s="145">
        <v>190301000</v>
      </c>
      <c r="Q218" s="142" t="s">
        <v>989</v>
      </c>
      <c r="R218" s="145">
        <v>190301000</v>
      </c>
      <c r="S218" s="142" t="s">
        <v>989</v>
      </c>
      <c r="T218" s="145" t="s">
        <v>69</v>
      </c>
      <c r="U218" s="145">
        <v>12</v>
      </c>
      <c r="V218" s="145"/>
      <c r="W218" s="145">
        <v>12</v>
      </c>
      <c r="X218" s="145">
        <v>0</v>
      </c>
      <c r="Y218" s="146">
        <v>2020003630120</v>
      </c>
      <c r="Z218" s="140" t="s">
        <v>985</v>
      </c>
      <c r="AA218" s="140" t="s">
        <v>986</v>
      </c>
      <c r="AB218" s="130"/>
      <c r="AC218" s="130"/>
      <c r="AD218" s="130"/>
      <c r="AE218" s="130"/>
      <c r="AF218" s="130"/>
      <c r="AG218" s="130"/>
      <c r="AH218" s="130"/>
      <c r="AI218" s="130"/>
      <c r="AJ218" s="130"/>
      <c r="AK218" s="148"/>
      <c r="AL218" s="148"/>
      <c r="AM218" s="148"/>
      <c r="AN218" s="130"/>
      <c r="AO218" s="130"/>
      <c r="AP218" s="130"/>
      <c r="AQ218" s="130"/>
      <c r="AR218" s="130"/>
      <c r="AS218" s="130"/>
      <c r="AT218" s="135">
        <v>15000000</v>
      </c>
      <c r="AU218" s="135"/>
      <c r="AV218" s="135"/>
      <c r="AW218" s="130"/>
      <c r="AX218" s="130"/>
      <c r="AY218" s="130"/>
      <c r="AZ218" s="130"/>
      <c r="BA218" s="130"/>
      <c r="BB218" s="130"/>
      <c r="BC218" s="130"/>
      <c r="BD218" s="130"/>
      <c r="BE218" s="130"/>
      <c r="BF218" s="138">
        <f t="shared" si="23"/>
        <v>15000000</v>
      </c>
      <c r="BG218" s="138">
        <f t="shared" si="21"/>
        <v>0</v>
      </c>
      <c r="BH218" s="138">
        <f t="shared" si="22"/>
        <v>0</v>
      </c>
      <c r="BI218" s="149" t="s">
        <v>14</v>
      </c>
    </row>
    <row r="219" spans="1:77" s="151" customFormat="1" ht="57" customHeight="1">
      <c r="A219" s="139">
        <v>318</v>
      </c>
      <c r="B219" s="140" t="s">
        <v>932</v>
      </c>
      <c r="C219" s="139">
        <v>1</v>
      </c>
      <c r="D219" s="140" t="s">
        <v>148</v>
      </c>
      <c r="E219" s="139">
        <v>19</v>
      </c>
      <c r="F219" s="140" t="s">
        <v>755</v>
      </c>
      <c r="G219" s="139">
        <v>1903</v>
      </c>
      <c r="H219" s="140" t="s">
        <v>933</v>
      </c>
      <c r="I219" s="139">
        <v>1903</v>
      </c>
      <c r="J219" s="140" t="s">
        <v>934</v>
      </c>
      <c r="K219" s="140" t="s">
        <v>990</v>
      </c>
      <c r="L219" s="139">
        <v>1903047</v>
      </c>
      <c r="M219" s="140" t="s">
        <v>991</v>
      </c>
      <c r="N219" s="139">
        <v>1903047</v>
      </c>
      <c r="O219" s="140" t="s">
        <v>991</v>
      </c>
      <c r="P219" s="145">
        <v>190304701</v>
      </c>
      <c r="Q219" s="142" t="s">
        <v>992</v>
      </c>
      <c r="R219" s="145">
        <v>190304701</v>
      </c>
      <c r="S219" s="142" t="s">
        <v>992</v>
      </c>
      <c r="T219" s="145" t="s">
        <v>69</v>
      </c>
      <c r="U219" s="145">
        <v>1</v>
      </c>
      <c r="V219" s="145"/>
      <c r="W219" s="145">
        <v>1</v>
      </c>
      <c r="X219" s="145">
        <v>0</v>
      </c>
      <c r="Y219" s="146">
        <v>2020003630121</v>
      </c>
      <c r="Z219" s="140" t="s">
        <v>993</v>
      </c>
      <c r="AA219" s="140" t="s">
        <v>994</v>
      </c>
      <c r="AB219" s="130"/>
      <c r="AC219" s="130"/>
      <c r="AD219" s="130"/>
      <c r="AE219" s="130"/>
      <c r="AF219" s="130"/>
      <c r="AG219" s="130"/>
      <c r="AH219" s="130"/>
      <c r="AI219" s="130"/>
      <c r="AJ219" s="130"/>
      <c r="AK219" s="138">
        <v>20000000</v>
      </c>
      <c r="AL219" s="138">
        <v>18773333</v>
      </c>
      <c r="AM219" s="138">
        <v>6400000</v>
      </c>
      <c r="AN219" s="130"/>
      <c r="AO219" s="130"/>
      <c r="AP219" s="130"/>
      <c r="AQ219" s="130"/>
      <c r="AR219" s="130"/>
      <c r="AS219" s="130"/>
      <c r="AT219" s="135"/>
      <c r="AU219" s="135"/>
      <c r="AV219" s="135"/>
      <c r="AW219" s="130"/>
      <c r="AX219" s="130"/>
      <c r="AY219" s="130"/>
      <c r="AZ219" s="130"/>
      <c r="BA219" s="130"/>
      <c r="BB219" s="130"/>
      <c r="BC219" s="130"/>
      <c r="BD219" s="130"/>
      <c r="BE219" s="130"/>
      <c r="BF219" s="138">
        <f t="shared" si="23"/>
        <v>20000000</v>
      </c>
      <c r="BG219" s="138">
        <f t="shared" si="21"/>
        <v>18773333</v>
      </c>
      <c r="BH219" s="138">
        <f t="shared" si="22"/>
        <v>6400000</v>
      </c>
      <c r="BI219" s="149" t="s">
        <v>14</v>
      </c>
    </row>
    <row r="220" spans="1:77" s="151" customFormat="1" ht="63" customHeight="1">
      <c r="A220" s="139">
        <v>318</v>
      </c>
      <c r="B220" s="140" t="s">
        <v>932</v>
      </c>
      <c r="C220" s="139">
        <v>1</v>
      </c>
      <c r="D220" s="140" t="s">
        <v>148</v>
      </c>
      <c r="E220" s="139">
        <v>19</v>
      </c>
      <c r="F220" s="140" t="s">
        <v>755</v>
      </c>
      <c r="G220" s="139">
        <v>1903</v>
      </c>
      <c r="H220" s="140" t="s">
        <v>933</v>
      </c>
      <c r="I220" s="139">
        <v>1903</v>
      </c>
      <c r="J220" s="140" t="s">
        <v>934</v>
      </c>
      <c r="K220" s="140" t="s">
        <v>995</v>
      </c>
      <c r="L220" s="139">
        <v>1903019</v>
      </c>
      <c r="M220" s="140" t="s">
        <v>996</v>
      </c>
      <c r="N220" s="139">
        <v>1903019</v>
      </c>
      <c r="O220" s="140" t="s">
        <v>996</v>
      </c>
      <c r="P220" s="145">
        <v>190301900</v>
      </c>
      <c r="Q220" s="142" t="s">
        <v>997</v>
      </c>
      <c r="R220" s="145">
        <v>190301900</v>
      </c>
      <c r="S220" s="142" t="s">
        <v>997</v>
      </c>
      <c r="T220" s="145" t="s">
        <v>69</v>
      </c>
      <c r="U220" s="145">
        <v>75</v>
      </c>
      <c r="V220" s="145"/>
      <c r="W220" s="145">
        <v>75</v>
      </c>
      <c r="X220" s="145">
        <v>26</v>
      </c>
      <c r="Y220" s="146">
        <v>2020003630121</v>
      </c>
      <c r="Z220" s="140" t="s">
        <v>993</v>
      </c>
      <c r="AA220" s="140" t="s">
        <v>994</v>
      </c>
      <c r="AB220" s="130"/>
      <c r="AC220" s="130"/>
      <c r="AD220" s="130"/>
      <c r="AE220" s="130"/>
      <c r="AF220" s="130"/>
      <c r="AG220" s="130"/>
      <c r="AH220" s="130"/>
      <c r="AI220" s="130"/>
      <c r="AJ220" s="130"/>
      <c r="AK220" s="138">
        <v>50000000</v>
      </c>
      <c r="AL220" s="138"/>
      <c r="AM220" s="138"/>
      <c r="AN220" s="135"/>
      <c r="AO220" s="135"/>
      <c r="AP220" s="135"/>
      <c r="AQ220" s="130"/>
      <c r="AR220" s="130"/>
      <c r="AS220" s="130"/>
      <c r="AT220" s="135"/>
      <c r="AU220" s="135"/>
      <c r="AV220" s="135"/>
      <c r="AW220" s="130"/>
      <c r="AX220" s="130"/>
      <c r="AY220" s="130"/>
      <c r="AZ220" s="130"/>
      <c r="BA220" s="130"/>
      <c r="BB220" s="130"/>
      <c r="BC220" s="130"/>
      <c r="BD220" s="130"/>
      <c r="BE220" s="130"/>
      <c r="BF220" s="138">
        <f t="shared" si="23"/>
        <v>50000000</v>
      </c>
      <c r="BG220" s="138">
        <f t="shared" si="21"/>
        <v>0</v>
      </c>
      <c r="BH220" s="138">
        <f t="shared" si="22"/>
        <v>0</v>
      </c>
      <c r="BI220" s="149" t="s">
        <v>14</v>
      </c>
    </row>
    <row r="221" spans="1:77" s="320" customFormat="1" ht="55.5" customHeight="1">
      <c r="A221" s="139">
        <v>318</v>
      </c>
      <c r="B221" s="140" t="s">
        <v>932</v>
      </c>
      <c r="C221" s="139">
        <v>1</v>
      </c>
      <c r="D221" s="140" t="s">
        <v>148</v>
      </c>
      <c r="E221" s="139">
        <v>19</v>
      </c>
      <c r="F221" s="140" t="s">
        <v>755</v>
      </c>
      <c r="G221" s="139">
        <v>1903</v>
      </c>
      <c r="H221" s="140" t="s">
        <v>933</v>
      </c>
      <c r="I221" s="139">
        <v>1903</v>
      </c>
      <c r="J221" s="140" t="s">
        <v>934</v>
      </c>
      <c r="K221" s="140" t="s">
        <v>998</v>
      </c>
      <c r="L221" s="139">
        <v>1903028</v>
      </c>
      <c r="M221" s="140" t="s">
        <v>999</v>
      </c>
      <c r="N221" s="139">
        <v>1903028</v>
      </c>
      <c r="O221" s="140" t="s">
        <v>999</v>
      </c>
      <c r="P221" s="145">
        <v>190302800</v>
      </c>
      <c r="Q221" s="142" t="s">
        <v>1000</v>
      </c>
      <c r="R221" s="145">
        <v>190302800</v>
      </c>
      <c r="S221" s="142" t="s">
        <v>1000</v>
      </c>
      <c r="T221" s="145" t="s">
        <v>69</v>
      </c>
      <c r="U221" s="145">
        <v>250</v>
      </c>
      <c r="V221" s="145"/>
      <c r="W221" s="145">
        <v>250</v>
      </c>
      <c r="X221" s="145">
        <v>97</v>
      </c>
      <c r="Y221" s="146">
        <v>2020003630121</v>
      </c>
      <c r="Z221" s="140" t="s">
        <v>993</v>
      </c>
      <c r="AA221" s="140" t="s">
        <v>994</v>
      </c>
      <c r="AB221" s="130"/>
      <c r="AC221" s="130"/>
      <c r="AD221" s="130"/>
      <c r="AE221" s="130"/>
      <c r="AF221" s="130"/>
      <c r="AG221" s="130"/>
      <c r="AH221" s="130"/>
      <c r="AI221" s="130"/>
      <c r="AJ221" s="130"/>
      <c r="AK221" s="138">
        <v>40000000</v>
      </c>
      <c r="AL221" s="138">
        <v>32000000</v>
      </c>
      <c r="AM221" s="138">
        <v>19200000</v>
      </c>
      <c r="AN221" s="130"/>
      <c r="AO221" s="130"/>
      <c r="AP221" s="130"/>
      <c r="AQ221" s="130"/>
      <c r="AR221" s="130"/>
      <c r="AS221" s="130"/>
      <c r="AT221" s="135"/>
      <c r="AU221" s="135"/>
      <c r="AV221" s="135"/>
      <c r="AW221" s="130"/>
      <c r="AX221" s="130"/>
      <c r="AY221" s="130"/>
      <c r="AZ221" s="130"/>
      <c r="BA221" s="130"/>
      <c r="BB221" s="130"/>
      <c r="BC221" s="130"/>
      <c r="BD221" s="130"/>
      <c r="BE221" s="130"/>
      <c r="BF221" s="138">
        <f t="shared" si="23"/>
        <v>40000000</v>
      </c>
      <c r="BG221" s="138">
        <f t="shared" si="21"/>
        <v>32000000</v>
      </c>
      <c r="BH221" s="138">
        <f t="shared" si="22"/>
        <v>19200000</v>
      </c>
      <c r="BI221" s="149" t="s">
        <v>14</v>
      </c>
      <c r="BJ221" s="151"/>
      <c r="BK221" s="151"/>
      <c r="BL221" s="151"/>
      <c r="BM221" s="151"/>
      <c r="BN221" s="151"/>
      <c r="BO221" s="151"/>
      <c r="BP221" s="151"/>
      <c r="BQ221" s="151"/>
      <c r="BR221" s="151"/>
      <c r="BS221" s="151"/>
      <c r="BT221" s="151"/>
      <c r="BU221" s="151"/>
      <c r="BV221" s="151"/>
      <c r="BW221" s="151"/>
      <c r="BX221" s="151"/>
      <c r="BY221" s="151"/>
    </row>
    <row r="222" spans="1:77" s="320" customFormat="1" ht="53.25" customHeight="1">
      <c r="A222" s="139">
        <v>318</v>
      </c>
      <c r="B222" s="140" t="s">
        <v>932</v>
      </c>
      <c r="C222" s="139">
        <v>1</v>
      </c>
      <c r="D222" s="140" t="s">
        <v>148</v>
      </c>
      <c r="E222" s="139">
        <v>19</v>
      </c>
      <c r="F222" s="140" t="s">
        <v>755</v>
      </c>
      <c r="G222" s="139">
        <v>1903</v>
      </c>
      <c r="H222" s="140" t="s">
        <v>933</v>
      </c>
      <c r="I222" s="139">
        <v>1903</v>
      </c>
      <c r="J222" s="140" t="s">
        <v>934</v>
      </c>
      <c r="K222" s="140" t="s">
        <v>1001</v>
      </c>
      <c r="L222" s="139">
        <v>1903025</v>
      </c>
      <c r="M222" s="140" t="s">
        <v>1002</v>
      </c>
      <c r="N222" s="139">
        <v>1903025</v>
      </c>
      <c r="O222" s="140" t="s">
        <v>1002</v>
      </c>
      <c r="P222" s="145">
        <v>190302500</v>
      </c>
      <c r="Q222" s="142" t="s">
        <v>1003</v>
      </c>
      <c r="R222" s="145">
        <v>190302500</v>
      </c>
      <c r="S222" s="142" t="s">
        <v>1003</v>
      </c>
      <c r="T222" s="289" t="s">
        <v>69</v>
      </c>
      <c r="U222" s="145">
        <v>12</v>
      </c>
      <c r="V222" s="145"/>
      <c r="W222" s="145">
        <v>12</v>
      </c>
      <c r="X222" s="145">
        <v>4</v>
      </c>
      <c r="Y222" s="146">
        <v>2020003630121</v>
      </c>
      <c r="Z222" s="140" t="s">
        <v>993</v>
      </c>
      <c r="AA222" s="140" t="s">
        <v>994</v>
      </c>
      <c r="AB222" s="130"/>
      <c r="AC222" s="130"/>
      <c r="AD222" s="130"/>
      <c r="AE222" s="130"/>
      <c r="AF222" s="130"/>
      <c r="AG222" s="130"/>
      <c r="AH222" s="130"/>
      <c r="AI222" s="130"/>
      <c r="AJ222" s="130"/>
      <c r="AK222" s="138">
        <v>49135000</v>
      </c>
      <c r="AL222" s="138">
        <v>25800000</v>
      </c>
      <c r="AM222" s="138">
        <v>14800000</v>
      </c>
      <c r="AN222" s="130"/>
      <c r="AO222" s="130"/>
      <c r="AP222" s="130"/>
      <c r="AQ222" s="130"/>
      <c r="AR222" s="130"/>
      <c r="AS222" s="130"/>
      <c r="AT222" s="135"/>
      <c r="AU222" s="135"/>
      <c r="AV222" s="135"/>
      <c r="AW222" s="130"/>
      <c r="AX222" s="130"/>
      <c r="AY222" s="130"/>
      <c r="AZ222" s="130"/>
      <c r="BA222" s="130"/>
      <c r="BB222" s="130"/>
      <c r="BC222" s="130"/>
      <c r="BD222" s="130"/>
      <c r="BE222" s="130"/>
      <c r="BF222" s="138">
        <f t="shared" si="23"/>
        <v>49135000</v>
      </c>
      <c r="BG222" s="138">
        <f t="shared" si="21"/>
        <v>25800000</v>
      </c>
      <c r="BH222" s="138">
        <f t="shared" si="22"/>
        <v>14800000</v>
      </c>
      <c r="BI222" s="149" t="s">
        <v>14</v>
      </c>
      <c r="BJ222" s="151"/>
      <c r="BK222" s="151"/>
      <c r="BL222" s="151"/>
      <c r="BM222" s="151"/>
      <c r="BN222" s="151"/>
      <c r="BO222" s="151"/>
      <c r="BP222" s="151"/>
      <c r="BQ222" s="151"/>
      <c r="BR222" s="151"/>
      <c r="BS222" s="151"/>
      <c r="BT222" s="151"/>
      <c r="BU222" s="151"/>
      <c r="BV222" s="151"/>
      <c r="BW222" s="151"/>
      <c r="BX222" s="151"/>
      <c r="BY222" s="151"/>
    </row>
    <row r="223" spans="1:77" s="151" customFormat="1" ht="51">
      <c r="A223" s="139">
        <v>318</v>
      </c>
      <c r="B223" s="140" t="s">
        <v>932</v>
      </c>
      <c r="C223" s="139">
        <v>1</v>
      </c>
      <c r="D223" s="140" t="s">
        <v>148</v>
      </c>
      <c r="E223" s="139">
        <v>19</v>
      </c>
      <c r="F223" s="140" t="s">
        <v>755</v>
      </c>
      <c r="G223" s="139">
        <v>1905</v>
      </c>
      <c r="H223" s="140" t="s">
        <v>756</v>
      </c>
      <c r="I223" s="139">
        <v>1905</v>
      </c>
      <c r="J223" s="140" t="s">
        <v>1004</v>
      </c>
      <c r="K223" s="140" t="s">
        <v>945</v>
      </c>
      <c r="L223" s="139">
        <v>1905028</v>
      </c>
      <c r="M223" s="140" t="s">
        <v>1005</v>
      </c>
      <c r="N223" s="139">
        <v>1905028</v>
      </c>
      <c r="O223" s="140" t="s">
        <v>1005</v>
      </c>
      <c r="P223" s="145">
        <v>190502800</v>
      </c>
      <c r="Q223" s="142" t="s">
        <v>1006</v>
      </c>
      <c r="R223" s="145">
        <v>190502800</v>
      </c>
      <c r="S223" s="142" t="s">
        <v>1006</v>
      </c>
      <c r="T223" s="143" t="s">
        <v>69</v>
      </c>
      <c r="U223" s="145">
        <v>12</v>
      </c>
      <c r="V223" s="145"/>
      <c r="W223" s="145">
        <v>12</v>
      </c>
      <c r="X223" s="145">
        <v>11</v>
      </c>
      <c r="Y223" s="146">
        <v>2020003630122</v>
      </c>
      <c r="Z223" s="140" t="s">
        <v>1007</v>
      </c>
      <c r="AA223" s="140" t="s">
        <v>1008</v>
      </c>
      <c r="AB223" s="130"/>
      <c r="AC223" s="130"/>
      <c r="AD223" s="130"/>
      <c r="AE223" s="130"/>
      <c r="AF223" s="130"/>
      <c r="AG223" s="130"/>
      <c r="AH223" s="130">
        <v>25000000</v>
      </c>
      <c r="AI223" s="130">
        <v>20519999</v>
      </c>
      <c r="AJ223" s="130">
        <v>2450000</v>
      </c>
      <c r="AK223" s="130"/>
      <c r="AL223" s="130"/>
      <c r="AM223" s="130"/>
      <c r="AN223" s="130"/>
      <c r="AO223" s="130"/>
      <c r="AP223" s="130"/>
      <c r="AQ223" s="130"/>
      <c r="AR223" s="130"/>
      <c r="AS223" s="130"/>
      <c r="AT223" s="135"/>
      <c r="AU223" s="135"/>
      <c r="AV223" s="135"/>
      <c r="AW223" s="130"/>
      <c r="AX223" s="130"/>
      <c r="AY223" s="130"/>
      <c r="AZ223" s="130"/>
      <c r="BA223" s="130"/>
      <c r="BB223" s="130"/>
      <c r="BC223" s="130"/>
      <c r="BD223" s="130"/>
      <c r="BE223" s="130"/>
      <c r="BF223" s="138">
        <f t="shared" si="23"/>
        <v>25000000</v>
      </c>
      <c r="BG223" s="138">
        <f t="shared" si="21"/>
        <v>20519999</v>
      </c>
      <c r="BH223" s="138">
        <f t="shared" si="22"/>
        <v>2450000</v>
      </c>
      <c r="BI223" s="149" t="s">
        <v>14</v>
      </c>
    </row>
    <row r="224" spans="1:77" s="151" customFormat="1" ht="76.5" customHeight="1">
      <c r="A224" s="139">
        <v>318</v>
      </c>
      <c r="B224" s="140" t="s">
        <v>932</v>
      </c>
      <c r="C224" s="139">
        <v>1</v>
      </c>
      <c r="D224" s="140" t="s">
        <v>148</v>
      </c>
      <c r="E224" s="139">
        <v>19</v>
      </c>
      <c r="F224" s="140" t="s">
        <v>755</v>
      </c>
      <c r="G224" s="139">
        <v>1905</v>
      </c>
      <c r="H224" s="140" t="s">
        <v>756</v>
      </c>
      <c r="I224" s="139">
        <v>1905</v>
      </c>
      <c r="J224" s="140" t="s">
        <v>1004</v>
      </c>
      <c r="K224" s="140" t="s">
        <v>945</v>
      </c>
      <c r="L224" s="139">
        <v>1905031</v>
      </c>
      <c r="M224" s="140" t="s">
        <v>1009</v>
      </c>
      <c r="N224" s="139">
        <v>1905031</v>
      </c>
      <c r="O224" s="140" t="s">
        <v>1009</v>
      </c>
      <c r="P224" s="139">
        <v>190503100</v>
      </c>
      <c r="Q224" s="142" t="s">
        <v>1010</v>
      </c>
      <c r="R224" s="139">
        <v>190503100</v>
      </c>
      <c r="S224" s="142" t="s">
        <v>1010</v>
      </c>
      <c r="T224" s="145" t="s">
        <v>69</v>
      </c>
      <c r="U224" s="145">
        <v>12</v>
      </c>
      <c r="V224" s="145"/>
      <c r="W224" s="145">
        <v>12</v>
      </c>
      <c r="X224" s="145">
        <v>12</v>
      </c>
      <c r="Y224" s="146">
        <v>2020003630122</v>
      </c>
      <c r="Z224" s="140" t="s">
        <v>1007</v>
      </c>
      <c r="AA224" s="140" t="s">
        <v>1008</v>
      </c>
      <c r="AB224" s="130"/>
      <c r="AC224" s="130"/>
      <c r="AD224" s="130"/>
      <c r="AE224" s="130">
        <v>100000000</v>
      </c>
      <c r="AF224" s="130">
        <v>32878332</v>
      </c>
      <c r="AG224" s="130">
        <v>10600000</v>
      </c>
      <c r="AH224" s="130">
        <v>25891929</v>
      </c>
      <c r="AI224" s="130">
        <v>19410000</v>
      </c>
      <c r="AJ224" s="130">
        <v>6400000</v>
      </c>
      <c r="AK224" s="130"/>
      <c r="AL224" s="130"/>
      <c r="AM224" s="130"/>
      <c r="AN224" s="130"/>
      <c r="AO224" s="130"/>
      <c r="AP224" s="130"/>
      <c r="AQ224" s="130"/>
      <c r="AR224" s="130"/>
      <c r="AS224" s="130"/>
      <c r="AT224" s="135"/>
      <c r="AU224" s="135"/>
      <c r="AV224" s="135"/>
      <c r="AW224" s="130"/>
      <c r="AX224" s="130"/>
      <c r="AY224" s="130"/>
      <c r="AZ224" s="130"/>
      <c r="BA224" s="130"/>
      <c r="BB224" s="130"/>
      <c r="BC224" s="130"/>
      <c r="BD224" s="130"/>
      <c r="BE224" s="130"/>
      <c r="BF224" s="138">
        <f t="shared" si="23"/>
        <v>125891929</v>
      </c>
      <c r="BG224" s="138">
        <f t="shared" si="21"/>
        <v>52288332</v>
      </c>
      <c r="BH224" s="138">
        <f t="shared" si="22"/>
        <v>17000000</v>
      </c>
      <c r="BI224" s="149" t="s">
        <v>14</v>
      </c>
    </row>
    <row r="225" spans="1:61" s="151" customFormat="1" ht="71.25" customHeight="1">
      <c r="A225" s="139">
        <v>318</v>
      </c>
      <c r="B225" s="140" t="s">
        <v>932</v>
      </c>
      <c r="C225" s="139">
        <v>1</v>
      </c>
      <c r="D225" s="140" t="s">
        <v>148</v>
      </c>
      <c r="E225" s="139">
        <v>19</v>
      </c>
      <c r="F225" s="140" t="s">
        <v>755</v>
      </c>
      <c r="G225" s="139">
        <v>1905</v>
      </c>
      <c r="H225" s="140" t="s">
        <v>756</v>
      </c>
      <c r="I225" s="139">
        <v>1905</v>
      </c>
      <c r="J225" s="140" t="s">
        <v>1004</v>
      </c>
      <c r="K225" s="140" t="s">
        <v>1011</v>
      </c>
      <c r="L225" s="139">
        <v>1905019</v>
      </c>
      <c r="M225" s="140" t="s">
        <v>1012</v>
      </c>
      <c r="N225" s="139">
        <v>1905019</v>
      </c>
      <c r="O225" s="140" t="s">
        <v>1012</v>
      </c>
      <c r="P225" s="139">
        <v>190501900</v>
      </c>
      <c r="Q225" s="141" t="s">
        <v>350</v>
      </c>
      <c r="R225" s="139">
        <v>190501900</v>
      </c>
      <c r="S225" s="142" t="s">
        <v>350</v>
      </c>
      <c r="T225" s="145" t="s">
        <v>69</v>
      </c>
      <c r="U225" s="145">
        <v>60</v>
      </c>
      <c r="V225" s="145"/>
      <c r="W225" s="145">
        <v>60</v>
      </c>
      <c r="X225" s="145">
        <v>0</v>
      </c>
      <c r="Y225" s="146">
        <v>2020003630123</v>
      </c>
      <c r="Z225" s="140" t="s">
        <v>1013</v>
      </c>
      <c r="AA225" s="140" t="s">
        <v>1014</v>
      </c>
      <c r="AB225" s="130"/>
      <c r="AC225" s="130"/>
      <c r="AD225" s="130"/>
      <c r="AE225" s="130"/>
      <c r="AF225" s="130"/>
      <c r="AG225" s="130"/>
      <c r="AH225" s="131">
        <v>17500000</v>
      </c>
      <c r="AI225" s="131"/>
      <c r="AJ225" s="131"/>
      <c r="AK225" s="130"/>
      <c r="AL225" s="130"/>
      <c r="AM225" s="130"/>
      <c r="AN225" s="130"/>
      <c r="AO225" s="130"/>
      <c r="AP225" s="130"/>
      <c r="AQ225" s="130"/>
      <c r="AR225" s="130"/>
      <c r="AS225" s="130"/>
      <c r="AT225" s="135"/>
      <c r="AU225" s="135"/>
      <c r="AV225" s="135"/>
      <c r="AW225" s="130"/>
      <c r="AX225" s="130"/>
      <c r="AY225" s="130"/>
      <c r="AZ225" s="130"/>
      <c r="BA225" s="130"/>
      <c r="BB225" s="130"/>
      <c r="BC225" s="130"/>
      <c r="BD225" s="130"/>
      <c r="BE225" s="130"/>
      <c r="BF225" s="138">
        <f t="shared" si="23"/>
        <v>17500000</v>
      </c>
      <c r="BG225" s="138">
        <f t="shared" si="21"/>
        <v>0</v>
      </c>
      <c r="BH225" s="138">
        <f t="shared" si="22"/>
        <v>0</v>
      </c>
      <c r="BI225" s="149" t="s">
        <v>14</v>
      </c>
    </row>
    <row r="226" spans="1:61" s="151" customFormat="1" ht="76.5">
      <c r="A226" s="139">
        <v>318</v>
      </c>
      <c r="B226" s="140" t="s">
        <v>932</v>
      </c>
      <c r="C226" s="139">
        <v>1</v>
      </c>
      <c r="D226" s="140" t="s">
        <v>148</v>
      </c>
      <c r="E226" s="139">
        <v>19</v>
      </c>
      <c r="F226" s="140" t="s">
        <v>755</v>
      </c>
      <c r="G226" s="139">
        <v>1905</v>
      </c>
      <c r="H226" s="140" t="s">
        <v>756</v>
      </c>
      <c r="I226" s="139">
        <v>1905</v>
      </c>
      <c r="J226" s="140" t="s">
        <v>1004</v>
      </c>
      <c r="K226" s="140" t="s">
        <v>1015</v>
      </c>
      <c r="L226" s="139" t="s">
        <v>61</v>
      </c>
      <c r="M226" s="140" t="s">
        <v>1016</v>
      </c>
      <c r="N226" s="139">
        <v>1905031</v>
      </c>
      <c r="O226" s="140" t="s">
        <v>1017</v>
      </c>
      <c r="P226" s="139" t="s">
        <v>1018</v>
      </c>
      <c r="Q226" s="142" t="s">
        <v>1019</v>
      </c>
      <c r="R226" s="139">
        <v>190503100</v>
      </c>
      <c r="S226" s="142" t="s">
        <v>1020</v>
      </c>
      <c r="T226" s="143" t="s">
        <v>69</v>
      </c>
      <c r="U226" s="145">
        <v>11</v>
      </c>
      <c r="V226" s="145"/>
      <c r="W226" s="145">
        <v>11</v>
      </c>
      <c r="X226" s="145">
        <v>0</v>
      </c>
      <c r="Y226" s="146">
        <v>2020003630123</v>
      </c>
      <c r="Z226" s="141" t="s">
        <v>1013</v>
      </c>
      <c r="AA226" s="140" t="s">
        <v>1014</v>
      </c>
      <c r="AB226" s="130"/>
      <c r="AC226" s="130"/>
      <c r="AD226" s="130"/>
      <c r="AE226" s="130"/>
      <c r="AF226" s="130"/>
      <c r="AG226" s="130"/>
      <c r="AH226" s="130">
        <v>27500000</v>
      </c>
      <c r="AI226" s="130">
        <v>9960000</v>
      </c>
      <c r="AJ226" s="130">
        <v>3600000</v>
      </c>
      <c r="AK226" s="130"/>
      <c r="AL226" s="130"/>
      <c r="AM226" s="130"/>
      <c r="AN226" s="130"/>
      <c r="AO226" s="130"/>
      <c r="AP226" s="130"/>
      <c r="AQ226" s="130"/>
      <c r="AR226" s="130"/>
      <c r="AS226" s="130"/>
      <c r="AT226" s="135"/>
      <c r="AU226" s="135"/>
      <c r="AV226" s="135"/>
      <c r="AW226" s="130"/>
      <c r="AX226" s="130"/>
      <c r="AY226" s="130"/>
      <c r="AZ226" s="130"/>
      <c r="BA226" s="130"/>
      <c r="BB226" s="130"/>
      <c r="BC226" s="130"/>
      <c r="BD226" s="130"/>
      <c r="BE226" s="130"/>
      <c r="BF226" s="138">
        <f t="shared" si="23"/>
        <v>27500000</v>
      </c>
      <c r="BG226" s="138">
        <f t="shared" si="21"/>
        <v>9960000</v>
      </c>
      <c r="BH226" s="138">
        <f t="shared" si="22"/>
        <v>3600000</v>
      </c>
      <c r="BI226" s="149" t="s">
        <v>14</v>
      </c>
    </row>
    <row r="227" spans="1:61" s="151" customFormat="1" ht="51">
      <c r="A227" s="139">
        <v>318</v>
      </c>
      <c r="B227" s="140" t="s">
        <v>932</v>
      </c>
      <c r="C227" s="139">
        <v>1</v>
      </c>
      <c r="D227" s="140" t="s">
        <v>148</v>
      </c>
      <c r="E227" s="139">
        <v>19</v>
      </c>
      <c r="F227" s="140" t="s">
        <v>755</v>
      </c>
      <c r="G227" s="139">
        <v>1905</v>
      </c>
      <c r="H227" s="140" t="s">
        <v>756</v>
      </c>
      <c r="I227" s="139">
        <v>1905</v>
      </c>
      <c r="J227" s="140" t="s">
        <v>1004</v>
      </c>
      <c r="K227" s="142" t="s">
        <v>1021</v>
      </c>
      <c r="L227" s="139" t="s">
        <v>61</v>
      </c>
      <c r="M227" s="140" t="s">
        <v>1022</v>
      </c>
      <c r="N227" s="139">
        <v>1905015</v>
      </c>
      <c r="O227" s="140" t="s">
        <v>253</v>
      </c>
      <c r="P227" s="139" t="s">
        <v>61</v>
      </c>
      <c r="Q227" s="142" t="s">
        <v>1023</v>
      </c>
      <c r="R227" s="139">
        <v>190501500</v>
      </c>
      <c r="S227" s="142" t="s">
        <v>255</v>
      </c>
      <c r="T227" s="145" t="s">
        <v>69</v>
      </c>
      <c r="U227" s="145">
        <v>1</v>
      </c>
      <c r="V227" s="145"/>
      <c r="W227" s="145">
        <v>1</v>
      </c>
      <c r="X227" s="145">
        <v>0</v>
      </c>
      <c r="Y227" s="146">
        <v>2020003630123</v>
      </c>
      <c r="Z227" s="140" t="s">
        <v>1013</v>
      </c>
      <c r="AA227" s="140" t="s">
        <v>1014</v>
      </c>
      <c r="AB227" s="130"/>
      <c r="AC227" s="130"/>
      <c r="AD227" s="130"/>
      <c r="AE227" s="130"/>
      <c r="AF227" s="130"/>
      <c r="AG227" s="130"/>
      <c r="AH227" s="131">
        <v>65000000</v>
      </c>
      <c r="AI227" s="131"/>
      <c r="AJ227" s="131"/>
      <c r="AK227" s="130"/>
      <c r="AL227" s="130"/>
      <c r="AM227" s="130"/>
      <c r="AN227" s="130"/>
      <c r="AO227" s="130"/>
      <c r="AP227" s="130"/>
      <c r="AQ227" s="130"/>
      <c r="AR227" s="130"/>
      <c r="AS227" s="130"/>
      <c r="AT227" s="135"/>
      <c r="AU227" s="135"/>
      <c r="AV227" s="135"/>
      <c r="AW227" s="130"/>
      <c r="AX227" s="130"/>
      <c r="AY227" s="130"/>
      <c r="AZ227" s="130"/>
      <c r="BA227" s="130"/>
      <c r="BB227" s="130"/>
      <c r="BC227" s="130"/>
      <c r="BD227" s="130"/>
      <c r="BE227" s="130"/>
      <c r="BF227" s="138">
        <f t="shared" si="23"/>
        <v>65000000</v>
      </c>
      <c r="BG227" s="138">
        <f t="shared" si="21"/>
        <v>0</v>
      </c>
      <c r="BH227" s="138">
        <f t="shared" si="22"/>
        <v>0</v>
      </c>
      <c r="BI227" s="149" t="s">
        <v>14</v>
      </c>
    </row>
    <row r="228" spans="1:61" s="151" customFormat="1" ht="63.75">
      <c r="A228" s="139">
        <v>318</v>
      </c>
      <c r="B228" s="140" t="s">
        <v>932</v>
      </c>
      <c r="C228" s="139">
        <v>1</v>
      </c>
      <c r="D228" s="140" t="s">
        <v>148</v>
      </c>
      <c r="E228" s="139">
        <v>19</v>
      </c>
      <c r="F228" s="140" t="s">
        <v>755</v>
      </c>
      <c r="G228" s="139">
        <v>1905</v>
      </c>
      <c r="H228" s="140" t="s">
        <v>756</v>
      </c>
      <c r="I228" s="139">
        <v>1905</v>
      </c>
      <c r="J228" s="140" t="s">
        <v>1004</v>
      </c>
      <c r="K228" s="140" t="s">
        <v>948</v>
      </c>
      <c r="L228" s="139" t="s">
        <v>61</v>
      </c>
      <c r="M228" s="140" t="s">
        <v>1024</v>
      </c>
      <c r="N228" s="139">
        <v>1905024</v>
      </c>
      <c r="O228" s="140" t="s">
        <v>1025</v>
      </c>
      <c r="P228" s="139" t="s">
        <v>61</v>
      </c>
      <c r="Q228" s="142" t="s">
        <v>1026</v>
      </c>
      <c r="R228" s="139">
        <v>190502400</v>
      </c>
      <c r="S228" s="142" t="s">
        <v>1027</v>
      </c>
      <c r="T228" s="145" t="s">
        <v>157</v>
      </c>
      <c r="U228" s="145">
        <v>3</v>
      </c>
      <c r="V228" s="145"/>
      <c r="W228" s="145">
        <v>3</v>
      </c>
      <c r="X228" s="145">
        <v>1</v>
      </c>
      <c r="Y228" s="146">
        <v>2020003630123</v>
      </c>
      <c r="Z228" s="141" t="s">
        <v>1013</v>
      </c>
      <c r="AA228" s="140" t="s">
        <v>1014</v>
      </c>
      <c r="AB228" s="130"/>
      <c r="AC228" s="130"/>
      <c r="AD228" s="130"/>
      <c r="AE228" s="130"/>
      <c r="AF228" s="130"/>
      <c r="AG228" s="130"/>
      <c r="AH228" s="131">
        <v>70000000</v>
      </c>
      <c r="AI228" s="131">
        <v>37453332</v>
      </c>
      <c r="AJ228" s="131">
        <v>7600000</v>
      </c>
      <c r="AK228" s="130"/>
      <c r="AL228" s="130"/>
      <c r="AM228" s="130"/>
      <c r="AN228" s="130"/>
      <c r="AO228" s="130"/>
      <c r="AP228" s="130"/>
      <c r="AQ228" s="130"/>
      <c r="AR228" s="130"/>
      <c r="AS228" s="130"/>
      <c r="AT228" s="135"/>
      <c r="AU228" s="135"/>
      <c r="AV228" s="135"/>
      <c r="AW228" s="130"/>
      <c r="AX228" s="130"/>
      <c r="AY228" s="130"/>
      <c r="AZ228" s="130"/>
      <c r="BA228" s="130"/>
      <c r="BB228" s="130"/>
      <c r="BC228" s="130"/>
      <c r="BD228" s="130"/>
      <c r="BE228" s="130"/>
      <c r="BF228" s="138">
        <f t="shared" si="23"/>
        <v>70000000</v>
      </c>
      <c r="BG228" s="138">
        <f t="shared" si="21"/>
        <v>37453332</v>
      </c>
      <c r="BH228" s="138">
        <f t="shared" si="22"/>
        <v>7600000</v>
      </c>
      <c r="BI228" s="149" t="s">
        <v>14</v>
      </c>
    </row>
    <row r="229" spans="1:61" s="151" customFormat="1" ht="38.25">
      <c r="A229" s="139">
        <v>318</v>
      </c>
      <c r="B229" s="140" t="s">
        <v>932</v>
      </c>
      <c r="C229" s="139">
        <v>1</v>
      </c>
      <c r="D229" s="140" t="s">
        <v>148</v>
      </c>
      <c r="E229" s="139">
        <v>19</v>
      </c>
      <c r="F229" s="140" t="s">
        <v>755</v>
      </c>
      <c r="G229" s="139">
        <v>1905</v>
      </c>
      <c r="H229" s="140" t="s">
        <v>756</v>
      </c>
      <c r="I229" s="139">
        <v>1905</v>
      </c>
      <c r="J229" s="140" t="s">
        <v>1004</v>
      </c>
      <c r="K229" s="140" t="s">
        <v>1021</v>
      </c>
      <c r="L229" s="139" t="s">
        <v>61</v>
      </c>
      <c r="M229" s="140" t="s">
        <v>1028</v>
      </c>
      <c r="N229" s="139">
        <v>1905015</v>
      </c>
      <c r="O229" s="140" t="s">
        <v>253</v>
      </c>
      <c r="P229" s="139" t="s">
        <v>61</v>
      </c>
      <c r="Q229" s="142" t="s">
        <v>1029</v>
      </c>
      <c r="R229" s="139">
        <v>190501500</v>
      </c>
      <c r="S229" s="142" t="s">
        <v>255</v>
      </c>
      <c r="T229" s="143" t="s">
        <v>157</v>
      </c>
      <c r="U229" s="145">
        <v>2</v>
      </c>
      <c r="V229" s="145">
        <v>1</v>
      </c>
      <c r="W229" s="145">
        <v>3</v>
      </c>
      <c r="X229" s="145">
        <v>1</v>
      </c>
      <c r="Y229" s="146">
        <v>2020003630123</v>
      </c>
      <c r="Z229" s="141" t="s">
        <v>1013</v>
      </c>
      <c r="AA229" s="140" t="s">
        <v>1014</v>
      </c>
      <c r="AB229" s="130"/>
      <c r="AC229" s="130"/>
      <c r="AD229" s="130"/>
      <c r="AE229" s="130"/>
      <c r="AF229" s="130"/>
      <c r="AG229" s="130"/>
      <c r="AH229" s="131">
        <v>35000000</v>
      </c>
      <c r="AI229" s="131"/>
      <c r="AJ229" s="131"/>
      <c r="AK229" s="130"/>
      <c r="AL229" s="130"/>
      <c r="AM229" s="130"/>
      <c r="AN229" s="130"/>
      <c r="AO229" s="130"/>
      <c r="AP229" s="130"/>
      <c r="AQ229" s="130"/>
      <c r="AR229" s="130"/>
      <c r="AS229" s="130"/>
      <c r="AT229" s="135"/>
      <c r="AU229" s="135"/>
      <c r="AV229" s="135"/>
      <c r="AW229" s="130"/>
      <c r="AX229" s="130"/>
      <c r="AY229" s="130"/>
      <c r="AZ229" s="130"/>
      <c r="BA229" s="130"/>
      <c r="BB229" s="130"/>
      <c r="BC229" s="130"/>
      <c r="BD229" s="130"/>
      <c r="BE229" s="130"/>
      <c r="BF229" s="138">
        <f t="shared" si="23"/>
        <v>35000000</v>
      </c>
      <c r="BG229" s="138">
        <f t="shared" si="21"/>
        <v>0</v>
      </c>
      <c r="BH229" s="138">
        <f t="shared" si="22"/>
        <v>0</v>
      </c>
      <c r="BI229" s="149" t="s">
        <v>14</v>
      </c>
    </row>
    <row r="230" spans="1:61" s="151" customFormat="1" ht="76.5">
      <c r="A230" s="139">
        <v>318</v>
      </c>
      <c r="B230" s="140" t="s">
        <v>932</v>
      </c>
      <c r="C230" s="139">
        <v>1</v>
      </c>
      <c r="D230" s="140" t="s">
        <v>148</v>
      </c>
      <c r="E230" s="139">
        <v>19</v>
      </c>
      <c r="F230" s="140" t="s">
        <v>755</v>
      </c>
      <c r="G230" s="139">
        <v>1905</v>
      </c>
      <c r="H230" s="140" t="s">
        <v>756</v>
      </c>
      <c r="I230" s="139">
        <v>1905</v>
      </c>
      <c r="J230" s="140" t="s">
        <v>1004</v>
      </c>
      <c r="K230" s="140" t="s">
        <v>948</v>
      </c>
      <c r="L230" s="139" t="s">
        <v>61</v>
      </c>
      <c r="M230" s="140" t="s">
        <v>1030</v>
      </c>
      <c r="N230" s="139">
        <v>1905024</v>
      </c>
      <c r="O230" s="140" t="s">
        <v>1025</v>
      </c>
      <c r="P230" s="139" t="s">
        <v>61</v>
      </c>
      <c r="Q230" s="142" t="s">
        <v>1031</v>
      </c>
      <c r="R230" s="145">
        <v>190502400</v>
      </c>
      <c r="S230" s="142" t="s">
        <v>1027</v>
      </c>
      <c r="T230" s="145" t="s">
        <v>69</v>
      </c>
      <c r="U230" s="145">
        <v>12</v>
      </c>
      <c r="V230" s="145"/>
      <c r="W230" s="145">
        <v>12</v>
      </c>
      <c r="X230" s="145">
        <v>0</v>
      </c>
      <c r="Y230" s="146">
        <v>2020003630123</v>
      </c>
      <c r="Z230" s="140" t="s">
        <v>1013</v>
      </c>
      <c r="AA230" s="140" t="s">
        <v>1014</v>
      </c>
      <c r="AB230" s="130"/>
      <c r="AC230" s="130"/>
      <c r="AD230" s="130"/>
      <c r="AE230" s="130"/>
      <c r="AF230" s="130"/>
      <c r="AG230" s="130"/>
      <c r="AH230" s="131">
        <v>35000000</v>
      </c>
      <c r="AI230" s="131">
        <v>7466667</v>
      </c>
      <c r="AJ230" s="131">
        <v>2800000</v>
      </c>
      <c r="AK230" s="130"/>
      <c r="AL230" s="130"/>
      <c r="AM230" s="130"/>
      <c r="AN230" s="130"/>
      <c r="AO230" s="130"/>
      <c r="AP230" s="130"/>
      <c r="AQ230" s="130"/>
      <c r="AR230" s="130"/>
      <c r="AS230" s="130"/>
      <c r="AT230" s="135"/>
      <c r="AU230" s="135"/>
      <c r="AV230" s="135"/>
      <c r="AW230" s="130"/>
      <c r="AX230" s="130"/>
      <c r="AY230" s="130"/>
      <c r="AZ230" s="130"/>
      <c r="BA230" s="130"/>
      <c r="BB230" s="130"/>
      <c r="BC230" s="130"/>
      <c r="BD230" s="130"/>
      <c r="BE230" s="130"/>
      <c r="BF230" s="138">
        <f t="shared" si="23"/>
        <v>35000000</v>
      </c>
      <c r="BG230" s="138">
        <f t="shared" si="21"/>
        <v>7466667</v>
      </c>
      <c r="BH230" s="138">
        <f t="shared" si="22"/>
        <v>2800000</v>
      </c>
      <c r="BI230" s="149" t="s">
        <v>14</v>
      </c>
    </row>
    <row r="231" spans="1:61" s="151" customFormat="1" ht="51">
      <c r="A231" s="139">
        <v>318</v>
      </c>
      <c r="B231" s="140" t="s">
        <v>932</v>
      </c>
      <c r="C231" s="139">
        <v>1</v>
      </c>
      <c r="D231" s="140" t="s">
        <v>148</v>
      </c>
      <c r="E231" s="139">
        <v>19</v>
      </c>
      <c r="F231" s="140" t="s">
        <v>755</v>
      </c>
      <c r="G231" s="139">
        <v>1905</v>
      </c>
      <c r="H231" s="140" t="s">
        <v>756</v>
      </c>
      <c r="I231" s="139">
        <v>1905</v>
      </c>
      <c r="J231" s="140" t="s">
        <v>1004</v>
      </c>
      <c r="K231" s="140" t="s">
        <v>982</v>
      </c>
      <c r="L231" s="139" t="s">
        <v>61</v>
      </c>
      <c r="M231" s="140" t="s">
        <v>1032</v>
      </c>
      <c r="N231" s="139">
        <v>1905024</v>
      </c>
      <c r="O231" s="140" t="s">
        <v>1025</v>
      </c>
      <c r="P231" s="139" t="s">
        <v>61</v>
      </c>
      <c r="Q231" s="142" t="s">
        <v>1033</v>
      </c>
      <c r="R231" s="145">
        <v>190502401</v>
      </c>
      <c r="S231" s="142" t="s">
        <v>1034</v>
      </c>
      <c r="T231" s="145" t="s">
        <v>157</v>
      </c>
      <c r="U231" s="145">
        <v>2</v>
      </c>
      <c r="V231" s="145"/>
      <c r="W231" s="145">
        <v>2</v>
      </c>
      <c r="X231" s="145">
        <v>1</v>
      </c>
      <c r="Y231" s="146">
        <v>2020003630123</v>
      </c>
      <c r="Z231" s="140" t="s">
        <v>1013</v>
      </c>
      <c r="AA231" s="140" t="s">
        <v>1014</v>
      </c>
      <c r="AB231" s="130"/>
      <c r="AC231" s="130"/>
      <c r="AD231" s="130"/>
      <c r="AE231" s="130"/>
      <c r="AF231" s="130"/>
      <c r="AG231" s="130"/>
      <c r="AH231" s="131">
        <v>35000000</v>
      </c>
      <c r="AI231" s="131">
        <v>7466667</v>
      </c>
      <c r="AJ231" s="131">
        <v>2800000</v>
      </c>
      <c r="AK231" s="130"/>
      <c r="AL231" s="130"/>
      <c r="AM231" s="130"/>
      <c r="AN231" s="130"/>
      <c r="AO231" s="130"/>
      <c r="AP231" s="130"/>
      <c r="AQ231" s="130"/>
      <c r="AR231" s="130"/>
      <c r="AS231" s="130"/>
      <c r="AT231" s="135"/>
      <c r="AU231" s="135"/>
      <c r="AV231" s="135"/>
      <c r="AW231" s="130"/>
      <c r="AX231" s="130"/>
      <c r="AY231" s="130"/>
      <c r="AZ231" s="130"/>
      <c r="BA231" s="130"/>
      <c r="BB231" s="130"/>
      <c r="BC231" s="130"/>
      <c r="BD231" s="130"/>
      <c r="BE231" s="130"/>
      <c r="BF231" s="138">
        <f t="shared" si="23"/>
        <v>35000000</v>
      </c>
      <c r="BG231" s="138">
        <f t="shared" si="21"/>
        <v>7466667</v>
      </c>
      <c r="BH231" s="138">
        <f t="shared" si="22"/>
        <v>2800000</v>
      </c>
      <c r="BI231" s="149" t="s">
        <v>14</v>
      </c>
    </row>
    <row r="232" spans="1:61" s="151" customFormat="1" ht="169.5" customHeight="1">
      <c r="A232" s="139">
        <v>318</v>
      </c>
      <c r="B232" s="140" t="s">
        <v>932</v>
      </c>
      <c r="C232" s="139">
        <v>1</v>
      </c>
      <c r="D232" s="140" t="s">
        <v>148</v>
      </c>
      <c r="E232" s="139">
        <v>19</v>
      </c>
      <c r="F232" s="140" t="s">
        <v>755</v>
      </c>
      <c r="G232" s="139">
        <v>1905</v>
      </c>
      <c r="H232" s="140" t="s">
        <v>756</v>
      </c>
      <c r="I232" s="139">
        <v>1905</v>
      </c>
      <c r="J232" s="140" t="s">
        <v>1004</v>
      </c>
      <c r="K232" s="140" t="s">
        <v>758</v>
      </c>
      <c r="L232" s="139">
        <v>1905021</v>
      </c>
      <c r="M232" s="140" t="s">
        <v>759</v>
      </c>
      <c r="N232" s="139">
        <v>1905021</v>
      </c>
      <c r="O232" s="140" t="s">
        <v>759</v>
      </c>
      <c r="P232" s="145">
        <v>190502100</v>
      </c>
      <c r="Q232" s="142" t="s">
        <v>760</v>
      </c>
      <c r="R232" s="145">
        <v>190502100</v>
      </c>
      <c r="S232" s="142" t="s">
        <v>760</v>
      </c>
      <c r="T232" s="143" t="s">
        <v>69</v>
      </c>
      <c r="U232" s="145">
        <v>12</v>
      </c>
      <c r="V232" s="145"/>
      <c r="W232" s="145">
        <v>12</v>
      </c>
      <c r="X232" s="145">
        <v>4</v>
      </c>
      <c r="Y232" s="146">
        <v>2020003630124</v>
      </c>
      <c r="Z232" s="140" t="s">
        <v>1035</v>
      </c>
      <c r="AA232" s="140" t="s">
        <v>1036</v>
      </c>
      <c r="AB232" s="130"/>
      <c r="AC232" s="130"/>
      <c r="AD232" s="130"/>
      <c r="AE232" s="130"/>
      <c r="AF232" s="130"/>
      <c r="AG232" s="130"/>
      <c r="AH232" s="131">
        <v>100000000</v>
      </c>
      <c r="AI232" s="131">
        <v>61814998</v>
      </c>
      <c r="AJ232" s="131">
        <v>12950000</v>
      </c>
      <c r="AK232" s="130"/>
      <c r="AL232" s="130"/>
      <c r="AM232" s="130"/>
      <c r="AN232" s="130"/>
      <c r="AO232" s="130"/>
      <c r="AP232" s="130"/>
      <c r="AQ232" s="130"/>
      <c r="AR232" s="130"/>
      <c r="AS232" s="130"/>
      <c r="AT232" s="135"/>
      <c r="AU232" s="135"/>
      <c r="AV232" s="135"/>
      <c r="AW232" s="130"/>
      <c r="AX232" s="130"/>
      <c r="AY232" s="130"/>
      <c r="AZ232" s="130"/>
      <c r="BA232" s="130"/>
      <c r="BB232" s="130"/>
      <c r="BC232" s="130"/>
      <c r="BD232" s="130"/>
      <c r="BE232" s="130"/>
      <c r="BF232" s="138">
        <f t="shared" si="23"/>
        <v>100000000</v>
      </c>
      <c r="BG232" s="138">
        <f t="shared" si="21"/>
        <v>61814998</v>
      </c>
      <c r="BH232" s="138">
        <f t="shared" si="22"/>
        <v>12950000</v>
      </c>
      <c r="BI232" s="149" t="s">
        <v>14</v>
      </c>
    </row>
    <row r="233" spans="1:61" s="151" customFormat="1" ht="76.5">
      <c r="A233" s="139">
        <v>318</v>
      </c>
      <c r="B233" s="140" t="s">
        <v>932</v>
      </c>
      <c r="C233" s="139">
        <v>1</v>
      </c>
      <c r="D233" s="140" t="s">
        <v>148</v>
      </c>
      <c r="E233" s="139">
        <v>19</v>
      </c>
      <c r="F233" s="140" t="s">
        <v>755</v>
      </c>
      <c r="G233" s="139">
        <v>1905</v>
      </c>
      <c r="H233" s="140" t="s">
        <v>756</v>
      </c>
      <c r="I233" s="139">
        <v>1905</v>
      </c>
      <c r="J233" s="140" t="s">
        <v>1004</v>
      </c>
      <c r="K233" s="140" t="s">
        <v>1015</v>
      </c>
      <c r="L233" s="139" t="s">
        <v>61</v>
      </c>
      <c r="M233" s="140" t="s">
        <v>1037</v>
      </c>
      <c r="N233" s="139">
        <v>1905021</v>
      </c>
      <c r="O233" s="140" t="s">
        <v>1038</v>
      </c>
      <c r="P233" s="139" t="s">
        <v>61</v>
      </c>
      <c r="Q233" s="142" t="s">
        <v>1019</v>
      </c>
      <c r="R233" s="139">
        <v>190502100</v>
      </c>
      <c r="S233" s="142" t="s">
        <v>1039</v>
      </c>
      <c r="T233" s="143" t="s">
        <v>69</v>
      </c>
      <c r="U233" s="145">
        <v>11</v>
      </c>
      <c r="V233" s="145"/>
      <c r="W233" s="145">
        <v>11</v>
      </c>
      <c r="X233" s="145">
        <v>11</v>
      </c>
      <c r="Y233" s="146">
        <v>2020003630124</v>
      </c>
      <c r="Z233" s="140" t="s">
        <v>1035</v>
      </c>
      <c r="AA233" s="140" t="s">
        <v>1036</v>
      </c>
      <c r="AB233" s="130"/>
      <c r="AC233" s="130"/>
      <c r="AD233" s="130"/>
      <c r="AE233" s="130"/>
      <c r="AF233" s="130"/>
      <c r="AG233" s="130"/>
      <c r="AH233" s="131">
        <v>100000000</v>
      </c>
      <c r="AI233" s="131">
        <v>25464999</v>
      </c>
      <c r="AJ233" s="131">
        <v>6250000</v>
      </c>
      <c r="AK233" s="130"/>
      <c r="AL233" s="130"/>
      <c r="AM233" s="130"/>
      <c r="AN233" s="130"/>
      <c r="AO233" s="130"/>
      <c r="AP233" s="130"/>
      <c r="AQ233" s="130"/>
      <c r="AR233" s="130"/>
      <c r="AS233" s="130"/>
      <c r="AT233" s="135"/>
      <c r="AU233" s="135"/>
      <c r="AV233" s="135"/>
      <c r="AW233" s="130"/>
      <c r="AX233" s="130"/>
      <c r="AY233" s="130"/>
      <c r="AZ233" s="130"/>
      <c r="BA233" s="130"/>
      <c r="BB233" s="130"/>
      <c r="BC233" s="130"/>
      <c r="BD233" s="130"/>
      <c r="BE233" s="130"/>
      <c r="BF233" s="138">
        <f t="shared" si="23"/>
        <v>100000000</v>
      </c>
      <c r="BG233" s="138">
        <f t="shared" si="21"/>
        <v>25464999</v>
      </c>
      <c r="BH233" s="138">
        <f t="shared" si="22"/>
        <v>6250000</v>
      </c>
      <c r="BI233" s="149" t="s">
        <v>14</v>
      </c>
    </row>
    <row r="234" spans="1:61" s="151" customFormat="1" ht="57" customHeight="1">
      <c r="A234" s="139">
        <v>318</v>
      </c>
      <c r="B234" s="140" t="s">
        <v>932</v>
      </c>
      <c r="C234" s="139">
        <v>1</v>
      </c>
      <c r="D234" s="140" t="s">
        <v>148</v>
      </c>
      <c r="E234" s="139">
        <v>19</v>
      </c>
      <c r="F234" s="140" t="s">
        <v>755</v>
      </c>
      <c r="G234" s="139">
        <v>1905</v>
      </c>
      <c r="H234" s="140" t="s">
        <v>756</v>
      </c>
      <c r="I234" s="139">
        <v>1905</v>
      </c>
      <c r="J234" s="140" t="s">
        <v>1004</v>
      </c>
      <c r="K234" s="140" t="s">
        <v>1001</v>
      </c>
      <c r="L234" s="139">
        <v>1905020</v>
      </c>
      <c r="M234" s="140" t="s">
        <v>1040</v>
      </c>
      <c r="N234" s="292">
        <v>1905020</v>
      </c>
      <c r="O234" s="140" t="s">
        <v>1040</v>
      </c>
      <c r="P234" s="145">
        <v>190502000</v>
      </c>
      <c r="Q234" s="142" t="s">
        <v>1041</v>
      </c>
      <c r="R234" s="145">
        <v>190502000</v>
      </c>
      <c r="S234" s="142" t="s">
        <v>1041</v>
      </c>
      <c r="T234" s="145" t="s">
        <v>69</v>
      </c>
      <c r="U234" s="145">
        <v>12</v>
      </c>
      <c r="V234" s="145"/>
      <c r="W234" s="145">
        <v>12</v>
      </c>
      <c r="X234" s="145">
        <v>0</v>
      </c>
      <c r="Y234" s="146">
        <v>2020003630125</v>
      </c>
      <c r="Z234" s="141" t="s">
        <v>1042</v>
      </c>
      <c r="AA234" s="140" t="s">
        <v>1043</v>
      </c>
      <c r="AB234" s="130"/>
      <c r="AC234" s="130"/>
      <c r="AD234" s="130"/>
      <c r="AE234" s="130"/>
      <c r="AF234" s="130"/>
      <c r="AG234" s="130"/>
      <c r="AH234" s="135">
        <v>50000000</v>
      </c>
      <c r="AI234" s="135">
        <v>21193334</v>
      </c>
      <c r="AJ234" s="135">
        <v>10200000</v>
      </c>
      <c r="AK234" s="130"/>
      <c r="AL234" s="130"/>
      <c r="AM234" s="130"/>
      <c r="AN234" s="130"/>
      <c r="AO234" s="130"/>
      <c r="AP234" s="130"/>
      <c r="AQ234" s="130"/>
      <c r="AR234" s="130"/>
      <c r="AS234" s="130"/>
      <c r="AT234" s="135"/>
      <c r="AU234" s="135"/>
      <c r="AV234" s="135"/>
      <c r="AW234" s="130"/>
      <c r="AX234" s="130"/>
      <c r="AY234" s="130"/>
      <c r="AZ234" s="130"/>
      <c r="BA234" s="130"/>
      <c r="BB234" s="130"/>
      <c r="BC234" s="130"/>
      <c r="BD234" s="130"/>
      <c r="BE234" s="130"/>
      <c r="BF234" s="138">
        <f t="shared" ref="BF234:BF260" si="24">AB234+AE234+AH234+AK234+AN234+AQ234+AT234+AW234+BC234+AZ234</f>
        <v>50000000</v>
      </c>
      <c r="BG234" s="138">
        <f t="shared" si="21"/>
        <v>21193334</v>
      </c>
      <c r="BH234" s="138">
        <f t="shared" si="22"/>
        <v>10200000</v>
      </c>
      <c r="BI234" s="149" t="s">
        <v>14</v>
      </c>
    </row>
    <row r="235" spans="1:61" s="151" customFormat="1" ht="123.75" customHeight="1">
      <c r="A235" s="139">
        <v>318</v>
      </c>
      <c r="B235" s="140" t="s">
        <v>932</v>
      </c>
      <c r="C235" s="139">
        <v>1</v>
      </c>
      <c r="D235" s="140" t="s">
        <v>148</v>
      </c>
      <c r="E235" s="139">
        <v>19</v>
      </c>
      <c r="F235" s="140" t="s">
        <v>755</v>
      </c>
      <c r="G235" s="139">
        <v>1905</v>
      </c>
      <c r="H235" s="140" t="s">
        <v>756</v>
      </c>
      <c r="I235" s="139">
        <v>1905</v>
      </c>
      <c r="J235" s="140" t="s">
        <v>1004</v>
      </c>
      <c r="K235" s="140" t="s">
        <v>763</v>
      </c>
      <c r="L235" s="139">
        <v>1905022</v>
      </c>
      <c r="M235" s="140" t="s">
        <v>764</v>
      </c>
      <c r="N235" s="292">
        <v>1905022</v>
      </c>
      <c r="O235" s="140" t="s">
        <v>764</v>
      </c>
      <c r="P235" s="145">
        <v>190502200</v>
      </c>
      <c r="Q235" s="142" t="s">
        <v>765</v>
      </c>
      <c r="R235" s="145">
        <v>190502200</v>
      </c>
      <c r="S235" s="142" t="s">
        <v>765</v>
      </c>
      <c r="T235" s="145" t="s">
        <v>69</v>
      </c>
      <c r="U235" s="145">
        <v>12</v>
      </c>
      <c r="V235" s="145"/>
      <c r="W235" s="145">
        <v>12</v>
      </c>
      <c r="X235" s="145">
        <v>11</v>
      </c>
      <c r="Y235" s="146">
        <v>2020003630125</v>
      </c>
      <c r="Z235" s="140" t="s">
        <v>1042</v>
      </c>
      <c r="AA235" s="140" t="s">
        <v>1043</v>
      </c>
      <c r="AB235" s="130"/>
      <c r="AC235" s="130"/>
      <c r="AD235" s="130"/>
      <c r="AE235" s="130"/>
      <c r="AF235" s="130"/>
      <c r="AG235" s="130"/>
      <c r="AH235" s="135">
        <v>57413133</v>
      </c>
      <c r="AI235" s="135">
        <v>23303000</v>
      </c>
      <c r="AJ235" s="135">
        <v>8300000</v>
      </c>
      <c r="AK235" s="130"/>
      <c r="AL235" s="130"/>
      <c r="AM235" s="130"/>
      <c r="AN235" s="130"/>
      <c r="AO235" s="130"/>
      <c r="AP235" s="130"/>
      <c r="AQ235" s="130"/>
      <c r="AR235" s="130"/>
      <c r="AS235" s="130"/>
      <c r="AT235" s="135"/>
      <c r="AU235" s="135"/>
      <c r="AV235" s="135"/>
      <c r="AW235" s="130"/>
      <c r="AX235" s="130"/>
      <c r="AY235" s="130"/>
      <c r="AZ235" s="130"/>
      <c r="BA235" s="130"/>
      <c r="BB235" s="130"/>
      <c r="BC235" s="130"/>
      <c r="BD235" s="130"/>
      <c r="BE235" s="130"/>
      <c r="BF235" s="138">
        <f t="shared" si="24"/>
        <v>57413133</v>
      </c>
      <c r="BG235" s="138">
        <f t="shared" si="21"/>
        <v>23303000</v>
      </c>
      <c r="BH235" s="138">
        <f t="shared" si="22"/>
        <v>8300000</v>
      </c>
      <c r="BI235" s="149" t="s">
        <v>14</v>
      </c>
    </row>
    <row r="236" spans="1:61" s="151" customFormat="1" ht="66.75" customHeight="1">
      <c r="A236" s="139">
        <v>318</v>
      </c>
      <c r="B236" s="140" t="s">
        <v>932</v>
      </c>
      <c r="C236" s="139">
        <v>1</v>
      </c>
      <c r="D236" s="140" t="s">
        <v>148</v>
      </c>
      <c r="E236" s="139">
        <v>19</v>
      </c>
      <c r="F236" s="140" t="s">
        <v>755</v>
      </c>
      <c r="G236" s="139">
        <v>1905</v>
      </c>
      <c r="H236" s="140" t="s">
        <v>756</v>
      </c>
      <c r="I236" s="139">
        <v>1905</v>
      </c>
      <c r="J236" s="140" t="s">
        <v>1004</v>
      </c>
      <c r="K236" s="140" t="s">
        <v>945</v>
      </c>
      <c r="L236" s="139">
        <v>1905031</v>
      </c>
      <c r="M236" s="140" t="s">
        <v>1009</v>
      </c>
      <c r="N236" s="139">
        <v>1905031</v>
      </c>
      <c r="O236" s="140" t="s">
        <v>1009</v>
      </c>
      <c r="P236" s="139">
        <v>190503100</v>
      </c>
      <c r="Q236" s="142" t="s">
        <v>1010</v>
      </c>
      <c r="R236" s="139">
        <v>190503100</v>
      </c>
      <c r="S236" s="142" t="s">
        <v>1010</v>
      </c>
      <c r="T236" s="145" t="s">
        <v>69</v>
      </c>
      <c r="U236" s="145">
        <v>12</v>
      </c>
      <c r="V236" s="145"/>
      <c r="W236" s="145">
        <v>12</v>
      </c>
      <c r="X236" s="145">
        <v>12</v>
      </c>
      <c r="Y236" s="146">
        <v>2020003630126</v>
      </c>
      <c r="Z236" s="141" t="s">
        <v>1044</v>
      </c>
      <c r="AA236" s="140" t="s">
        <v>1045</v>
      </c>
      <c r="AB236" s="130"/>
      <c r="AC236" s="130"/>
      <c r="AD236" s="130"/>
      <c r="AE236" s="130"/>
      <c r="AF236" s="130"/>
      <c r="AG236" s="130"/>
      <c r="AH236" s="135">
        <v>50000000</v>
      </c>
      <c r="AI236" s="135">
        <v>22086666</v>
      </c>
      <c r="AJ236" s="135">
        <v>4200000</v>
      </c>
      <c r="AK236" s="130"/>
      <c r="AL236" s="130"/>
      <c r="AM236" s="130"/>
      <c r="AN236" s="130"/>
      <c r="AO236" s="130"/>
      <c r="AP236" s="130"/>
      <c r="AQ236" s="130"/>
      <c r="AR236" s="130"/>
      <c r="AS236" s="130"/>
      <c r="AT236" s="135"/>
      <c r="AU236" s="135"/>
      <c r="AV236" s="135"/>
      <c r="AW236" s="130"/>
      <c r="AX236" s="130"/>
      <c r="AY236" s="130"/>
      <c r="AZ236" s="130"/>
      <c r="BA236" s="130"/>
      <c r="BB236" s="130"/>
      <c r="BC236" s="130"/>
      <c r="BD236" s="130"/>
      <c r="BE236" s="130"/>
      <c r="BF236" s="138">
        <f t="shared" si="24"/>
        <v>50000000</v>
      </c>
      <c r="BG236" s="138">
        <f t="shared" si="21"/>
        <v>22086666</v>
      </c>
      <c r="BH236" s="138">
        <f t="shared" si="22"/>
        <v>4200000</v>
      </c>
      <c r="BI236" s="149" t="s">
        <v>14</v>
      </c>
    </row>
    <row r="237" spans="1:61" s="151" customFormat="1" ht="69" customHeight="1">
      <c r="A237" s="139">
        <v>318</v>
      </c>
      <c r="B237" s="140" t="s">
        <v>932</v>
      </c>
      <c r="C237" s="139">
        <v>1</v>
      </c>
      <c r="D237" s="140" t="s">
        <v>148</v>
      </c>
      <c r="E237" s="139">
        <v>19</v>
      </c>
      <c r="F237" s="140" t="s">
        <v>755</v>
      </c>
      <c r="G237" s="139">
        <v>1905</v>
      </c>
      <c r="H237" s="140" t="s">
        <v>756</v>
      </c>
      <c r="I237" s="139">
        <v>1905</v>
      </c>
      <c r="J237" s="140" t="s">
        <v>1004</v>
      </c>
      <c r="K237" s="140" t="s">
        <v>1046</v>
      </c>
      <c r="L237" s="139">
        <v>1905012</v>
      </c>
      <c r="M237" s="140" t="s">
        <v>1047</v>
      </c>
      <c r="N237" s="139">
        <v>1905012</v>
      </c>
      <c r="O237" s="140" t="s">
        <v>1047</v>
      </c>
      <c r="P237" s="145">
        <v>190501200</v>
      </c>
      <c r="Q237" s="142" t="s">
        <v>1047</v>
      </c>
      <c r="R237" s="145">
        <v>190501200</v>
      </c>
      <c r="S237" s="142" t="s">
        <v>1047</v>
      </c>
      <c r="T237" s="145" t="s">
        <v>69</v>
      </c>
      <c r="U237" s="145">
        <v>1</v>
      </c>
      <c r="V237" s="145"/>
      <c r="W237" s="145">
        <v>1</v>
      </c>
      <c r="X237" s="145">
        <v>0</v>
      </c>
      <c r="Y237" s="146">
        <v>2020003630127</v>
      </c>
      <c r="Z237" s="141" t="s">
        <v>1048</v>
      </c>
      <c r="AA237" s="140" t="s">
        <v>1049</v>
      </c>
      <c r="AB237" s="130"/>
      <c r="AC237" s="130"/>
      <c r="AD237" s="130"/>
      <c r="AE237" s="130"/>
      <c r="AF237" s="130"/>
      <c r="AG237" s="130"/>
      <c r="AH237" s="130">
        <f>15000000+200000000-100000000</f>
        <v>115000000</v>
      </c>
      <c r="AI237" s="130">
        <v>14500000</v>
      </c>
      <c r="AJ237" s="130">
        <v>5300000</v>
      </c>
      <c r="AK237" s="130"/>
      <c r="AL237" s="130"/>
      <c r="AM237" s="130"/>
      <c r="AN237" s="130"/>
      <c r="AO237" s="130"/>
      <c r="AP237" s="130"/>
      <c r="AQ237" s="130"/>
      <c r="AR237" s="130"/>
      <c r="AS237" s="130"/>
      <c r="AT237" s="135"/>
      <c r="AU237" s="135"/>
      <c r="AV237" s="135"/>
      <c r="AW237" s="130"/>
      <c r="AX237" s="130"/>
      <c r="AY237" s="130"/>
      <c r="AZ237" s="130"/>
      <c r="BA237" s="130"/>
      <c r="BB237" s="130"/>
      <c r="BC237" s="138"/>
      <c r="BD237" s="138"/>
      <c r="BE237" s="138"/>
      <c r="BF237" s="138">
        <f t="shared" si="24"/>
        <v>115000000</v>
      </c>
      <c r="BG237" s="138">
        <f t="shared" si="21"/>
        <v>14500000</v>
      </c>
      <c r="BH237" s="138">
        <f t="shared" si="22"/>
        <v>5300000</v>
      </c>
      <c r="BI237" s="149" t="s">
        <v>14</v>
      </c>
    </row>
    <row r="238" spans="1:61" s="151" customFormat="1" ht="114" customHeight="1">
      <c r="A238" s="139">
        <v>318</v>
      </c>
      <c r="B238" s="140" t="s">
        <v>932</v>
      </c>
      <c r="C238" s="139">
        <v>1</v>
      </c>
      <c r="D238" s="140" t="s">
        <v>148</v>
      </c>
      <c r="E238" s="139">
        <v>19</v>
      </c>
      <c r="F238" s="140" t="s">
        <v>755</v>
      </c>
      <c r="G238" s="139">
        <v>1905</v>
      </c>
      <c r="H238" s="140" t="s">
        <v>756</v>
      </c>
      <c r="I238" s="139">
        <v>1905</v>
      </c>
      <c r="J238" s="140" t="s">
        <v>1004</v>
      </c>
      <c r="K238" s="140" t="s">
        <v>1050</v>
      </c>
      <c r="L238" s="139">
        <v>1905026</v>
      </c>
      <c r="M238" s="140" t="s">
        <v>1051</v>
      </c>
      <c r="N238" s="139">
        <v>1905026</v>
      </c>
      <c r="O238" s="140" t="s">
        <v>1051</v>
      </c>
      <c r="P238" s="145">
        <v>190502600</v>
      </c>
      <c r="Q238" s="142" t="s">
        <v>1052</v>
      </c>
      <c r="R238" s="145">
        <v>190502600</v>
      </c>
      <c r="S238" s="142" t="s">
        <v>1052</v>
      </c>
      <c r="T238" s="143" t="s">
        <v>69</v>
      </c>
      <c r="U238" s="145">
        <v>12</v>
      </c>
      <c r="V238" s="145"/>
      <c r="W238" s="145">
        <v>12</v>
      </c>
      <c r="X238" s="145">
        <v>11</v>
      </c>
      <c r="Y238" s="146">
        <v>2020003630127</v>
      </c>
      <c r="Z238" s="141" t="s">
        <v>1048</v>
      </c>
      <c r="AA238" s="140" t="s">
        <v>1049</v>
      </c>
      <c r="AB238" s="130"/>
      <c r="AC238" s="130"/>
      <c r="AD238" s="130"/>
      <c r="AE238" s="130"/>
      <c r="AF238" s="130"/>
      <c r="AG238" s="130"/>
      <c r="AH238" s="130">
        <v>20000000</v>
      </c>
      <c r="AI238" s="130">
        <v>19510000</v>
      </c>
      <c r="AJ238" s="130">
        <v>2100000</v>
      </c>
      <c r="AK238" s="273"/>
      <c r="AL238" s="273"/>
      <c r="AM238" s="273"/>
      <c r="AN238" s="130"/>
      <c r="AO238" s="130"/>
      <c r="AP238" s="130"/>
      <c r="AQ238" s="130"/>
      <c r="AR238" s="130"/>
      <c r="AS238" s="130"/>
      <c r="AT238" s="135"/>
      <c r="AU238" s="135"/>
      <c r="AV238" s="135"/>
      <c r="AW238" s="130"/>
      <c r="AX238" s="130"/>
      <c r="AY238" s="130"/>
      <c r="AZ238" s="130"/>
      <c r="BA238" s="130"/>
      <c r="BB238" s="130"/>
      <c r="BC238" s="130"/>
      <c r="BD238" s="130"/>
      <c r="BE238" s="130"/>
      <c r="BF238" s="138">
        <f t="shared" si="24"/>
        <v>20000000</v>
      </c>
      <c r="BG238" s="138">
        <f t="shared" si="21"/>
        <v>19510000</v>
      </c>
      <c r="BH238" s="138">
        <f t="shared" si="22"/>
        <v>2100000</v>
      </c>
      <c r="BI238" s="149" t="s">
        <v>14</v>
      </c>
    </row>
    <row r="239" spans="1:61" s="151" customFormat="1" ht="75.75" customHeight="1">
      <c r="A239" s="139">
        <v>318</v>
      </c>
      <c r="B239" s="140" t="s">
        <v>932</v>
      </c>
      <c r="C239" s="139">
        <v>1</v>
      </c>
      <c r="D239" s="140" t="s">
        <v>148</v>
      </c>
      <c r="E239" s="139">
        <v>19</v>
      </c>
      <c r="F239" s="140" t="s">
        <v>755</v>
      </c>
      <c r="G239" s="139">
        <v>1905</v>
      </c>
      <c r="H239" s="140" t="s">
        <v>756</v>
      </c>
      <c r="I239" s="139">
        <v>1905</v>
      </c>
      <c r="J239" s="140" t="s">
        <v>1004</v>
      </c>
      <c r="K239" s="140" t="s">
        <v>1046</v>
      </c>
      <c r="L239" s="139">
        <v>1905027</v>
      </c>
      <c r="M239" s="140" t="s">
        <v>1053</v>
      </c>
      <c r="N239" s="139">
        <v>1905027</v>
      </c>
      <c r="O239" s="140" t="s">
        <v>1053</v>
      </c>
      <c r="P239" s="145">
        <v>190502700</v>
      </c>
      <c r="Q239" s="141" t="s">
        <v>1054</v>
      </c>
      <c r="R239" s="145">
        <v>190502700</v>
      </c>
      <c r="S239" s="142" t="s">
        <v>1054</v>
      </c>
      <c r="T239" s="145" t="s">
        <v>69</v>
      </c>
      <c r="U239" s="145">
        <v>12</v>
      </c>
      <c r="V239" s="145"/>
      <c r="W239" s="145">
        <v>12</v>
      </c>
      <c r="X239" s="145">
        <v>12</v>
      </c>
      <c r="Y239" s="146">
        <v>2020003630127</v>
      </c>
      <c r="Z239" s="140" t="s">
        <v>1048</v>
      </c>
      <c r="AA239" s="140" t="s">
        <v>1049</v>
      </c>
      <c r="AB239" s="130"/>
      <c r="AC239" s="130"/>
      <c r="AD239" s="130"/>
      <c r="AE239" s="130"/>
      <c r="AF239" s="130"/>
      <c r="AG239" s="130"/>
      <c r="AH239" s="130">
        <f>20000000+100000000</f>
        <v>120000000</v>
      </c>
      <c r="AI239" s="130">
        <v>20000000</v>
      </c>
      <c r="AJ239" s="130">
        <v>8500000</v>
      </c>
      <c r="AK239" s="273"/>
      <c r="AL239" s="273"/>
      <c r="AM239" s="273"/>
      <c r="AN239" s="130"/>
      <c r="AO239" s="130"/>
      <c r="AP239" s="130"/>
      <c r="AQ239" s="130"/>
      <c r="AR239" s="130"/>
      <c r="AS239" s="130"/>
      <c r="AT239" s="135"/>
      <c r="AU239" s="135"/>
      <c r="AV239" s="135"/>
      <c r="AW239" s="130"/>
      <c r="AX239" s="130"/>
      <c r="AY239" s="130"/>
      <c r="AZ239" s="130"/>
      <c r="BA239" s="130"/>
      <c r="BB239" s="130"/>
      <c r="BC239" s="130"/>
      <c r="BD239" s="130"/>
      <c r="BE239" s="130"/>
      <c r="BF239" s="138">
        <f t="shared" si="24"/>
        <v>120000000</v>
      </c>
      <c r="BG239" s="138">
        <f t="shared" si="21"/>
        <v>20000000</v>
      </c>
      <c r="BH239" s="138">
        <f t="shared" si="22"/>
        <v>8500000</v>
      </c>
      <c r="BI239" s="149" t="s">
        <v>14</v>
      </c>
    </row>
    <row r="240" spans="1:61" s="151" customFormat="1" ht="38.25">
      <c r="A240" s="139">
        <v>318</v>
      </c>
      <c r="B240" s="140" t="s">
        <v>932</v>
      </c>
      <c r="C240" s="139">
        <v>1</v>
      </c>
      <c r="D240" s="140" t="s">
        <v>148</v>
      </c>
      <c r="E240" s="139">
        <v>19</v>
      </c>
      <c r="F240" s="140" t="s">
        <v>755</v>
      </c>
      <c r="G240" s="139">
        <v>1905</v>
      </c>
      <c r="H240" s="140" t="s">
        <v>756</v>
      </c>
      <c r="I240" s="139">
        <v>1905</v>
      </c>
      <c r="J240" s="140" t="s">
        <v>1004</v>
      </c>
      <c r="K240" s="140" t="s">
        <v>1055</v>
      </c>
      <c r="L240" s="139" t="s">
        <v>61</v>
      </c>
      <c r="M240" s="140" t="s">
        <v>1028</v>
      </c>
      <c r="N240" s="139">
        <v>1905015</v>
      </c>
      <c r="O240" s="140" t="s">
        <v>374</v>
      </c>
      <c r="P240" s="139" t="s">
        <v>61</v>
      </c>
      <c r="Q240" s="142" t="s">
        <v>1029</v>
      </c>
      <c r="R240" s="145" t="s">
        <v>1056</v>
      </c>
      <c r="S240" s="142" t="s">
        <v>255</v>
      </c>
      <c r="T240" s="143" t="s">
        <v>157</v>
      </c>
      <c r="U240" s="145">
        <v>2</v>
      </c>
      <c r="V240" s="145">
        <v>1</v>
      </c>
      <c r="W240" s="145">
        <v>3</v>
      </c>
      <c r="X240" s="145">
        <v>3</v>
      </c>
      <c r="Y240" s="146">
        <v>2020003630128</v>
      </c>
      <c r="Z240" s="140" t="s">
        <v>1057</v>
      </c>
      <c r="AA240" s="140" t="s">
        <v>1058</v>
      </c>
      <c r="AB240" s="130"/>
      <c r="AC240" s="130"/>
      <c r="AD240" s="130"/>
      <c r="AE240" s="130"/>
      <c r="AF240" s="130"/>
      <c r="AG240" s="130"/>
      <c r="AH240" s="130">
        <v>20000000</v>
      </c>
      <c r="AI240" s="130">
        <v>14700000</v>
      </c>
      <c r="AJ240" s="130">
        <v>2450000</v>
      </c>
      <c r="AK240" s="130"/>
      <c r="AL240" s="130"/>
      <c r="AM240" s="130"/>
      <c r="AN240" s="130"/>
      <c r="AO240" s="130"/>
      <c r="AP240" s="130"/>
      <c r="AQ240" s="130"/>
      <c r="AR240" s="130"/>
      <c r="AS240" s="130"/>
      <c r="AT240" s="135"/>
      <c r="AU240" s="135"/>
      <c r="AV240" s="135"/>
      <c r="AW240" s="130"/>
      <c r="AX240" s="130"/>
      <c r="AY240" s="130"/>
      <c r="AZ240" s="130"/>
      <c r="BA240" s="130"/>
      <c r="BB240" s="130"/>
      <c r="BC240" s="130"/>
      <c r="BD240" s="130"/>
      <c r="BE240" s="130"/>
      <c r="BF240" s="138">
        <f t="shared" si="24"/>
        <v>20000000</v>
      </c>
      <c r="BG240" s="138">
        <f t="shared" si="21"/>
        <v>14700000</v>
      </c>
      <c r="BH240" s="138">
        <f t="shared" si="22"/>
        <v>2450000</v>
      </c>
      <c r="BI240" s="149" t="s">
        <v>14</v>
      </c>
    </row>
    <row r="241" spans="1:77" s="151" customFormat="1" ht="61.5" customHeight="1">
      <c r="A241" s="139">
        <v>318</v>
      </c>
      <c r="B241" s="140" t="s">
        <v>932</v>
      </c>
      <c r="C241" s="139">
        <v>1</v>
      </c>
      <c r="D241" s="140" t="s">
        <v>148</v>
      </c>
      <c r="E241" s="139">
        <v>19</v>
      </c>
      <c r="F241" s="140" t="s">
        <v>755</v>
      </c>
      <c r="G241" s="139">
        <v>1905</v>
      </c>
      <c r="H241" s="140" t="s">
        <v>756</v>
      </c>
      <c r="I241" s="139">
        <v>1905</v>
      </c>
      <c r="J241" s="140" t="s">
        <v>1004</v>
      </c>
      <c r="K241" s="140" t="s">
        <v>948</v>
      </c>
      <c r="L241" s="139">
        <v>1905014</v>
      </c>
      <c r="M241" s="140" t="s">
        <v>101</v>
      </c>
      <c r="N241" s="139">
        <v>1905014</v>
      </c>
      <c r="O241" s="140" t="s">
        <v>101</v>
      </c>
      <c r="P241" s="139">
        <v>190501400</v>
      </c>
      <c r="Q241" s="141" t="s">
        <v>539</v>
      </c>
      <c r="R241" s="139">
        <v>190501400</v>
      </c>
      <c r="S241" s="142" t="s">
        <v>539</v>
      </c>
      <c r="T241" s="145" t="s">
        <v>69</v>
      </c>
      <c r="U241" s="145">
        <v>12</v>
      </c>
      <c r="V241" s="145"/>
      <c r="W241" s="145">
        <v>12</v>
      </c>
      <c r="X241" s="145">
        <v>0</v>
      </c>
      <c r="Y241" s="146">
        <v>2020003630129</v>
      </c>
      <c r="Z241" s="140" t="s">
        <v>1059</v>
      </c>
      <c r="AA241" s="140" t="s">
        <v>1060</v>
      </c>
      <c r="AB241" s="130"/>
      <c r="AC241" s="130"/>
      <c r="AD241" s="130"/>
      <c r="AE241" s="130"/>
      <c r="AF241" s="130"/>
      <c r="AG241" s="130"/>
      <c r="AH241" s="130">
        <f>30000000+160639061.29</f>
        <v>190639061.28999999</v>
      </c>
      <c r="AI241" s="130">
        <v>21903334</v>
      </c>
      <c r="AJ241" s="130">
        <v>2100000</v>
      </c>
      <c r="AK241" s="130"/>
      <c r="AL241" s="130"/>
      <c r="AM241" s="130"/>
      <c r="AN241" s="130"/>
      <c r="AO241" s="130"/>
      <c r="AP241" s="130"/>
      <c r="AQ241" s="130"/>
      <c r="AR241" s="130"/>
      <c r="AS241" s="130"/>
      <c r="AT241" s="135"/>
      <c r="AU241" s="135"/>
      <c r="AV241" s="135"/>
      <c r="AW241" s="130"/>
      <c r="AX241" s="130"/>
      <c r="AY241" s="130"/>
      <c r="AZ241" s="130"/>
      <c r="BA241" s="130"/>
      <c r="BB241" s="130"/>
      <c r="BC241" s="130"/>
      <c r="BD241" s="130"/>
      <c r="BE241" s="130"/>
      <c r="BF241" s="138">
        <f t="shared" si="24"/>
        <v>190639061.28999999</v>
      </c>
      <c r="BG241" s="138">
        <f t="shared" si="21"/>
        <v>21903334</v>
      </c>
      <c r="BH241" s="138">
        <f t="shared" si="22"/>
        <v>2100000</v>
      </c>
      <c r="BI241" s="149" t="s">
        <v>14</v>
      </c>
    </row>
    <row r="242" spans="1:77" s="151" customFormat="1" ht="57" customHeight="1">
      <c r="A242" s="139">
        <v>318</v>
      </c>
      <c r="B242" s="140" t="s">
        <v>932</v>
      </c>
      <c r="C242" s="139">
        <v>1</v>
      </c>
      <c r="D242" s="140" t="s">
        <v>148</v>
      </c>
      <c r="E242" s="139">
        <v>19</v>
      </c>
      <c r="F242" s="140" t="s">
        <v>755</v>
      </c>
      <c r="G242" s="139">
        <v>1905</v>
      </c>
      <c r="H242" s="140" t="s">
        <v>756</v>
      </c>
      <c r="I242" s="139">
        <v>1905</v>
      </c>
      <c r="J242" s="140" t="s">
        <v>1004</v>
      </c>
      <c r="K242" s="140" t="s">
        <v>977</v>
      </c>
      <c r="L242" s="139">
        <v>1905015</v>
      </c>
      <c r="M242" s="140" t="s">
        <v>253</v>
      </c>
      <c r="N242" s="139">
        <v>1905015</v>
      </c>
      <c r="O242" s="140" t="s">
        <v>253</v>
      </c>
      <c r="P242" s="139">
        <v>190501503</v>
      </c>
      <c r="Q242" s="142" t="s">
        <v>1061</v>
      </c>
      <c r="R242" s="139">
        <v>190501503</v>
      </c>
      <c r="S242" s="142" t="s">
        <v>1061</v>
      </c>
      <c r="T242" s="145" t="s">
        <v>69</v>
      </c>
      <c r="U242" s="145">
        <v>15</v>
      </c>
      <c r="V242" s="145"/>
      <c r="W242" s="145">
        <v>15</v>
      </c>
      <c r="X242" s="145">
        <v>5</v>
      </c>
      <c r="Y242" s="146">
        <v>2020003630133</v>
      </c>
      <c r="Z242" s="147" t="s">
        <v>1062</v>
      </c>
      <c r="AA242" s="140" t="s">
        <v>1063</v>
      </c>
      <c r="AB242" s="130"/>
      <c r="AC242" s="130"/>
      <c r="AD242" s="130"/>
      <c r="AE242" s="130"/>
      <c r="AF242" s="130"/>
      <c r="AG242" s="130"/>
      <c r="AH242" s="148">
        <v>600000000</v>
      </c>
      <c r="AI242" s="148">
        <v>143369997</v>
      </c>
      <c r="AJ242" s="148">
        <v>51400000</v>
      </c>
      <c r="AK242" s="130"/>
      <c r="AL242" s="130"/>
      <c r="AM242" s="130"/>
      <c r="AN242" s="130"/>
      <c r="AO242" s="130"/>
      <c r="AP242" s="130"/>
      <c r="AQ242" s="130"/>
      <c r="AR242" s="130"/>
      <c r="AS242" s="130"/>
      <c r="AT242" s="135"/>
      <c r="AU242" s="135"/>
      <c r="AV242" s="135"/>
      <c r="AW242" s="130"/>
      <c r="AX242" s="130"/>
      <c r="AY242" s="130"/>
      <c r="AZ242" s="130"/>
      <c r="BA242" s="130"/>
      <c r="BB242" s="130"/>
      <c r="BC242" s="130"/>
      <c r="BD242" s="130"/>
      <c r="BE242" s="130"/>
      <c r="BF242" s="138">
        <f t="shared" si="24"/>
        <v>600000000</v>
      </c>
      <c r="BG242" s="138">
        <f t="shared" si="21"/>
        <v>143369997</v>
      </c>
      <c r="BH242" s="138">
        <f t="shared" si="22"/>
        <v>51400000</v>
      </c>
      <c r="BI242" s="149" t="s">
        <v>14</v>
      </c>
    </row>
    <row r="243" spans="1:77" s="151" customFormat="1" ht="75.75" customHeight="1">
      <c r="A243" s="139">
        <v>318</v>
      </c>
      <c r="B243" s="140" t="s">
        <v>932</v>
      </c>
      <c r="C243" s="139">
        <v>1</v>
      </c>
      <c r="D243" s="140" t="s">
        <v>148</v>
      </c>
      <c r="E243" s="139">
        <v>19</v>
      </c>
      <c r="F243" s="140" t="s">
        <v>755</v>
      </c>
      <c r="G243" s="139">
        <v>1905</v>
      </c>
      <c r="H243" s="140" t="s">
        <v>756</v>
      </c>
      <c r="I243" s="139">
        <v>1905</v>
      </c>
      <c r="J243" s="140" t="s">
        <v>1004</v>
      </c>
      <c r="K243" s="140" t="s">
        <v>1064</v>
      </c>
      <c r="L243" s="139" t="s">
        <v>61</v>
      </c>
      <c r="M243" s="140" t="s">
        <v>1065</v>
      </c>
      <c r="N243" s="139">
        <v>1905009</v>
      </c>
      <c r="O243" s="140" t="s">
        <v>1066</v>
      </c>
      <c r="P243" s="139" t="s">
        <v>61</v>
      </c>
      <c r="Q243" s="142" t="s">
        <v>1067</v>
      </c>
      <c r="R243" s="139">
        <v>190500900</v>
      </c>
      <c r="S243" s="142" t="s">
        <v>1068</v>
      </c>
      <c r="T243" s="145" t="s">
        <v>69</v>
      </c>
      <c r="U243" s="145">
        <v>1</v>
      </c>
      <c r="V243" s="145"/>
      <c r="W243" s="145">
        <v>1</v>
      </c>
      <c r="X243" s="145">
        <v>1</v>
      </c>
      <c r="Y243" s="146">
        <v>2020003630134</v>
      </c>
      <c r="Z243" s="147" t="s">
        <v>1069</v>
      </c>
      <c r="AA243" s="140" t="s">
        <v>1070</v>
      </c>
      <c r="AB243" s="130"/>
      <c r="AC243" s="130"/>
      <c r="AD243" s="130"/>
      <c r="AE243" s="130"/>
      <c r="AF243" s="130"/>
      <c r="AG243" s="130"/>
      <c r="AH243" s="130"/>
      <c r="AI243" s="130"/>
      <c r="AJ243" s="130"/>
      <c r="AK243" s="131"/>
      <c r="AL243" s="131"/>
      <c r="AM243" s="131"/>
      <c r="AN243" s="130"/>
      <c r="AO243" s="130"/>
      <c r="AP243" s="130"/>
      <c r="AQ243" s="130"/>
      <c r="AR243" s="130"/>
      <c r="AS243" s="130"/>
      <c r="AT243" s="135">
        <v>300000000</v>
      </c>
      <c r="AU243" s="135">
        <v>90588000</v>
      </c>
      <c r="AV243" s="135">
        <v>37828000</v>
      </c>
      <c r="AW243" s="130"/>
      <c r="AX243" s="130"/>
      <c r="AY243" s="130"/>
      <c r="AZ243" s="130"/>
      <c r="BA243" s="130"/>
      <c r="BB243" s="130"/>
      <c r="BC243" s="130"/>
      <c r="BD243" s="130"/>
      <c r="BE243" s="130"/>
      <c r="BF243" s="138">
        <f t="shared" si="24"/>
        <v>300000000</v>
      </c>
      <c r="BG243" s="138">
        <f t="shared" si="21"/>
        <v>90588000</v>
      </c>
      <c r="BH243" s="138">
        <f t="shared" si="22"/>
        <v>37828000</v>
      </c>
      <c r="BI243" s="149" t="s">
        <v>14</v>
      </c>
      <c r="BJ243" s="320"/>
      <c r="BK243" s="320"/>
      <c r="BL243" s="320"/>
      <c r="BM243" s="320"/>
      <c r="BN243" s="320"/>
      <c r="BO243" s="320"/>
      <c r="BP243" s="320"/>
      <c r="BQ243" s="320"/>
      <c r="BR243" s="320"/>
      <c r="BS243" s="320"/>
      <c r="BT243" s="320"/>
      <c r="BU243" s="320"/>
      <c r="BV243" s="320"/>
      <c r="BW243" s="320"/>
      <c r="BX243" s="320"/>
      <c r="BY243" s="320"/>
    </row>
    <row r="244" spans="1:77" s="151" customFormat="1" ht="79.5" customHeight="1">
      <c r="A244" s="139">
        <v>318</v>
      </c>
      <c r="B244" s="140" t="s">
        <v>932</v>
      </c>
      <c r="C244" s="139">
        <v>1</v>
      </c>
      <c r="D244" s="140" t="s">
        <v>148</v>
      </c>
      <c r="E244" s="139">
        <v>19</v>
      </c>
      <c r="F244" s="140" t="s">
        <v>755</v>
      </c>
      <c r="G244" s="139">
        <v>1905</v>
      </c>
      <c r="H244" s="140" t="s">
        <v>756</v>
      </c>
      <c r="I244" s="139">
        <v>1905</v>
      </c>
      <c r="J244" s="140" t="s">
        <v>1004</v>
      </c>
      <c r="K244" s="142" t="s">
        <v>945</v>
      </c>
      <c r="L244" s="139">
        <v>1905031</v>
      </c>
      <c r="M244" s="140" t="s">
        <v>1009</v>
      </c>
      <c r="N244" s="292">
        <v>1905031</v>
      </c>
      <c r="O244" s="140" t="s">
        <v>1009</v>
      </c>
      <c r="P244" s="292">
        <v>190503100</v>
      </c>
      <c r="Q244" s="142" t="s">
        <v>1010</v>
      </c>
      <c r="R244" s="139">
        <v>190503100</v>
      </c>
      <c r="S244" s="142" t="s">
        <v>1010</v>
      </c>
      <c r="T244" s="145" t="s">
        <v>69</v>
      </c>
      <c r="U244" s="145">
        <v>12</v>
      </c>
      <c r="V244" s="145"/>
      <c r="W244" s="145">
        <v>12</v>
      </c>
      <c r="X244" s="145">
        <v>12</v>
      </c>
      <c r="Y244" s="146">
        <v>2020003630135</v>
      </c>
      <c r="Z244" s="147" t="s">
        <v>1071</v>
      </c>
      <c r="AA244" s="141" t="s">
        <v>1072</v>
      </c>
      <c r="AB244" s="130"/>
      <c r="AC244" s="130"/>
      <c r="AD244" s="130"/>
      <c r="AE244" s="130"/>
      <c r="AF244" s="130"/>
      <c r="AG244" s="130"/>
      <c r="AH244" s="130">
        <f>1430478796+400000000</f>
        <v>1830478796</v>
      </c>
      <c r="AI244" s="130">
        <v>90619997</v>
      </c>
      <c r="AJ244" s="130">
        <v>23450000</v>
      </c>
      <c r="AK244" s="130"/>
      <c r="AL244" s="130"/>
      <c r="AM244" s="130"/>
      <c r="AN244" s="130"/>
      <c r="AO244" s="130"/>
      <c r="AP244" s="130"/>
      <c r="AQ244" s="130"/>
      <c r="AR244" s="130"/>
      <c r="AS244" s="130"/>
      <c r="AT244" s="135"/>
      <c r="AU244" s="135"/>
      <c r="AV244" s="135"/>
      <c r="AW244" s="130"/>
      <c r="AX244" s="130"/>
      <c r="AY244" s="130"/>
      <c r="AZ244" s="130"/>
      <c r="BA244" s="130"/>
      <c r="BB244" s="130"/>
      <c r="BC244" s="130"/>
      <c r="BD244" s="130"/>
      <c r="BE244" s="130"/>
      <c r="BF244" s="138">
        <f t="shared" si="24"/>
        <v>1830478796</v>
      </c>
      <c r="BG244" s="138">
        <f t="shared" si="21"/>
        <v>90619997</v>
      </c>
      <c r="BH244" s="138">
        <f t="shared" si="22"/>
        <v>23450000</v>
      </c>
      <c r="BI244" s="149" t="s">
        <v>14</v>
      </c>
      <c r="BJ244" s="320"/>
      <c r="BK244" s="320"/>
      <c r="BL244" s="320"/>
      <c r="BM244" s="320"/>
      <c r="BN244" s="320"/>
      <c r="BO244" s="320"/>
      <c r="BP244" s="320"/>
      <c r="BQ244" s="320"/>
      <c r="BR244" s="320"/>
      <c r="BS244" s="320"/>
      <c r="BT244" s="320"/>
      <c r="BU244" s="320"/>
      <c r="BV244" s="320"/>
      <c r="BW244" s="320"/>
      <c r="BX244" s="320"/>
      <c r="BY244" s="320"/>
    </row>
    <row r="245" spans="1:77" s="151" customFormat="1" ht="38.25">
      <c r="A245" s="139">
        <v>318</v>
      </c>
      <c r="B245" s="140" t="s">
        <v>932</v>
      </c>
      <c r="C245" s="139">
        <v>1</v>
      </c>
      <c r="D245" s="140" t="s">
        <v>148</v>
      </c>
      <c r="E245" s="139">
        <v>19</v>
      </c>
      <c r="F245" s="140" t="s">
        <v>755</v>
      </c>
      <c r="G245" s="139">
        <v>1906</v>
      </c>
      <c r="H245" s="140" t="s">
        <v>1073</v>
      </c>
      <c r="I245" s="139">
        <v>1906</v>
      </c>
      <c r="J245" s="140" t="s">
        <v>1074</v>
      </c>
      <c r="K245" s="140" t="s">
        <v>1075</v>
      </c>
      <c r="L245" s="139" t="s">
        <v>61</v>
      </c>
      <c r="M245" s="140" t="s">
        <v>1076</v>
      </c>
      <c r="N245" s="139">
        <v>1906023</v>
      </c>
      <c r="O245" s="140" t="s">
        <v>1077</v>
      </c>
      <c r="P245" s="139" t="s">
        <v>61</v>
      </c>
      <c r="Q245" s="141" t="s">
        <v>1078</v>
      </c>
      <c r="R245" s="139">
        <v>190602300</v>
      </c>
      <c r="S245" s="142" t="s">
        <v>1079</v>
      </c>
      <c r="T245" s="145" t="s">
        <v>69</v>
      </c>
      <c r="U245" s="145">
        <v>19899</v>
      </c>
      <c r="V245" s="321"/>
      <c r="W245" s="145">
        <v>19899</v>
      </c>
      <c r="X245" s="145">
        <v>274609</v>
      </c>
      <c r="Y245" s="146">
        <v>2020003630136</v>
      </c>
      <c r="Z245" s="147" t="s">
        <v>1080</v>
      </c>
      <c r="AA245" s="140" t="s">
        <v>1081</v>
      </c>
      <c r="AB245" s="130"/>
      <c r="AC245" s="130"/>
      <c r="AD245" s="130"/>
      <c r="AE245" s="130"/>
      <c r="AF245" s="130"/>
      <c r="AG245" s="130"/>
      <c r="AH245" s="130"/>
      <c r="AI245" s="130"/>
      <c r="AJ245" s="130"/>
      <c r="AK245" s="136">
        <f>35074003113.88</f>
        <v>35074003113.879997</v>
      </c>
      <c r="AL245" s="136">
        <v>35074003113</v>
      </c>
      <c r="AM245" s="136">
        <v>7878161831.1400003</v>
      </c>
      <c r="AN245" s="130"/>
      <c r="AO245" s="130"/>
      <c r="AP245" s="130"/>
      <c r="AQ245" s="130"/>
      <c r="AR245" s="130"/>
      <c r="AS245" s="130"/>
      <c r="AT245" s="135"/>
      <c r="AU245" s="135"/>
      <c r="AV245" s="135"/>
      <c r="AW245" s="130"/>
      <c r="AX245" s="130"/>
      <c r="AY245" s="130"/>
      <c r="AZ245" s="130"/>
      <c r="BA245" s="130"/>
      <c r="BB245" s="130"/>
      <c r="BC245" s="130"/>
      <c r="BD245" s="130"/>
      <c r="BE245" s="130"/>
      <c r="BF245" s="138">
        <f t="shared" si="24"/>
        <v>35074003113.879997</v>
      </c>
      <c r="BG245" s="138">
        <f t="shared" si="21"/>
        <v>35074003113</v>
      </c>
      <c r="BH245" s="138">
        <f t="shared" si="22"/>
        <v>7878161831.1400003</v>
      </c>
      <c r="BI245" s="149" t="s">
        <v>14</v>
      </c>
    </row>
    <row r="246" spans="1:77" s="151" customFormat="1" ht="38.25">
      <c r="A246" s="139">
        <v>318</v>
      </c>
      <c r="B246" s="140" t="s">
        <v>932</v>
      </c>
      <c r="C246" s="139">
        <v>1</v>
      </c>
      <c r="D246" s="140" t="s">
        <v>148</v>
      </c>
      <c r="E246" s="139">
        <v>19</v>
      </c>
      <c r="F246" s="140" t="s">
        <v>755</v>
      </c>
      <c r="G246" s="139">
        <v>1906</v>
      </c>
      <c r="H246" s="140" t="s">
        <v>1073</v>
      </c>
      <c r="I246" s="139">
        <v>1906</v>
      </c>
      <c r="J246" s="140" t="s">
        <v>1074</v>
      </c>
      <c r="K246" s="142" t="s">
        <v>974</v>
      </c>
      <c r="L246" s="139" t="s">
        <v>61</v>
      </c>
      <c r="M246" s="140" t="s">
        <v>1082</v>
      </c>
      <c r="N246" s="139">
        <v>1906023</v>
      </c>
      <c r="O246" s="140" t="s">
        <v>1077</v>
      </c>
      <c r="P246" s="139" t="s">
        <v>61</v>
      </c>
      <c r="Q246" s="142" t="s">
        <v>1083</v>
      </c>
      <c r="R246" s="145">
        <v>190602301</v>
      </c>
      <c r="S246" s="142" t="s">
        <v>1084</v>
      </c>
      <c r="T246" s="145" t="s">
        <v>69</v>
      </c>
      <c r="U246" s="145">
        <v>60</v>
      </c>
      <c r="V246" s="145"/>
      <c r="W246" s="145">
        <v>60</v>
      </c>
      <c r="X246" s="145">
        <v>0</v>
      </c>
      <c r="Y246" s="146">
        <v>2020003630137</v>
      </c>
      <c r="Z246" s="141" t="s">
        <v>1085</v>
      </c>
      <c r="AA246" s="140" t="s">
        <v>1086</v>
      </c>
      <c r="AB246" s="130"/>
      <c r="AC246" s="130"/>
      <c r="AD246" s="130"/>
      <c r="AE246" s="130">
        <f>600000000</f>
        <v>600000000</v>
      </c>
      <c r="AF246" s="130"/>
      <c r="AG246" s="130"/>
      <c r="AH246" s="130"/>
      <c r="AI246" s="130"/>
      <c r="AJ246" s="130"/>
      <c r="AK246" s="136">
        <f>1040464361.47+19178603.4</f>
        <v>1059642964.87</v>
      </c>
      <c r="AL246" s="136"/>
      <c r="AM246" s="136"/>
      <c r="AN246" s="130"/>
      <c r="AO246" s="130"/>
      <c r="AP246" s="130"/>
      <c r="AQ246" s="130"/>
      <c r="AR246" s="130"/>
      <c r="AS246" s="130"/>
      <c r="AT246" s="135"/>
      <c r="AU246" s="135"/>
      <c r="AV246" s="135"/>
      <c r="AW246" s="130"/>
      <c r="AX246" s="130"/>
      <c r="AY246" s="130"/>
      <c r="AZ246" s="130"/>
      <c r="BA246" s="130"/>
      <c r="BB246" s="130"/>
      <c r="BC246" s="130">
        <v>1902238000</v>
      </c>
      <c r="BD246" s="130"/>
      <c r="BE246" s="130"/>
      <c r="BF246" s="138">
        <f t="shared" si="24"/>
        <v>3561880964.8699999</v>
      </c>
      <c r="BG246" s="138">
        <f t="shared" si="21"/>
        <v>0</v>
      </c>
      <c r="BH246" s="138">
        <f t="shared" si="22"/>
        <v>0</v>
      </c>
      <c r="BI246" s="149" t="s">
        <v>14</v>
      </c>
    </row>
    <row r="247" spans="1:77" s="151" customFormat="1" ht="100.5" customHeight="1">
      <c r="A247" s="139">
        <v>318</v>
      </c>
      <c r="B247" s="140" t="s">
        <v>932</v>
      </c>
      <c r="C247" s="139">
        <v>1</v>
      </c>
      <c r="D247" s="140" t="s">
        <v>148</v>
      </c>
      <c r="E247" s="139">
        <v>19</v>
      </c>
      <c r="F247" s="140" t="s">
        <v>755</v>
      </c>
      <c r="G247" s="139">
        <v>1906</v>
      </c>
      <c r="H247" s="140" t="s">
        <v>1073</v>
      </c>
      <c r="I247" s="139">
        <v>1906</v>
      </c>
      <c r="J247" s="140" t="s">
        <v>1074</v>
      </c>
      <c r="K247" s="140" t="s">
        <v>1075</v>
      </c>
      <c r="L247" s="139" t="s">
        <v>61</v>
      </c>
      <c r="M247" s="140" t="s">
        <v>1087</v>
      </c>
      <c r="N247" s="139">
        <v>1906025</v>
      </c>
      <c r="O247" s="140" t="s">
        <v>1088</v>
      </c>
      <c r="P247" s="139" t="s">
        <v>61</v>
      </c>
      <c r="Q247" s="142" t="s">
        <v>1089</v>
      </c>
      <c r="R247" s="139">
        <v>190602500</v>
      </c>
      <c r="S247" s="142" t="s">
        <v>1090</v>
      </c>
      <c r="T247" s="145" t="s">
        <v>69</v>
      </c>
      <c r="U247" s="145">
        <v>100</v>
      </c>
      <c r="V247" s="145"/>
      <c r="W247" s="145">
        <v>100</v>
      </c>
      <c r="X247" s="145">
        <v>0</v>
      </c>
      <c r="Y247" s="146">
        <v>2020003630137</v>
      </c>
      <c r="Z247" s="147" t="s">
        <v>1085</v>
      </c>
      <c r="AA247" s="140" t="s">
        <v>1086</v>
      </c>
      <c r="AB247" s="130"/>
      <c r="AC247" s="130"/>
      <c r="AD247" s="130"/>
      <c r="AE247" s="130">
        <f>600000000-600000000</f>
        <v>0</v>
      </c>
      <c r="AF247" s="130"/>
      <c r="AG247" s="130"/>
      <c r="AH247" s="130">
        <f>1810933809+156125011.1+108005081</f>
        <v>2075063901.0999999</v>
      </c>
      <c r="AI247" s="130">
        <v>2075063901.0999999</v>
      </c>
      <c r="AJ247" s="130"/>
      <c r="AK247" s="130">
        <v>3827989379</v>
      </c>
      <c r="AL247" s="130"/>
      <c r="AM247" s="130"/>
      <c r="AN247" s="130"/>
      <c r="AO247" s="130"/>
      <c r="AP247" s="130"/>
      <c r="AQ247" s="130"/>
      <c r="AR247" s="130"/>
      <c r="AS247" s="130"/>
      <c r="AT247" s="135"/>
      <c r="AU247" s="135"/>
      <c r="AV247" s="135"/>
      <c r="AW247" s="130"/>
      <c r="AX247" s="130"/>
      <c r="AY247" s="130"/>
      <c r="AZ247" s="130"/>
      <c r="BA247" s="130"/>
      <c r="BB247" s="130"/>
      <c r="BC247" s="130"/>
      <c r="BD247" s="130"/>
      <c r="BE247" s="130"/>
      <c r="BF247" s="138">
        <f t="shared" si="24"/>
        <v>5903053280.1000004</v>
      </c>
      <c r="BG247" s="138">
        <f t="shared" si="21"/>
        <v>2075063901.0999999</v>
      </c>
      <c r="BH247" s="138">
        <f t="shared" si="22"/>
        <v>0</v>
      </c>
      <c r="BI247" s="149" t="s">
        <v>14</v>
      </c>
    </row>
    <row r="248" spans="1:77" s="151" customFormat="1" ht="86.25" customHeight="1">
      <c r="A248" s="139">
        <v>318</v>
      </c>
      <c r="B248" s="140" t="s">
        <v>932</v>
      </c>
      <c r="C248" s="139">
        <v>1</v>
      </c>
      <c r="D248" s="140" t="s">
        <v>148</v>
      </c>
      <c r="E248" s="139">
        <v>19</v>
      </c>
      <c r="F248" s="140" t="s">
        <v>755</v>
      </c>
      <c r="G248" s="139">
        <v>1906</v>
      </c>
      <c r="H248" s="140" t="s">
        <v>1073</v>
      </c>
      <c r="I248" s="139">
        <v>1906</v>
      </c>
      <c r="J248" s="140" t="s">
        <v>1074</v>
      </c>
      <c r="K248" s="140" t="s">
        <v>1075</v>
      </c>
      <c r="L248" s="139" t="s">
        <v>61</v>
      </c>
      <c r="M248" s="140" t="s">
        <v>1091</v>
      </c>
      <c r="N248" s="139">
        <v>1906025</v>
      </c>
      <c r="O248" s="140" t="s">
        <v>1088</v>
      </c>
      <c r="P248" s="139" t="s">
        <v>61</v>
      </c>
      <c r="Q248" s="142" t="s">
        <v>1092</v>
      </c>
      <c r="R248" s="139">
        <v>190602500</v>
      </c>
      <c r="S248" s="142" t="s">
        <v>1090</v>
      </c>
      <c r="T248" s="145" t="s">
        <v>69</v>
      </c>
      <c r="U248" s="145">
        <v>100</v>
      </c>
      <c r="V248" s="145"/>
      <c r="W248" s="145">
        <v>100</v>
      </c>
      <c r="X248" s="145">
        <v>0</v>
      </c>
      <c r="Y248" s="146">
        <v>2020003630137</v>
      </c>
      <c r="Z248" s="147" t="s">
        <v>1085</v>
      </c>
      <c r="AA248" s="140" t="s">
        <v>1086</v>
      </c>
      <c r="AB248" s="130"/>
      <c r="AC248" s="130"/>
      <c r="AD248" s="130"/>
      <c r="AE248" s="130"/>
      <c r="AF248" s="130"/>
      <c r="AG248" s="130"/>
      <c r="AH248" s="130"/>
      <c r="AI248" s="130"/>
      <c r="AJ248" s="130"/>
      <c r="AK248" s="130"/>
      <c r="AL248" s="130"/>
      <c r="AM248" s="130"/>
      <c r="AN248" s="130"/>
      <c r="AO248" s="130"/>
      <c r="AP248" s="130"/>
      <c r="AQ248" s="130"/>
      <c r="AR248" s="130"/>
      <c r="AS248" s="130"/>
      <c r="AT248" s="135"/>
      <c r="AU248" s="135"/>
      <c r="AV248" s="135"/>
      <c r="AW248" s="130"/>
      <c r="AX248" s="130"/>
      <c r="AY248" s="130"/>
      <c r="AZ248" s="130"/>
      <c r="BA248" s="130"/>
      <c r="BB248" s="130"/>
      <c r="BC248" s="130"/>
      <c r="BD248" s="130"/>
      <c r="BE248" s="130"/>
      <c r="BF248" s="138">
        <f t="shared" si="24"/>
        <v>0</v>
      </c>
      <c r="BG248" s="138">
        <f t="shared" si="21"/>
        <v>0</v>
      </c>
      <c r="BH248" s="138">
        <f t="shared" si="22"/>
        <v>0</v>
      </c>
      <c r="BI248" s="149" t="s">
        <v>14</v>
      </c>
    </row>
    <row r="249" spans="1:77" s="151" customFormat="1" ht="52.5" customHeight="1">
      <c r="A249" s="139">
        <v>318</v>
      </c>
      <c r="B249" s="140" t="s">
        <v>932</v>
      </c>
      <c r="C249" s="139">
        <v>1</v>
      </c>
      <c r="D249" s="140" t="s">
        <v>148</v>
      </c>
      <c r="E249" s="139">
        <v>19</v>
      </c>
      <c r="F249" s="140" t="s">
        <v>755</v>
      </c>
      <c r="G249" s="139">
        <v>1906</v>
      </c>
      <c r="H249" s="140" t="s">
        <v>1073</v>
      </c>
      <c r="I249" s="139">
        <v>1906</v>
      </c>
      <c r="J249" s="140" t="s">
        <v>1074</v>
      </c>
      <c r="K249" s="140" t="s">
        <v>1093</v>
      </c>
      <c r="L249" s="139">
        <v>1906029</v>
      </c>
      <c r="M249" s="140" t="s">
        <v>1094</v>
      </c>
      <c r="N249" s="139">
        <v>1906029</v>
      </c>
      <c r="O249" s="140" t="s">
        <v>1094</v>
      </c>
      <c r="P249" s="145">
        <v>190602900</v>
      </c>
      <c r="Q249" s="142" t="s">
        <v>1095</v>
      </c>
      <c r="R249" s="145">
        <v>190602900</v>
      </c>
      <c r="S249" s="142" t="s">
        <v>1095</v>
      </c>
      <c r="T249" s="145" t="s">
        <v>69</v>
      </c>
      <c r="U249" s="145">
        <v>40</v>
      </c>
      <c r="V249" s="145"/>
      <c r="W249" s="145">
        <v>40</v>
      </c>
      <c r="X249" s="145">
        <v>12</v>
      </c>
      <c r="Y249" s="146">
        <v>2020003630138</v>
      </c>
      <c r="Z249" s="147" t="s">
        <v>1096</v>
      </c>
      <c r="AA249" s="140" t="s">
        <v>1097</v>
      </c>
      <c r="AB249" s="130"/>
      <c r="AC249" s="130"/>
      <c r="AD249" s="130"/>
      <c r="AE249" s="130"/>
      <c r="AF249" s="130"/>
      <c r="AG249" s="130"/>
      <c r="AH249" s="130"/>
      <c r="AI249" s="130"/>
      <c r="AJ249" s="130"/>
      <c r="AK249" s="148"/>
      <c r="AL249" s="148"/>
      <c r="AM249" s="148"/>
      <c r="AN249" s="130"/>
      <c r="AO249" s="130"/>
      <c r="AP249" s="130"/>
      <c r="AQ249" s="130"/>
      <c r="AR249" s="130"/>
      <c r="AS249" s="130"/>
      <c r="AT249" s="135">
        <v>150390000</v>
      </c>
      <c r="AU249" s="135">
        <v>47579999</v>
      </c>
      <c r="AV249" s="135">
        <v>18600000</v>
      </c>
      <c r="AW249" s="130"/>
      <c r="AX249" s="130"/>
      <c r="AY249" s="130"/>
      <c r="AZ249" s="130"/>
      <c r="BA249" s="130"/>
      <c r="BB249" s="130"/>
      <c r="BC249" s="130"/>
      <c r="BD249" s="130"/>
      <c r="BE249" s="130"/>
      <c r="BF249" s="138">
        <f t="shared" si="24"/>
        <v>150390000</v>
      </c>
      <c r="BG249" s="138">
        <f t="shared" si="21"/>
        <v>47579999</v>
      </c>
      <c r="BH249" s="138">
        <f t="shared" si="22"/>
        <v>18600000</v>
      </c>
      <c r="BI249" s="149" t="s">
        <v>14</v>
      </c>
    </row>
    <row r="250" spans="1:77" s="151" customFormat="1" ht="80.25" customHeight="1">
      <c r="A250" s="139">
        <v>318</v>
      </c>
      <c r="B250" s="140" t="s">
        <v>932</v>
      </c>
      <c r="C250" s="139">
        <v>1</v>
      </c>
      <c r="D250" s="140" t="s">
        <v>148</v>
      </c>
      <c r="E250" s="139">
        <v>19</v>
      </c>
      <c r="F250" s="140" t="s">
        <v>755</v>
      </c>
      <c r="G250" s="139">
        <v>1906</v>
      </c>
      <c r="H250" s="140" t="s">
        <v>1073</v>
      </c>
      <c r="I250" s="139">
        <v>1906</v>
      </c>
      <c r="J250" s="140" t="s">
        <v>1074</v>
      </c>
      <c r="K250" s="140" t="s">
        <v>1098</v>
      </c>
      <c r="L250" s="139">
        <v>1906005</v>
      </c>
      <c r="M250" s="140" t="s">
        <v>1099</v>
      </c>
      <c r="N250" s="139">
        <v>1906005</v>
      </c>
      <c r="O250" s="140" t="s">
        <v>1099</v>
      </c>
      <c r="P250" s="145">
        <v>190600500</v>
      </c>
      <c r="Q250" s="142" t="s">
        <v>1099</v>
      </c>
      <c r="R250" s="145">
        <v>190600500</v>
      </c>
      <c r="S250" s="142" t="s">
        <v>1099</v>
      </c>
      <c r="T250" s="145" t="s">
        <v>157</v>
      </c>
      <c r="U250" s="145">
        <v>3</v>
      </c>
      <c r="V250" s="145"/>
      <c r="W250" s="145">
        <v>3</v>
      </c>
      <c r="X250" s="145">
        <v>0</v>
      </c>
      <c r="Y250" s="146">
        <v>2020003630138</v>
      </c>
      <c r="Z250" s="147" t="s">
        <v>1096</v>
      </c>
      <c r="AA250" s="140" t="s">
        <v>1097</v>
      </c>
      <c r="AB250" s="130"/>
      <c r="AC250" s="130"/>
      <c r="AD250" s="130"/>
      <c r="AE250" s="130"/>
      <c r="AF250" s="130"/>
      <c r="AG250" s="130"/>
      <c r="AH250" s="130"/>
      <c r="AI250" s="130"/>
      <c r="AJ250" s="130"/>
      <c r="AK250" s="148"/>
      <c r="AL250" s="148"/>
      <c r="AM250" s="148"/>
      <c r="AN250" s="130"/>
      <c r="AO250" s="130"/>
      <c r="AP250" s="130"/>
      <c r="AQ250" s="130"/>
      <c r="AR250" s="130"/>
      <c r="AS250" s="130"/>
      <c r="AT250" s="135">
        <v>40000000</v>
      </c>
      <c r="AU250" s="135"/>
      <c r="AV250" s="135"/>
      <c r="AW250" s="130"/>
      <c r="AX250" s="130"/>
      <c r="AY250" s="130"/>
      <c r="AZ250" s="130"/>
      <c r="BA250" s="130"/>
      <c r="BB250" s="130"/>
      <c r="BC250" s="130"/>
      <c r="BD250" s="130"/>
      <c r="BE250" s="130"/>
      <c r="BF250" s="138">
        <f t="shared" si="24"/>
        <v>40000000</v>
      </c>
      <c r="BG250" s="138">
        <f t="shared" si="21"/>
        <v>0</v>
      </c>
      <c r="BH250" s="138">
        <f t="shared" si="22"/>
        <v>0</v>
      </c>
      <c r="BI250" s="149" t="s">
        <v>14</v>
      </c>
    </row>
    <row r="251" spans="1:77" s="151" customFormat="1" ht="60" customHeight="1">
      <c r="A251" s="139">
        <v>318</v>
      </c>
      <c r="B251" s="140" t="s">
        <v>932</v>
      </c>
      <c r="C251" s="139">
        <v>1</v>
      </c>
      <c r="D251" s="140" t="s">
        <v>148</v>
      </c>
      <c r="E251" s="139">
        <v>19</v>
      </c>
      <c r="F251" s="140" t="s">
        <v>755</v>
      </c>
      <c r="G251" s="139">
        <v>1906</v>
      </c>
      <c r="H251" s="140" t="s">
        <v>1073</v>
      </c>
      <c r="I251" s="139">
        <v>1906</v>
      </c>
      <c r="J251" s="140" t="s">
        <v>1074</v>
      </c>
      <c r="K251" s="140" t="s">
        <v>942</v>
      </c>
      <c r="L251" s="139">
        <v>1906022</v>
      </c>
      <c r="M251" s="140" t="s">
        <v>1100</v>
      </c>
      <c r="N251" s="139">
        <v>1906022</v>
      </c>
      <c r="O251" s="140" t="s">
        <v>1100</v>
      </c>
      <c r="P251" s="145">
        <v>190602200</v>
      </c>
      <c r="Q251" s="142" t="s">
        <v>1101</v>
      </c>
      <c r="R251" s="145">
        <v>190602200</v>
      </c>
      <c r="S251" s="142" t="s">
        <v>1101</v>
      </c>
      <c r="T251" s="145" t="s">
        <v>157</v>
      </c>
      <c r="U251" s="145" t="s">
        <v>256</v>
      </c>
      <c r="V251" s="145">
        <v>2</v>
      </c>
      <c r="W251" s="145">
        <v>2</v>
      </c>
      <c r="X251" s="145">
        <v>0</v>
      </c>
      <c r="Y251" s="146">
        <v>2020003630138</v>
      </c>
      <c r="Z251" s="147" t="s">
        <v>1096</v>
      </c>
      <c r="AA251" s="140" t="s">
        <v>1097</v>
      </c>
      <c r="AB251" s="130"/>
      <c r="AC251" s="130"/>
      <c r="AD251" s="130"/>
      <c r="AE251" s="130"/>
      <c r="AF251" s="130"/>
      <c r="AG251" s="130"/>
      <c r="AH251" s="130"/>
      <c r="AI251" s="130"/>
      <c r="AJ251" s="130"/>
      <c r="AK251" s="148"/>
      <c r="AL251" s="148"/>
      <c r="AM251" s="148"/>
      <c r="AN251" s="130"/>
      <c r="AO251" s="130"/>
      <c r="AP251" s="130"/>
      <c r="AQ251" s="130"/>
      <c r="AR251" s="130"/>
      <c r="AS251" s="130"/>
      <c r="AT251" s="135">
        <v>20000000</v>
      </c>
      <c r="AU251" s="135"/>
      <c r="AV251" s="135"/>
      <c r="AW251" s="130"/>
      <c r="AX251" s="130"/>
      <c r="AY251" s="130"/>
      <c r="AZ251" s="130"/>
      <c r="BA251" s="130"/>
      <c r="BB251" s="130"/>
      <c r="BC251" s="130"/>
      <c r="BD251" s="130"/>
      <c r="BE251" s="130"/>
      <c r="BF251" s="138">
        <f t="shared" si="24"/>
        <v>20000000</v>
      </c>
      <c r="BG251" s="138">
        <f t="shared" si="21"/>
        <v>0</v>
      </c>
      <c r="BH251" s="138">
        <f t="shared" si="22"/>
        <v>0</v>
      </c>
      <c r="BI251" s="149" t="s">
        <v>14</v>
      </c>
    </row>
    <row r="252" spans="1:77" s="151" customFormat="1" ht="38.25">
      <c r="A252" s="139">
        <v>318</v>
      </c>
      <c r="B252" s="140" t="s">
        <v>932</v>
      </c>
      <c r="C252" s="139">
        <v>1</v>
      </c>
      <c r="D252" s="140" t="s">
        <v>148</v>
      </c>
      <c r="E252" s="139">
        <v>19</v>
      </c>
      <c r="F252" s="140" t="s">
        <v>755</v>
      </c>
      <c r="G252" s="139">
        <v>1906</v>
      </c>
      <c r="H252" s="140" t="s">
        <v>1073</v>
      </c>
      <c r="I252" s="139">
        <v>1906</v>
      </c>
      <c r="J252" s="140" t="s">
        <v>1074</v>
      </c>
      <c r="K252" s="140" t="s">
        <v>1075</v>
      </c>
      <c r="L252" s="139" t="s">
        <v>61</v>
      </c>
      <c r="M252" s="140" t="s">
        <v>1082</v>
      </c>
      <c r="N252" s="139">
        <v>1906023</v>
      </c>
      <c r="O252" s="140" t="s">
        <v>1102</v>
      </c>
      <c r="P252" s="139" t="s">
        <v>61</v>
      </c>
      <c r="Q252" s="142" t="s">
        <v>1103</v>
      </c>
      <c r="R252" s="145">
        <v>190602301</v>
      </c>
      <c r="S252" s="142" t="s">
        <v>1084</v>
      </c>
      <c r="T252" s="145" t="s">
        <v>69</v>
      </c>
      <c r="U252" s="145">
        <v>40</v>
      </c>
      <c r="V252" s="145"/>
      <c r="W252" s="145">
        <v>40</v>
      </c>
      <c r="X252" s="145">
        <v>0</v>
      </c>
      <c r="Y252" s="146">
        <v>2020003630138</v>
      </c>
      <c r="Z252" s="147" t="s">
        <v>1096</v>
      </c>
      <c r="AA252" s="140" t="s">
        <v>1097</v>
      </c>
      <c r="AB252" s="130"/>
      <c r="AC252" s="130"/>
      <c r="AD252" s="130"/>
      <c r="AE252" s="130"/>
      <c r="AF252" s="130"/>
      <c r="AG252" s="130"/>
      <c r="AH252" s="130"/>
      <c r="AI252" s="130"/>
      <c r="AJ252" s="130"/>
      <c r="AK252" s="148"/>
      <c r="AL252" s="148"/>
      <c r="AM252" s="148"/>
      <c r="AN252" s="130"/>
      <c r="AO252" s="130"/>
      <c r="AP252" s="130"/>
      <c r="AQ252" s="130"/>
      <c r="AR252" s="130"/>
      <c r="AS252" s="130"/>
      <c r="AT252" s="135">
        <v>20000000</v>
      </c>
      <c r="AU252" s="135"/>
      <c r="AV252" s="135"/>
      <c r="AW252" s="130"/>
      <c r="AX252" s="130"/>
      <c r="AY252" s="130"/>
      <c r="AZ252" s="130"/>
      <c r="BA252" s="130"/>
      <c r="BB252" s="130"/>
      <c r="BC252" s="130"/>
      <c r="BD252" s="130"/>
      <c r="BE252" s="130"/>
      <c r="BF252" s="138">
        <f t="shared" si="24"/>
        <v>20000000</v>
      </c>
      <c r="BG252" s="138">
        <f t="shared" si="21"/>
        <v>0</v>
      </c>
      <c r="BH252" s="138">
        <f t="shared" si="22"/>
        <v>0</v>
      </c>
      <c r="BI252" s="149" t="s">
        <v>14</v>
      </c>
    </row>
    <row r="253" spans="1:77" s="151" customFormat="1" ht="58.5" customHeight="1">
      <c r="A253" s="139">
        <v>318</v>
      </c>
      <c r="B253" s="140" t="s">
        <v>932</v>
      </c>
      <c r="C253" s="139">
        <v>1</v>
      </c>
      <c r="D253" s="140" t="s">
        <v>148</v>
      </c>
      <c r="E253" s="139">
        <v>19</v>
      </c>
      <c r="F253" s="140" t="s">
        <v>755</v>
      </c>
      <c r="G253" s="139">
        <v>1903</v>
      </c>
      <c r="H253" s="140" t="s">
        <v>933</v>
      </c>
      <c r="I253" s="139">
        <v>1903</v>
      </c>
      <c r="J253" s="140" t="s">
        <v>934</v>
      </c>
      <c r="K253" s="140" t="s">
        <v>1001</v>
      </c>
      <c r="L253" s="139">
        <v>1903015</v>
      </c>
      <c r="M253" s="140" t="s">
        <v>1104</v>
      </c>
      <c r="N253" s="139">
        <v>1903015</v>
      </c>
      <c r="O253" s="140" t="s">
        <v>1104</v>
      </c>
      <c r="P253" s="145">
        <v>190301500</v>
      </c>
      <c r="Q253" s="141" t="s">
        <v>1105</v>
      </c>
      <c r="R253" s="145">
        <v>190301500</v>
      </c>
      <c r="S253" s="142" t="s">
        <v>1105</v>
      </c>
      <c r="T253" s="145" t="s">
        <v>69</v>
      </c>
      <c r="U253" s="145">
        <v>12</v>
      </c>
      <c r="V253" s="145"/>
      <c r="W253" s="145">
        <v>12</v>
      </c>
      <c r="X253" s="145">
        <v>12</v>
      </c>
      <c r="Y253" s="146">
        <v>2020003630117</v>
      </c>
      <c r="Z253" s="140" t="s">
        <v>967</v>
      </c>
      <c r="AA253" s="140" t="s">
        <v>968</v>
      </c>
      <c r="AB253" s="130"/>
      <c r="AC253" s="130"/>
      <c r="AD253" s="130"/>
      <c r="AE253" s="130"/>
      <c r="AF253" s="130"/>
      <c r="AG253" s="130"/>
      <c r="AH253" s="130">
        <v>122500000</v>
      </c>
      <c r="AI253" s="130">
        <v>70519332</v>
      </c>
      <c r="AJ253" s="130">
        <v>22800000</v>
      </c>
      <c r="AK253" s="130"/>
      <c r="AL253" s="130"/>
      <c r="AM253" s="130"/>
      <c r="AN253" s="130"/>
      <c r="AO253" s="130"/>
      <c r="AP253" s="130"/>
      <c r="AQ253" s="130"/>
      <c r="AR253" s="130"/>
      <c r="AS253" s="130"/>
      <c r="AT253" s="135">
        <v>75000000</v>
      </c>
      <c r="AU253" s="135">
        <v>15410000</v>
      </c>
      <c r="AV253" s="135">
        <v>5300000</v>
      </c>
      <c r="AW253" s="130"/>
      <c r="AX253" s="130"/>
      <c r="AY253" s="130"/>
      <c r="AZ253" s="130"/>
      <c r="BA253" s="130"/>
      <c r="BB253" s="130"/>
      <c r="BC253" s="130"/>
      <c r="BD253" s="130"/>
      <c r="BE253" s="130"/>
      <c r="BF253" s="138">
        <f t="shared" si="24"/>
        <v>197500000</v>
      </c>
      <c r="BG253" s="138">
        <f t="shared" si="21"/>
        <v>85929332</v>
      </c>
      <c r="BH253" s="138">
        <f t="shared" si="22"/>
        <v>28100000</v>
      </c>
      <c r="BI253" s="149" t="s">
        <v>14</v>
      </c>
    </row>
    <row r="254" spans="1:77" s="151" customFormat="1" ht="59.25" customHeight="1">
      <c r="A254" s="139">
        <v>318</v>
      </c>
      <c r="B254" s="140" t="s">
        <v>932</v>
      </c>
      <c r="C254" s="139">
        <v>1</v>
      </c>
      <c r="D254" s="140" t="s">
        <v>148</v>
      </c>
      <c r="E254" s="139">
        <v>19</v>
      </c>
      <c r="F254" s="140" t="s">
        <v>755</v>
      </c>
      <c r="G254" s="139">
        <v>1905</v>
      </c>
      <c r="H254" s="140" t="s">
        <v>756</v>
      </c>
      <c r="I254" s="139">
        <v>1905</v>
      </c>
      <c r="J254" s="140" t="s">
        <v>1004</v>
      </c>
      <c r="K254" s="140" t="s">
        <v>1001</v>
      </c>
      <c r="L254" s="139" t="s">
        <v>61</v>
      </c>
      <c r="M254" s="140" t="s">
        <v>1106</v>
      </c>
      <c r="N254" s="139">
        <v>1905015</v>
      </c>
      <c r="O254" s="140" t="s">
        <v>253</v>
      </c>
      <c r="P254" s="139" t="s">
        <v>61</v>
      </c>
      <c r="Q254" s="142" t="s">
        <v>1107</v>
      </c>
      <c r="R254" s="139" t="s">
        <v>1108</v>
      </c>
      <c r="S254" s="142" t="s">
        <v>1109</v>
      </c>
      <c r="T254" s="145" t="s">
        <v>69</v>
      </c>
      <c r="U254" s="145">
        <v>1</v>
      </c>
      <c r="V254" s="145"/>
      <c r="W254" s="145">
        <v>1</v>
      </c>
      <c r="X254" s="145">
        <v>0.3</v>
      </c>
      <c r="Y254" s="146">
        <v>2020003630125</v>
      </c>
      <c r="Z254" s="140" t="s">
        <v>1042</v>
      </c>
      <c r="AA254" s="140" t="s">
        <v>1043</v>
      </c>
      <c r="AB254" s="130"/>
      <c r="AC254" s="130"/>
      <c r="AD254" s="130"/>
      <c r="AE254" s="130"/>
      <c r="AF254" s="130"/>
      <c r="AG254" s="130"/>
      <c r="AH254" s="135">
        <v>25000000</v>
      </c>
      <c r="AI254" s="135">
        <v>6600000</v>
      </c>
      <c r="AJ254" s="135">
        <v>3200000</v>
      </c>
      <c r="AK254" s="130"/>
      <c r="AL254" s="130"/>
      <c r="AM254" s="130"/>
      <c r="AN254" s="130"/>
      <c r="AO254" s="130"/>
      <c r="AP254" s="130"/>
      <c r="AQ254" s="130"/>
      <c r="AR254" s="130"/>
      <c r="AS254" s="130"/>
      <c r="AT254" s="135">
        <v>75000000</v>
      </c>
      <c r="AU254" s="135">
        <v>23556666</v>
      </c>
      <c r="AV254" s="135">
        <v>9600000</v>
      </c>
      <c r="AW254" s="130"/>
      <c r="AX254" s="130"/>
      <c r="AY254" s="130"/>
      <c r="AZ254" s="130"/>
      <c r="BA254" s="130"/>
      <c r="BB254" s="130"/>
      <c r="BC254" s="130"/>
      <c r="BD254" s="130"/>
      <c r="BE254" s="130"/>
      <c r="BF254" s="138">
        <f t="shared" si="24"/>
        <v>100000000</v>
      </c>
      <c r="BG254" s="138">
        <f t="shared" si="21"/>
        <v>30156666</v>
      </c>
      <c r="BH254" s="138">
        <f t="shared" si="22"/>
        <v>12800000</v>
      </c>
      <c r="BI254" s="149" t="s">
        <v>14</v>
      </c>
    </row>
    <row r="255" spans="1:77" s="151" customFormat="1" ht="77.25" customHeight="1">
      <c r="A255" s="139">
        <v>318</v>
      </c>
      <c r="B255" s="140" t="s">
        <v>932</v>
      </c>
      <c r="C255" s="139">
        <v>1</v>
      </c>
      <c r="D255" s="140" t="s">
        <v>148</v>
      </c>
      <c r="E255" s="139">
        <v>19</v>
      </c>
      <c r="F255" s="140" t="s">
        <v>755</v>
      </c>
      <c r="G255" s="139">
        <v>1905</v>
      </c>
      <c r="H255" s="140" t="s">
        <v>756</v>
      </c>
      <c r="I255" s="139">
        <v>1905</v>
      </c>
      <c r="J255" s="140" t="s">
        <v>1004</v>
      </c>
      <c r="K255" s="140" t="s">
        <v>1110</v>
      </c>
      <c r="L255" s="139">
        <v>1905023</v>
      </c>
      <c r="M255" s="140" t="s">
        <v>1111</v>
      </c>
      <c r="N255" s="139">
        <v>1905023</v>
      </c>
      <c r="O255" s="140" t="s">
        <v>1111</v>
      </c>
      <c r="P255" s="145">
        <v>190502300</v>
      </c>
      <c r="Q255" s="142" t="s">
        <v>1112</v>
      </c>
      <c r="R255" s="145">
        <v>190502300</v>
      </c>
      <c r="S255" s="142" t="s">
        <v>1112</v>
      </c>
      <c r="T255" s="145" t="s">
        <v>69</v>
      </c>
      <c r="U255" s="145">
        <v>12</v>
      </c>
      <c r="V255" s="145"/>
      <c r="W255" s="145">
        <v>12</v>
      </c>
      <c r="X255" s="145">
        <v>12</v>
      </c>
      <c r="Y255" s="146">
        <v>2020003630126</v>
      </c>
      <c r="Z255" s="141" t="s">
        <v>1044</v>
      </c>
      <c r="AA255" s="140" t="s">
        <v>1045</v>
      </c>
      <c r="AB255" s="130"/>
      <c r="AC255" s="130"/>
      <c r="AD255" s="130"/>
      <c r="AE255" s="130"/>
      <c r="AF255" s="130"/>
      <c r="AG255" s="130"/>
      <c r="AH255" s="135">
        <v>55000000</v>
      </c>
      <c r="AI255" s="135">
        <v>29200000</v>
      </c>
      <c r="AJ255" s="135">
        <v>18100000</v>
      </c>
      <c r="AK255" s="130"/>
      <c r="AL255" s="130"/>
      <c r="AM255" s="130"/>
      <c r="AN255" s="130"/>
      <c r="AO255" s="130"/>
      <c r="AP255" s="130"/>
      <c r="AQ255" s="130"/>
      <c r="AR255" s="130"/>
      <c r="AS255" s="130"/>
      <c r="AT255" s="135">
        <v>45000000</v>
      </c>
      <c r="AU255" s="135">
        <v>23950000</v>
      </c>
      <c r="AV255" s="135">
        <v>5200000</v>
      </c>
      <c r="AW255" s="130"/>
      <c r="AX255" s="130"/>
      <c r="AY255" s="130"/>
      <c r="AZ255" s="130"/>
      <c r="BA255" s="130"/>
      <c r="BB255" s="130"/>
      <c r="BC255" s="130"/>
      <c r="BD255" s="130"/>
      <c r="BE255" s="130"/>
      <c r="BF255" s="138">
        <f t="shared" si="24"/>
        <v>100000000</v>
      </c>
      <c r="BG255" s="138">
        <f t="shared" si="21"/>
        <v>53150000</v>
      </c>
      <c r="BH255" s="138">
        <f t="shared" si="22"/>
        <v>23300000</v>
      </c>
      <c r="BI255" s="149" t="s">
        <v>14</v>
      </c>
    </row>
    <row r="256" spans="1:77" s="151" customFormat="1" ht="122.25" customHeight="1">
      <c r="A256" s="139">
        <v>318</v>
      </c>
      <c r="B256" s="140" t="s">
        <v>932</v>
      </c>
      <c r="C256" s="139">
        <v>1</v>
      </c>
      <c r="D256" s="140" t="s">
        <v>148</v>
      </c>
      <c r="E256" s="139">
        <v>19</v>
      </c>
      <c r="F256" s="140" t="s">
        <v>755</v>
      </c>
      <c r="G256" s="139">
        <v>1905</v>
      </c>
      <c r="H256" s="140" t="s">
        <v>756</v>
      </c>
      <c r="I256" s="139">
        <v>1905</v>
      </c>
      <c r="J256" s="140" t="s">
        <v>1004</v>
      </c>
      <c r="K256" s="140" t="s">
        <v>1050</v>
      </c>
      <c r="L256" s="139">
        <v>1905026</v>
      </c>
      <c r="M256" s="140" t="s">
        <v>1051</v>
      </c>
      <c r="N256" s="139">
        <v>1905026</v>
      </c>
      <c r="O256" s="140" t="s">
        <v>1051</v>
      </c>
      <c r="P256" s="145">
        <v>190502600</v>
      </c>
      <c r="Q256" s="142" t="s">
        <v>1052</v>
      </c>
      <c r="R256" s="145">
        <v>190502600</v>
      </c>
      <c r="S256" s="142" t="s">
        <v>1052</v>
      </c>
      <c r="T256" s="143" t="s">
        <v>69</v>
      </c>
      <c r="U256" s="139">
        <v>12</v>
      </c>
      <c r="V256" s="139"/>
      <c r="W256" s="145">
        <v>12</v>
      </c>
      <c r="X256" s="145">
        <v>3</v>
      </c>
      <c r="Y256" s="146">
        <v>2020003630128</v>
      </c>
      <c r="Z256" s="140" t="s">
        <v>1057</v>
      </c>
      <c r="AA256" s="140" t="s">
        <v>1058</v>
      </c>
      <c r="AB256" s="130"/>
      <c r="AC256" s="130"/>
      <c r="AD256" s="130"/>
      <c r="AE256" s="130"/>
      <c r="AF256" s="130"/>
      <c r="AG256" s="130"/>
      <c r="AH256" s="130">
        <v>15000000</v>
      </c>
      <c r="AI256" s="130"/>
      <c r="AJ256" s="130"/>
      <c r="AK256" s="130"/>
      <c r="AL256" s="130"/>
      <c r="AM256" s="130"/>
      <c r="AN256" s="273"/>
      <c r="AO256" s="273"/>
      <c r="AP256" s="273"/>
      <c r="AQ256" s="130"/>
      <c r="AR256" s="130"/>
      <c r="AS256" s="130"/>
      <c r="AT256" s="130">
        <v>230000000</v>
      </c>
      <c r="AU256" s="130">
        <v>104068840</v>
      </c>
      <c r="AV256" s="130">
        <v>98202174</v>
      </c>
      <c r="AW256" s="130"/>
      <c r="AX256" s="130"/>
      <c r="AY256" s="130"/>
      <c r="AZ256" s="130"/>
      <c r="BA256" s="130"/>
      <c r="BB256" s="130"/>
      <c r="BC256" s="130">
        <v>241380734</v>
      </c>
      <c r="BD256" s="130"/>
      <c r="BE256" s="130"/>
      <c r="BF256" s="138">
        <f t="shared" si="24"/>
        <v>486380734</v>
      </c>
      <c r="BG256" s="138">
        <f t="shared" si="21"/>
        <v>104068840</v>
      </c>
      <c r="BH256" s="138">
        <f t="shared" si="22"/>
        <v>98202174</v>
      </c>
      <c r="BI256" s="149" t="s">
        <v>14</v>
      </c>
    </row>
    <row r="257" spans="1:61" s="151" customFormat="1" ht="120" customHeight="1">
      <c r="A257" s="139">
        <v>318</v>
      </c>
      <c r="B257" s="140" t="s">
        <v>932</v>
      </c>
      <c r="C257" s="139">
        <v>1</v>
      </c>
      <c r="D257" s="140" t="s">
        <v>148</v>
      </c>
      <c r="E257" s="139">
        <v>19</v>
      </c>
      <c r="F257" s="140" t="s">
        <v>755</v>
      </c>
      <c r="G257" s="139">
        <v>1905</v>
      </c>
      <c r="H257" s="140" t="s">
        <v>756</v>
      </c>
      <c r="I257" s="139">
        <v>1905</v>
      </c>
      <c r="J257" s="140" t="s">
        <v>1004</v>
      </c>
      <c r="K257" s="140" t="s">
        <v>1050</v>
      </c>
      <c r="L257" s="145">
        <v>1905026</v>
      </c>
      <c r="M257" s="140" t="s">
        <v>1113</v>
      </c>
      <c r="N257" s="139">
        <v>1905026</v>
      </c>
      <c r="O257" s="140" t="s">
        <v>1113</v>
      </c>
      <c r="P257" s="145">
        <v>190502600</v>
      </c>
      <c r="Q257" s="142" t="s">
        <v>1052</v>
      </c>
      <c r="R257" s="145">
        <v>190502600</v>
      </c>
      <c r="S257" s="142" t="s">
        <v>1052</v>
      </c>
      <c r="T257" s="143" t="s">
        <v>69</v>
      </c>
      <c r="U257" s="139">
        <v>12</v>
      </c>
      <c r="V257" s="139"/>
      <c r="W257" s="145">
        <v>12</v>
      </c>
      <c r="X257" s="145">
        <v>8</v>
      </c>
      <c r="Y257" s="146">
        <v>2020003630129</v>
      </c>
      <c r="Z257" s="140" t="s">
        <v>1059</v>
      </c>
      <c r="AA257" s="140" t="s">
        <v>1060</v>
      </c>
      <c r="AB257" s="130"/>
      <c r="AC257" s="130"/>
      <c r="AD257" s="130"/>
      <c r="AE257" s="130"/>
      <c r="AF257" s="130"/>
      <c r="AG257" s="130"/>
      <c r="AH257" s="130"/>
      <c r="AI257" s="130"/>
      <c r="AJ257" s="130"/>
      <c r="AK257" s="130"/>
      <c r="AL257" s="130"/>
      <c r="AM257" s="130"/>
      <c r="AN257" s="130"/>
      <c r="AO257" s="130"/>
      <c r="AP257" s="130"/>
      <c r="AQ257" s="130"/>
      <c r="AR257" s="130"/>
      <c r="AS257" s="130"/>
      <c r="AT257" s="135">
        <v>40000000</v>
      </c>
      <c r="AU257" s="135">
        <v>21453333</v>
      </c>
      <c r="AV257" s="135">
        <v>9600000</v>
      </c>
      <c r="AW257" s="130"/>
      <c r="AX257" s="130"/>
      <c r="AY257" s="130"/>
      <c r="AZ257" s="130"/>
      <c r="BA257" s="130"/>
      <c r="BB257" s="130"/>
      <c r="BC257" s="130">
        <v>88356873</v>
      </c>
      <c r="BD257" s="130"/>
      <c r="BE257" s="130"/>
      <c r="BF257" s="138">
        <f t="shared" si="24"/>
        <v>128356873</v>
      </c>
      <c r="BG257" s="138">
        <f t="shared" si="21"/>
        <v>21453333</v>
      </c>
      <c r="BH257" s="138">
        <f t="shared" si="22"/>
        <v>9600000</v>
      </c>
      <c r="BI257" s="149" t="s">
        <v>14</v>
      </c>
    </row>
    <row r="258" spans="1:61" s="151" customFormat="1" ht="121.5" customHeight="1">
      <c r="A258" s="139">
        <v>318</v>
      </c>
      <c r="B258" s="140" t="s">
        <v>932</v>
      </c>
      <c r="C258" s="139">
        <v>1</v>
      </c>
      <c r="D258" s="140" t="s">
        <v>148</v>
      </c>
      <c r="E258" s="139">
        <v>19</v>
      </c>
      <c r="F258" s="140" t="s">
        <v>755</v>
      </c>
      <c r="G258" s="139">
        <v>1905</v>
      </c>
      <c r="H258" s="140" t="s">
        <v>756</v>
      </c>
      <c r="I258" s="139">
        <v>1905</v>
      </c>
      <c r="J258" s="140" t="s">
        <v>1004</v>
      </c>
      <c r="K258" s="140" t="s">
        <v>1050</v>
      </c>
      <c r="L258" s="139">
        <v>1905026</v>
      </c>
      <c r="M258" s="140" t="s">
        <v>1051</v>
      </c>
      <c r="N258" s="139">
        <v>1905026</v>
      </c>
      <c r="O258" s="140" t="s">
        <v>1051</v>
      </c>
      <c r="P258" s="145">
        <v>190502600</v>
      </c>
      <c r="Q258" s="142" t="s">
        <v>1052</v>
      </c>
      <c r="R258" s="145">
        <v>190502600</v>
      </c>
      <c r="S258" s="142" t="s">
        <v>1052</v>
      </c>
      <c r="T258" s="143" t="s">
        <v>69</v>
      </c>
      <c r="U258" s="139">
        <v>12</v>
      </c>
      <c r="V258" s="139"/>
      <c r="W258" s="145">
        <v>12</v>
      </c>
      <c r="X258" s="145">
        <v>0</v>
      </c>
      <c r="Y258" s="146">
        <v>2020003630130</v>
      </c>
      <c r="Z258" s="147" t="s">
        <v>1114</v>
      </c>
      <c r="AA258" s="140" t="s">
        <v>1115</v>
      </c>
      <c r="AB258" s="130"/>
      <c r="AC258" s="130"/>
      <c r="AD258" s="130"/>
      <c r="AE258" s="130"/>
      <c r="AF258" s="130"/>
      <c r="AG258" s="130"/>
      <c r="AH258" s="130"/>
      <c r="AI258" s="130"/>
      <c r="AJ258" s="130"/>
      <c r="AK258" s="138"/>
      <c r="AL258" s="138"/>
      <c r="AM258" s="138"/>
      <c r="AN258" s="130"/>
      <c r="AO258" s="130"/>
      <c r="AP258" s="130"/>
      <c r="AQ258" s="130"/>
      <c r="AR258" s="130"/>
      <c r="AS258" s="130"/>
      <c r="AT258" s="135">
        <v>50000000</v>
      </c>
      <c r="AU258" s="135"/>
      <c r="AV258" s="135"/>
      <c r="AW258" s="130"/>
      <c r="AX258" s="130"/>
      <c r="AY258" s="130"/>
      <c r="AZ258" s="130"/>
      <c r="BA258" s="130"/>
      <c r="BB258" s="130"/>
      <c r="BC258" s="130"/>
      <c r="BD258" s="130"/>
      <c r="BE258" s="130"/>
      <c r="BF258" s="138">
        <f t="shared" si="24"/>
        <v>50000000</v>
      </c>
      <c r="BG258" s="138">
        <f t="shared" si="21"/>
        <v>0</v>
      </c>
      <c r="BH258" s="138">
        <f t="shared" si="22"/>
        <v>0</v>
      </c>
      <c r="BI258" s="149" t="s">
        <v>14</v>
      </c>
    </row>
    <row r="259" spans="1:61" s="151" customFormat="1" ht="73.5" customHeight="1">
      <c r="A259" s="139">
        <v>318</v>
      </c>
      <c r="B259" s="140" t="s">
        <v>932</v>
      </c>
      <c r="C259" s="139">
        <v>1</v>
      </c>
      <c r="D259" s="140" t="s">
        <v>148</v>
      </c>
      <c r="E259" s="139">
        <v>19</v>
      </c>
      <c r="F259" s="140" t="s">
        <v>755</v>
      </c>
      <c r="G259" s="139">
        <v>1905</v>
      </c>
      <c r="H259" s="140" t="s">
        <v>756</v>
      </c>
      <c r="I259" s="139">
        <v>1905</v>
      </c>
      <c r="J259" s="140" t="s">
        <v>1004</v>
      </c>
      <c r="K259" s="140" t="s">
        <v>957</v>
      </c>
      <c r="L259" s="139">
        <v>1905029</v>
      </c>
      <c r="M259" s="140" t="s">
        <v>1116</v>
      </c>
      <c r="N259" s="139">
        <v>1905030</v>
      </c>
      <c r="O259" s="140" t="s">
        <v>1117</v>
      </c>
      <c r="P259" s="145">
        <v>190502900</v>
      </c>
      <c r="Q259" s="142" t="s">
        <v>1118</v>
      </c>
      <c r="R259" s="145">
        <v>190503000</v>
      </c>
      <c r="S259" s="142" t="s">
        <v>1118</v>
      </c>
      <c r="T259" s="145" t="s">
        <v>69</v>
      </c>
      <c r="U259" s="145">
        <v>60</v>
      </c>
      <c r="V259" s="145"/>
      <c r="W259" s="145">
        <v>60</v>
      </c>
      <c r="X259" s="145">
        <v>60</v>
      </c>
      <c r="Y259" s="146">
        <v>2020003630131</v>
      </c>
      <c r="Z259" s="147" t="s">
        <v>1119</v>
      </c>
      <c r="AA259" s="140" t="s">
        <v>1120</v>
      </c>
      <c r="AB259" s="130"/>
      <c r="AC259" s="130"/>
      <c r="AD259" s="130"/>
      <c r="AE259" s="130"/>
      <c r="AF259" s="130"/>
      <c r="AG259" s="130"/>
      <c r="AH259" s="130">
        <v>12500000</v>
      </c>
      <c r="AI259" s="130">
        <v>8533333</v>
      </c>
      <c r="AJ259" s="130"/>
      <c r="AK259" s="130"/>
      <c r="AL259" s="130"/>
      <c r="AM259" s="130"/>
      <c r="AN259" s="130"/>
      <c r="AO259" s="130"/>
      <c r="AP259" s="130"/>
      <c r="AQ259" s="130"/>
      <c r="AR259" s="130"/>
      <c r="AS259" s="130"/>
      <c r="AT259" s="135">
        <v>25000000</v>
      </c>
      <c r="AU259" s="135"/>
      <c r="AV259" s="135"/>
      <c r="AW259" s="130"/>
      <c r="AX259" s="130"/>
      <c r="AY259" s="130"/>
      <c r="AZ259" s="130"/>
      <c r="BA259" s="130"/>
      <c r="BB259" s="130"/>
      <c r="BC259" s="130"/>
      <c r="BD259" s="130"/>
      <c r="BE259" s="130"/>
      <c r="BF259" s="138">
        <f t="shared" si="24"/>
        <v>37500000</v>
      </c>
      <c r="BG259" s="138">
        <f t="shared" si="21"/>
        <v>8533333</v>
      </c>
      <c r="BH259" s="138">
        <f t="shared" si="22"/>
        <v>0</v>
      </c>
      <c r="BI259" s="149" t="s">
        <v>14</v>
      </c>
    </row>
    <row r="260" spans="1:61" s="151" customFormat="1" ht="66.75" customHeight="1">
      <c r="A260" s="139">
        <v>318</v>
      </c>
      <c r="B260" s="140" t="s">
        <v>932</v>
      </c>
      <c r="C260" s="139">
        <v>1</v>
      </c>
      <c r="D260" s="140" t="s">
        <v>148</v>
      </c>
      <c r="E260" s="139">
        <v>19</v>
      </c>
      <c r="F260" s="140" t="s">
        <v>755</v>
      </c>
      <c r="G260" s="139">
        <v>1905</v>
      </c>
      <c r="H260" s="140" t="s">
        <v>756</v>
      </c>
      <c r="I260" s="139">
        <v>1905</v>
      </c>
      <c r="J260" s="140" t="s">
        <v>1004</v>
      </c>
      <c r="K260" s="140" t="s">
        <v>990</v>
      </c>
      <c r="L260" s="139">
        <v>1905025</v>
      </c>
      <c r="M260" s="140" t="s">
        <v>1121</v>
      </c>
      <c r="N260" s="139">
        <v>1905025</v>
      </c>
      <c r="O260" s="140" t="s">
        <v>1121</v>
      </c>
      <c r="P260" s="145">
        <v>190502500</v>
      </c>
      <c r="Q260" s="142" t="s">
        <v>1122</v>
      </c>
      <c r="R260" s="145">
        <v>190502500</v>
      </c>
      <c r="S260" s="142" t="s">
        <v>1122</v>
      </c>
      <c r="T260" s="145" t="s">
        <v>69</v>
      </c>
      <c r="U260" s="145">
        <v>12</v>
      </c>
      <c r="V260" s="145"/>
      <c r="W260" s="145">
        <f>U260+V260</f>
        <v>12</v>
      </c>
      <c r="X260" s="145">
        <v>12</v>
      </c>
      <c r="Y260" s="146">
        <v>2020003630132</v>
      </c>
      <c r="Z260" s="147" t="s">
        <v>1123</v>
      </c>
      <c r="AA260" s="140" t="s">
        <v>1124</v>
      </c>
      <c r="AB260" s="130"/>
      <c r="AC260" s="130"/>
      <c r="AD260" s="130"/>
      <c r="AE260" s="130"/>
      <c r="AF260" s="130"/>
      <c r="AG260" s="130"/>
      <c r="AH260" s="130">
        <f>90000000/2</f>
        <v>45000000</v>
      </c>
      <c r="AI260" s="130">
        <v>34386666</v>
      </c>
      <c r="AJ260" s="130">
        <v>12050000</v>
      </c>
      <c r="AK260" s="130"/>
      <c r="AL260" s="130"/>
      <c r="AM260" s="130"/>
      <c r="AN260" s="130"/>
      <c r="AO260" s="130"/>
      <c r="AP260" s="130"/>
      <c r="AQ260" s="130"/>
      <c r="AR260" s="130"/>
      <c r="AS260" s="130"/>
      <c r="AT260" s="135">
        <v>40000000</v>
      </c>
      <c r="AU260" s="135"/>
      <c r="AV260" s="135"/>
      <c r="AW260" s="130"/>
      <c r="AX260" s="130"/>
      <c r="AY260" s="130"/>
      <c r="AZ260" s="130"/>
      <c r="BA260" s="130"/>
      <c r="BB260" s="130"/>
      <c r="BC260" s="130"/>
      <c r="BD260" s="130"/>
      <c r="BE260" s="130"/>
      <c r="BF260" s="138">
        <f t="shared" si="24"/>
        <v>85000000</v>
      </c>
      <c r="BG260" s="138">
        <f t="shared" si="21"/>
        <v>34386666</v>
      </c>
      <c r="BH260" s="138">
        <f t="shared" si="22"/>
        <v>12050000</v>
      </c>
      <c r="BI260" s="149" t="s">
        <v>14</v>
      </c>
    </row>
    <row r="261" spans="1:61" s="151" customFormat="1" ht="69.75" customHeight="1">
      <c r="A261" s="139">
        <v>324</v>
      </c>
      <c r="B261" s="140" t="s">
        <v>1125</v>
      </c>
      <c r="C261" s="139">
        <v>1</v>
      </c>
      <c r="D261" s="140" t="s">
        <v>148</v>
      </c>
      <c r="E261" s="139">
        <v>23</v>
      </c>
      <c r="F261" s="140" t="s">
        <v>1126</v>
      </c>
      <c r="G261" s="139">
        <v>2301</v>
      </c>
      <c r="H261" s="140" t="s">
        <v>1127</v>
      </c>
      <c r="I261" s="139">
        <v>2301</v>
      </c>
      <c r="J261" s="140" t="s">
        <v>1128</v>
      </c>
      <c r="K261" s="140" t="s">
        <v>1129</v>
      </c>
      <c r="L261" s="139">
        <v>2301024</v>
      </c>
      <c r="M261" s="140" t="s">
        <v>1130</v>
      </c>
      <c r="N261" s="139">
        <v>2301024</v>
      </c>
      <c r="O261" s="140" t="s">
        <v>1130</v>
      </c>
      <c r="P261" s="145">
        <v>230102401</v>
      </c>
      <c r="Q261" s="142" t="s">
        <v>1131</v>
      </c>
      <c r="R261" s="145">
        <v>230102401</v>
      </c>
      <c r="S261" s="142" t="s">
        <v>1131</v>
      </c>
      <c r="T261" s="143" t="s">
        <v>69</v>
      </c>
      <c r="U261" s="145">
        <v>15</v>
      </c>
      <c r="V261" s="145"/>
      <c r="W261" s="145">
        <f t="shared" ref="W261" si="25">U261+V261</f>
        <v>15</v>
      </c>
      <c r="X261" s="145">
        <v>15</v>
      </c>
      <c r="Y261" s="146">
        <v>2020003630038</v>
      </c>
      <c r="Z261" s="147" t="s">
        <v>1132</v>
      </c>
      <c r="AA261" s="140" t="s">
        <v>1133</v>
      </c>
      <c r="AB261" s="130"/>
      <c r="AC261" s="130"/>
      <c r="AD261" s="130"/>
      <c r="AE261" s="138"/>
      <c r="AF261" s="138"/>
      <c r="AG261" s="138"/>
      <c r="AH261" s="138"/>
      <c r="AI261" s="138"/>
      <c r="AJ261" s="138"/>
      <c r="AK261" s="138"/>
      <c r="AL261" s="138"/>
      <c r="AM261" s="138"/>
      <c r="AN261" s="138"/>
      <c r="AO261" s="138"/>
      <c r="AP261" s="138"/>
      <c r="AQ261" s="138"/>
      <c r="AR261" s="138"/>
      <c r="AS261" s="138"/>
      <c r="AT261" s="138">
        <f>18000000+6000000+36000000</f>
        <v>60000000</v>
      </c>
      <c r="AU261" s="138">
        <v>29400000</v>
      </c>
      <c r="AV261" s="138">
        <v>11200000</v>
      </c>
      <c r="AW261" s="138"/>
      <c r="AX261" s="138"/>
      <c r="AY261" s="138"/>
      <c r="AZ261" s="138"/>
      <c r="BA261" s="138"/>
      <c r="BB261" s="138"/>
      <c r="BC261" s="138"/>
      <c r="BD261" s="138"/>
      <c r="BE261" s="138"/>
      <c r="BF261" s="138">
        <f t="shared" si="20"/>
        <v>60000000</v>
      </c>
      <c r="BG261" s="138">
        <f t="shared" si="21"/>
        <v>29400000</v>
      </c>
      <c r="BH261" s="138">
        <f t="shared" si="22"/>
        <v>11200000</v>
      </c>
      <c r="BI261" s="149" t="s">
        <v>13</v>
      </c>
    </row>
    <row r="262" spans="1:61" s="151" customFormat="1" ht="77.25" customHeight="1">
      <c r="A262" s="139">
        <v>324</v>
      </c>
      <c r="B262" s="140" t="s">
        <v>1125</v>
      </c>
      <c r="C262" s="139">
        <v>1</v>
      </c>
      <c r="D262" s="140" t="s">
        <v>148</v>
      </c>
      <c r="E262" s="139">
        <v>23</v>
      </c>
      <c r="F262" s="140" t="s">
        <v>1126</v>
      </c>
      <c r="G262" s="139">
        <v>2301</v>
      </c>
      <c r="H262" s="140" t="s">
        <v>1127</v>
      </c>
      <c r="I262" s="139">
        <v>2301</v>
      </c>
      <c r="J262" s="140" t="s">
        <v>1128</v>
      </c>
      <c r="K262" s="140" t="s">
        <v>1129</v>
      </c>
      <c r="L262" s="139">
        <v>2301024</v>
      </c>
      <c r="M262" s="140" t="s">
        <v>1130</v>
      </c>
      <c r="N262" s="139">
        <v>2301024</v>
      </c>
      <c r="O262" s="140" t="s">
        <v>1130</v>
      </c>
      <c r="P262" s="145">
        <v>230102404</v>
      </c>
      <c r="Q262" s="142" t="s">
        <v>1134</v>
      </c>
      <c r="R262" s="145">
        <v>230102404</v>
      </c>
      <c r="S262" s="142" t="s">
        <v>1134</v>
      </c>
      <c r="T262" s="143" t="s">
        <v>157</v>
      </c>
      <c r="U262" s="145">
        <v>4</v>
      </c>
      <c r="V262" s="145"/>
      <c r="W262" s="145">
        <f t="shared" ref="W262:W273" si="26">U262+V262</f>
        <v>4</v>
      </c>
      <c r="X262" s="145">
        <v>0</v>
      </c>
      <c r="Y262" s="146">
        <v>2020003630038</v>
      </c>
      <c r="Z262" s="147" t="s">
        <v>1132</v>
      </c>
      <c r="AA262" s="140" t="s">
        <v>1133</v>
      </c>
      <c r="AB262" s="130"/>
      <c r="AC262" s="130"/>
      <c r="AD262" s="130"/>
      <c r="AE262" s="138"/>
      <c r="AF262" s="138"/>
      <c r="AG262" s="138"/>
      <c r="AH262" s="138"/>
      <c r="AI262" s="138"/>
      <c r="AJ262" s="138"/>
      <c r="AK262" s="138"/>
      <c r="AL262" s="138"/>
      <c r="AM262" s="138"/>
      <c r="AN262" s="138"/>
      <c r="AO262" s="138"/>
      <c r="AP262" s="138"/>
      <c r="AQ262" s="138"/>
      <c r="AR262" s="138"/>
      <c r="AS262" s="138"/>
      <c r="AT262" s="138">
        <v>100000000</v>
      </c>
      <c r="AU262" s="138">
        <v>32400000</v>
      </c>
      <c r="AV262" s="138">
        <v>3600000</v>
      </c>
      <c r="AW262" s="138"/>
      <c r="AX262" s="138"/>
      <c r="AY262" s="138"/>
      <c r="AZ262" s="138"/>
      <c r="BA262" s="138"/>
      <c r="BB262" s="138"/>
      <c r="BC262" s="138"/>
      <c r="BD262" s="138"/>
      <c r="BE262" s="138"/>
      <c r="BF262" s="138">
        <f t="shared" si="20"/>
        <v>100000000</v>
      </c>
      <c r="BG262" s="138">
        <f t="shared" si="21"/>
        <v>32400000</v>
      </c>
      <c r="BH262" s="138">
        <f t="shared" si="22"/>
        <v>3600000</v>
      </c>
      <c r="BI262" s="149" t="s">
        <v>13</v>
      </c>
    </row>
    <row r="263" spans="1:61" s="151" customFormat="1" ht="84.75" customHeight="1">
      <c r="A263" s="139">
        <v>324</v>
      </c>
      <c r="B263" s="140" t="s">
        <v>1125</v>
      </c>
      <c r="C263" s="139">
        <v>1</v>
      </c>
      <c r="D263" s="140" t="s">
        <v>148</v>
      </c>
      <c r="E263" s="139">
        <v>23</v>
      </c>
      <c r="F263" s="140" t="s">
        <v>1126</v>
      </c>
      <c r="G263" s="139">
        <v>2301</v>
      </c>
      <c r="H263" s="140" t="s">
        <v>1127</v>
      </c>
      <c r="I263" s="139">
        <v>2301</v>
      </c>
      <c r="J263" s="140" t="s">
        <v>1128</v>
      </c>
      <c r="K263" s="140" t="s">
        <v>1129</v>
      </c>
      <c r="L263" s="145">
        <v>2301012</v>
      </c>
      <c r="M263" s="140" t="s">
        <v>1135</v>
      </c>
      <c r="N263" s="139">
        <v>2301079</v>
      </c>
      <c r="O263" s="140" t="s">
        <v>1136</v>
      </c>
      <c r="P263" s="145">
        <v>230101204</v>
      </c>
      <c r="Q263" s="142" t="s">
        <v>1137</v>
      </c>
      <c r="R263" s="145">
        <v>230107902</v>
      </c>
      <c r="S263" s="142" t="s">
        <v>1138</v>
      </c>
      <c r="T263" s="143" t="s">
        <v>157</v>
      </c>
      <c r="U263" s="145">
        <v>15</v>
      </c>
      <c r="V263" s="145"/>
      <c r="W263" s="145">
        <f t="shared" si="26"/>
        <v>15</v>
      </c>
      <c r="X263" s="145">
        <v>0</v>
      </c>
      <c r="Y263" s="146">
        <v>2020003630038</v>
      </c>
      <c r="Z263" s="147" t="s">
        <v>1132</v>
      </c>
      <c r="AA263" s="140" t="s">
        <v>1133</v>
      </c>
      <c r="AB263" s="130"/>
      <c r="AC263" s="130"/>
      <c r="AD263" s="130"/>
      <c r="AE263" s="138"/>
      <c r="AF263" s="138"/>
      <c r="AG263" s="138"/>
      <c r="AH263" s="138"/>
      <c r="AI263" s="138"/>
      <c r="AJ263" s="138"/>
      <c r="AK263" s="138"/>
      <c r="AL263" s="138"/>
      <c r="AM263" s="138"/>
      <c r="AN263" s="138"/>
      <c r="AO263" s="138"/>
      <c r="AP263" s="138"/>
      <c r="AQ263" s="138"/>
      <c r="AR263" s="138"/>
      <c r="AS263" s="138"/>
      <c r="AT263" s="138">
        <f>80000000-49707500+18000000</f>
        <v>48292500</v>
      </c>
      <c r="AU263" s="138"/>
      <c r="AV263" s="138"/>
      <c r="AW263" s="138"/>
      <c r="AX263" s="138"/>
      <c r="AY263" s="138"/>
      <c r="AZ263" s="138"/>
      <c r="BA263" s="138"/>
      <c r="BB263" s="138"/>
      <c r="BC263" s="138"/>
      <c r="BD263" s="138"/>
      <c r="BE263" s="138"/>
      <c r="BF263" s="138">
        <f t="shared" si="20"/>
        <v>48292500</v>
      </c>
      <c r="BG263" s="138">
        <f t="shared" si="21"/>
        <v>0</v>
      </c>
      <c r="BH263" s="138">
        <f t="shared" si="22"/>
        <v>0</v>
      </c>
      <c r="BI263" s="149" t="s">
        <v>13</v>
      </c>
    </row>
    <row r="264" spans="1:61" s="151" customFormat="1" ht="84" customHeight="1">
      <c r="A264" s="139">
        <v>324</v>
      </c>
      <c r="B264" s="140" t="s">
        <v>1125</v>
      </c>
      <c r="C264" s="139">
        <v>1</v>
      </c>
      <c r="D264" s="140" t="s">
        <v>148</v>
      </c>
      <c r="E264" s="139">
        <v>23</v>
      </c>
      <c r="F264" s="140" t="s">
        <v>1126</v>
      </c>
      <c r="G264" s="139">
        <v>2301</v>
      </c>
      <c r="H264" s="140" t="s">
        <v>1127</v>
      </c>
      <c r="I264" s="139">
        <v>2301</v>
      </c>
      <c r="J264" s="140" t="s">
        <v>1128</v>
      </c>
      <c r="K264" s="140" t="s">
        <v>1129</v>
      </c>
      <c r="L264" s="139">
        <v>2301062</v>
      </c>
      <c r="M264" s="140" t="s">
        <v>1139</v>
      </c>
      <c r="N264" s="139">
        <v>2301062</v>
      </c>
      <c r="O264" s="140" t="s">
        <v>1139</v>
      </c>
      <c r="P264" s="145">
        <v>230106201</v>
      </c>
      <c r="Q264" s="142" t="s">
        <v>1140</v>
      </c>
      <c r="R264" s="145">
        <v>230106201</v>
      </c>
      <c r="S264" s="142" t="s">
        <v>1140</v>
      </c>
      <c r="T264" s="143"/>
      <c r="U264" s="145">
        <v>7</v>
      </c>
      <c r="V264" s="145"/>
      <c r="W264" s="145">
        <f t="shared" si="26"/>
        <v>7</v>
      </c>
      <c r="X264" s="145">
        <v>5</v>
      </c>
      <c r="Y264" s="146">
        <v>2020003630038</v>
      </c>
      <c r="Z264" s="147" t="s">
        <v>1132</v>
      </c>
      <c r="AA264" s="140" t="s">
        <v>1133</v>
      </c>
      <c r="AB264" s="130"/>
      <c r="AC264" s="130"/>
      <c r="AD264" s="130"/>
      <c r="AE264" s="138"/>
      <c r="AF264" s="138"/>
      <c r="AG264" s="138"/>
      <c r="AH264" s="138"/>
      <c r="AI264" s="138"/>
      <c r="AJ264" s="138"/>
      <c r="AK264" s="138"/>
      <c r="AL264" s="138"/>
      <c r="AM264" s="138"/>
      <c r="AN264" s="138"/>
      <c r="AO264" s="138"/>
      <c r="AP264" s="138"/>
      <c r="AQ264" s="138"/>
      <c r="AR264" s="138"/>
      <c r="AS264" s="138"/>
      <c r="AT264" s="138">
        <f>50000000-30207500+12000000</f>
        <v>31792500</v>
      </c>
      <c r="AU264" s="138"/>
      <c r="AV264" s="138"/>
      <c r="AW264" s="138"/>
      <c r="AX264" s="138"/>
      <c r="AY264" s="138"/>
      <c r="AZ264" s="138"/>
      <c r="BA264" s="138"/>
      <c r="BB264" s="138"/>
      <c r="BC264" s="138"/>
      <c r="BD264" s="138"/>
      <c r="BE264" s="138"/>
      <c r="BF264" s="138">
        <f t="shared" ref="BF264:BF305" si="27">AB264+AE264+AH264+AK264+AN264+AQ264+AT264+AW264+BC264+AZ264</f>
        <v>31792500</v>
      </c>
      <c r="BG264" s="138">
        <f t="shared" ref="BG264:BG305" si="28">AC264+AF264+AI264+AL264+AO264+AR264+AU264+AX264+BD264+BA264</f>
        <v>0</v>
      </c>
      <c r="BH264" s="138">
        <f t="shared" ref="BH264:BH305" si="29">AD264+AG264+AJ264+AM264+AP264+AS264+AV264+AY264+BE264+BB264</f>
        <v>0</v>
      </c>
      <c r="BI264" s="149" t="s">
        <v>13</v>
      </c>
    </row>
    <row r="265" spans="1:61" s="151" customFormat="1" ht="83.25" customHeight="1">
      <c r="A265" s="139">
        <v>324</v>
      </c>
      <c r="B265" s="140" t="s">
        <v>1125</v>
      </c>
      <c r="C265" s="139">
        <v>1</v>
      </c>
      <c r="D265" s="140" t="s">
        <v>148</v>
      </c>
      <c r="E265" s="139">
        <v>23</v>
      </c>
      <c r="F265" s="140" t="s">
        <v>1126</v>
      </c>
      <c r="G265" s="139">
        <v>2301</v>
      </c>
      <c r="H265" s="140" t="s">
        <v>1127</v>
      </c>
      <c r="I265" s="139">
        <v>2301</v>
      </c>
      <c r="J265" s="140" t="s">
        <v>1128</v>
      </c>
      <c r="K265" s="140" t="s">
        <v>1141</v>
      </c>
      <c r="L265" s="139">
        <v>2301030</v>
      </c>
      <c r="M265" s="140" t="s">
        <v>1142</v>
      </c>
      <c r="N265" s="139">
        <v>2301030</v>
      </c>
      <c r="O265" s="140" t="s">
        <v>1142</v>
      </c>
      <c r="P265" s="145">
        <v>230103000</v>
      </c>
      <c r="Q265" s="142" t="s">
        <v>1143</v>
      </c>
      <c r="R265" s="145">
        <v>230103000</v>
      </c>
      <c r="S265" s="142" t="s">
        <v>1143</v>
      </c>
      <c r="T265" s="143" t="s">
        <v>157</v>
      </c>
      <c r="U265" s="145">
        <v>7000</v>
      </c>
      <c r="V265" s="145"/>
      <c r="W265" s="145">
        <f t="shared" si="26"/>
        <v>7000</v>
      </c>
      <c r="X265" s="145">
        <v>907</v>
      </c>
      <c r="Y265" s="146">
        <v>2020003630139</v>
      </c>
      <c r="Z265" s="147" t="s">
        <v>1144</v>
      </c>
      <c r="AA265" s="140" t="s">
        <v>1145</v>
      </c>
      <c r="AB265" s="130"/>
      <c r="AC265" s="130"/>
      <c r="AD265" s="130"/>
      <c r="AE265" s="138"/>
      <c r="AF265" s="138"/>
      <c r="AG265" s="138"/>
      <c r="AH265" s="138"/>
      <c r="AI265" s="138"/>
      <c r="AJ265" s="138"/>
      <c r="AK265" s="138"/>
      <c r="AL265" s="138"/>
      <c r="AM265" s="138"/>
      <c r="AN265" s="138"/>
      <c r="AO265" s="138"/>
      <c r="AP265" s="138"/>
      <c r="AQ265" s="138"/>
      <c r="AR265" s="138"/>
      <c r="AS265" s="138"/>
      <c r="AT265" s="138">
        <f>115915000+34774500+113000000</f>
        <v>263689500</v>
      </c>
      <c r="AU265" s="138">
        <v>184650000</v>
      </c>
      <c r="AV265" s="138">
        <v>87400000</v>
      </c>
      <c r="AW265" s="138"/>
      <c r="AX265" s="138"/>
      <c r="AY265" s="138"/>
      <c r="AZ265" s="138"/>
      <c r="BA265" s="138"/>
      <c r="BB265" s="138"/>
      <c r="BC265" s="138"/>
      <c r="BD265" s="138"/>
      <c r="BE265" s="138"/>
      <c r="BF265" s="138">
        <f t="shared" si="27"/>
        <v>263689500</v>
      </c>
      <c r="BG265" s="138">
        <f t="shared" si="28"/>
        <v>184650000</v>
      </c>
      <c r="BH265" s="138">
        <f t="shared" si="29"/>
        <v>87400000</v>
      </c>
      <c r="BI265" s="149" t="s">
        <v>13</v>
      </c>
    </row>
    <row r="266" spans="1:61" s="151" customFormat="1" ht="83.25" customHeight="1">
      <c r="A266" s="139">
        <v>324</v>
      </c>
      <c r="B266" s="140" t="s">
        <v>1125</v>
      </c>
      <c r="C266" s="139">
        <v>1</v>
      </c>
      <c r="D266" s="140" t="s">
        <v>148</v>
      </c>
      <c r="E266" s="139">
        <v>23</v>
      </c>
      <c r="F266" s="140" t="s">
        <v>1126</v>
      </c>
      <c r="G266" s="139">
        <v>2301</v>
      </c>
      <c r="H266" s="140" t="s">
        <v>1127</v>
      </c>
      <c r="I266" s="139">
        <v>2301</v>
      </c>
      <c r="J266" s="140" t="s">
        <v>1128</v>
      </c>
      <c r="K266" s="140" t="s">
        <v>1141</v>
      </c>
      <c r="L266" s="139">
        <v>2301015</v>
      </c>
      <c r="M266" s="140" t="s">
        <v>1146</v>
      </c>
      <c r="N266" s="139">
        <v>2301015</v>
      </c>
      <c r="O266" s="140" t="s">
        <v>1146</v>
      </c>
      <c r="P266" s="145">
        <v>230101500</v>
      </c>
      <c r="Q266" s="142" t="s">
        <v>1147</v>
      </c>
      <c r="R266" s="145">
        <v>230101500</v>
      </c>
      <c r="S266" s="142" t="s">
        <v>1147</v>
      </c>
      <c r="T266" s="143" t="s">
        <v>69</v>
      </c>
      <c r="U266" s="145">
        <v>3</v>
      </c>
      <c r="V266" s="145"/>
      <c r="W266" s="145">
        <f t="shared" si="26"/>
        <v>3</v>
      </c>
      <c r="X266" s="145">
        <v>0</v>
      </c>
      <c r="Y266" s="146">
        <v>2020003630139</v>
      </c>
      <c r="Z266" s="147" t="s">
        <v>1144</v>
      </c>
      <c r="AA266" s="140" t="s">
        <v>1145</v>
      </c>
      <c r="AB266" s="130"/>
      <c r="AC266" s="130"/>
      <c r="AD266" s="130"/>
      <c r="AE266" s="138"/>
      <c r="AF266" s="138"/>
      <c r="AG266" s="138"/>
      <c r="AH266" s="138"/>
      <c r="AI266" s="138"/>
      <c r="AJ266" s="138"/>
      <c r="AK266" s="138"/>
      <c r="AL266" s="138"/>
      <c r="AM266" s="138"/>
      <c r="AN266" s="138"/>
      <c r="AO266" s="138"/>
      <c r="AP266" s="138"/>
      <c r="AQ266" s="138"/>
      <c r="AR266" s="138"/>
      <c r="AS266" s="138"/>
      <c r="AT266" s="138">
        <f>18000000+5400000</f>
        <v>23400000</v>
      </c>
      <c r="AU266" s="138">
        <v>18000000</v>
      </c>
      <c r="AV266" s="138">
        <v>7200000</v>
      </c>
      <c r="AW266" s="138"/>
      <c r="AX266" s="138"/>
      <c r="AY266" s="138"/>
      <c r="AZ266" s="138"/>
      <c r="BA266" s="138"/>
      <c r="BB266" s="138"/>
      <c r="BC266" s="138"/>
      <c r="BD266" s="138"/>
      <c r="BE266" s="138"/>
      <c r="BF266" s="138">
        <f t="shared" si="27"/>
        <v>23400000</v>
      </c>
      <c r="BG266" s="138">
        <f t="shared" si="28"/>
        <v>18000000</v>
      </c>
      <c r="BH266" s="138">
        <f t="shared" si="29"/>
        <v>7200000</v>
      </c>
      <c r="BI266" s="149" t="s">
        <v>13</v>
      </c>
    </row>
    <row r="267" spans="1:61" s="151" customFormat="1" ht="83.25" customHeight="1">
      <c r="A267" s="139">
        <v>324</v>
      </c>
      <c r="B267" s="140" t="s">
        <v>1125</v>
      </c>
      <c r="C267" s="139">
        <v>1</v>
      </c>
      <c r="D267" s="140" t="s">
        <v>148</v>
      </c>
      <c r="E267" s="139">
        <v>23</v>
      </c>
      <c r="F267" s="140" t="s">
        <v>1126</v>
      </c>
      <c r="G267" s="139">
        <v>2301</v>
      </c>
      <c r="H267" s="140" t="s">
        <v>1127</v>
      </c>
      <c r="I267" s="139">
        <v>2301</v>
      </c>
      <c r="J267" s="140" t="s">
        <v>1128</v>
      </c>
      <c r="K267" s="140" t="s">
        <v>1141</v>
      </c>
      <c r="L267" s="139">
        <v>2301004</v>
      </c>
      <c r="M267" s="140" t="s">
        <v>253</v>
      </c>
      <c r="N267" s="139">
        <v>2301004</v>
      </c>
      <c r="O267" s="140" t="s">
        <v>253</v>
      </c>
      <c r="P267" s="145">
        <v>230200400</v>
      </c>
      <c r="Q267" s="142" t="s">
        <v>255</v>
      </c>
      <c r="R267" s="145">
        <v>230100400</v>
      </c>
      <c r="S267" s="141" t="s">
        <v>255</v>
      </c>
      <c r="T267" s="143" t="s">
        <v>69</v>
      </c>
      <c r="U267" s="145">
        <v>1</v>
      </c>
      <c r="V267" s="145"/>
      <c r="W267" s="145">
        <f t="shared" si="26"/>
        <v>1</v>
      </c>
      <c r="X267" s="145">
        <v>0.3</v>
      </c>
      <c r="Y267" s="146">
        <v>2020003630139</v>
      </c>
      <c r="Z267" s="147" t="s">
        <v>1144</v>
      </c>
      <c r="AA267" s="140" t="s">
        <v>1145</v>
      </c>
      <c r="AB267" s="130"/>
      <c r="AC267" s="130"/>
      <c r="AD267" s="130"/>
      <c r="AE267" s="138"/>
      <c r="AF267" s="138"/>
      <c r="AG267" s="138"/>
      <c r="AH267" s="138"/>
      <c r="AI267" s="138"/>
      <c r="AJ267" s="138"/>
      <c r="AK267" s="138"/>
      <c r="AL267" s="138"/>
      <c r="AM267" s="138"/>
      <c r="AN267" s="138"/>
      <c r="AO267" s="138"/>
      <c r="AP267" s="138"/>
      <c r="AQ267" s="138"/>
      <c r="AR267" s="138"/>
      <c r="AS267" s="138"/>
      <c r="AT267" s="138">
        <v>18000000</v>
      </c>
      <c r="AU267" s="138">
        <v>14153655</v>
      </c>
      <c r="AV267" s="138">
        <v>8800000</v>
      </c>
      <c r="AW267" s="138"/>
      <c r="AX267" s="138"/>
      <c r="AY267" s="138"/>
      <c r="AZ267" s="138"/>
      <c r="BA267" s="138"/>
      <c r="BB267" s="138"/>
      <c r="BC267" s="138"/>
      <c r="BD267" s="138"/>
      <c r="BE267" s="138"/>
      <c r="BF267" s="138">
        <f t="shared" si="27"/>
        <v>18000000</v>
      </c>
      <c r="BG267" s="138">
        <f t="shared" si="28"/>
        <v>14153655</v>
      </c>
      <c r="BH267" s="138">
        <f t="shared" si="29"/>
        <v>8800000</v>
      </c>
      <c r="BI267" s="149" t="s">
        <v>13</v>
      </c>
    </row>
    <row r="268" spans="1:61" s="151" customFormat="1" ht="83.25" customHeight="1">
      <c r="A268" s="139">
        <v>324</v>
      </c>
      <c r="B268" s="140" t="s">
        <v>1125</v>
      </c>
      <c r="C268" s="139">
        <v>1</v>
      </c>
      <c r="D268" s="140" t="s">
        <v>148</v>
      </c>
      <c r="E268" s="139">
        <v>23</v>
      </c>
      <c r="F268" s="140" t="s">
        <v>1126</v>
      </c>
      <c r="G268" s="139">
        <v>2301</v>
      </c>
      <c r="H268" s="140" t="s">
        <v>1127</v>
      </c>
      <c r="I268" s="139">
        <v>2301</v>
      </c>
      <c r="J268" s="140" t="s">
        <v>1128</v>
      </c>
      <c r="K268" s="140" t="s">
        <v>1141</v>
      </c>
      <c r="L268" s="139">
        <v>2301035</v>
      </c>
      <c r="M268" s="140" t="s">
        <v>1148</v>
      </c>
      <c r="N268" s="139">
        <v>2301035</v>
      </c>
      <c r="O268" s="140" t="s">
        <v>1148</v>
      </c>
      <c r="P268" s="145">
        <v>230103500</v>
      </c>
      <c r="Q268" s="142" t="s">
        <v>1149</v>
      </c>
      <c r="R268" s="145">
        <v>230103500</v>
      </c>
      <c r="S268" s="142" t="s">
        <v>1149</v>
      </c>
      <c r="T268" s="143" t="s">
        <v>157</v>
      </c>
      <c r="U268" s="145">
        <v>40</v>
      </c>
      <c r="V268" s="145"/>
      <c r="W268" s="145">
        <f t="shared" si="26"/>
        <v>40</v>
      </c>
      <c r="X268" s="145">
        <v>8</v>
      </c>
      <c r="Y268" s="146">
        <v>2020003630139</v>
      </c>
      <c r="Z268" s="147" t="s">
        <v>1144</v>
      </c>
      <c r="AA268" s="140" t="s">
        <v>1145</v>
      </c>
      <c r="AB268" s="130"/>
      <c r="AC268" s="130"/>
      <c r="AD268" s="130"/>
      <c r="AE268" s="138"/>
      <c r="AF268" s="138"/>
      <c r="AG268" s="138"/>
      <c r="AH268" s="138"/>
      <c r="AI268" s="138"/>
      <c r="AJ268" s="138"/>
      <c r="AK268" s="138"/>
      <c r="AL268" s="138"/>
      <c r="AM268" s="138"/>
      <c r="AN268" s="138"/>
      <c r="AO268" s="138"/>
      <c r="AP268" s="138"/>
      <c r="AQ268" s="138"/>
      <c r="AR268" s="138"/>
      <c r="AS268" s="138"/>
      <c r="AT268" s="138">
        <f>36000000+10800000</f>
        <v>46800000</v>
      </c>
      <c r="AU268" s="138">
        <v>27400000</v>
      </c>
      <c r="AV268" s="138">
        <v>14350000</v>
      </c>
      <c r="AW268" s="138"/>
      <c r="AX268" s="138"/>
      <c r="AY268" s="138"/>
      <c r="AZ268" s="138"/>
      <c r="BA268" s="138"/>
      <c r="BB268" s="138"/>
      <c r="BC268" s="138"/>
      <c r="BD268" s="138"/>
      <c r="BE268" s="138"/>
      <c r="BF268" s="138">
        <f t="shared" si="27"/>
        <v>46800000</v>
      </c>
      <c r="BG268" s="138">
        <f t="shared" si="28"/>
        <v>27400000</v>
      </c>
      <c r="BH268" s="138">
        <f t="shared" si="29"/>
        <v>14350000</v>
      </c>
      <c r="BI268" s="149" t="s">
        <v>13</v>
      </c>
    </row>
    <row r="269" spans="1:61" s="151" customFormat="1" ht="79.5" customHeight="1">
      <c r="A269" s="139">
        <v>324</v>
      </c>
      <c r="B269" s="140" t="s">
        <v>1125</v>
      </c>
      <c r="C269" s="139">
        <v>1</v>
      </c>
      <c r="D269" s="140" t="s">
        <v>148</v>
      </c>
      <c r="E269" s="139">
        <v>23</v>
      </c>
      <c r="F269" s="140" t="s">
        <v>1126</v>
      </c>
      <c r="G269" s="139">
        <v>2301</v>
      </c>
      <c r="H269" s="140" t="s">
        <v>1127</v>
      </c>
      <c r="I269" s="139">
        <v>2301</v>
      </c>
      <c r="J269" s="140" t="s">
        <v>1128</v>
      </c>
      <c r="K269" s="140" t="s">
        <v>1141</v>
      </c>
      <c r="L269" s="139">
        <v>2301042</v>
      </c>
      <c r="M269" s="140" t="s">
        <v>1150</v>
      </c>
      <c r="N269" s="139">
        <v>2301042</v>
      </c>
      <c r="O269" s="140" t="s">
        <v>1150</v>
      </c>
      <c r="P269" s="145">
        <v>230104201</v>
      </c>
      <c r="Q269" s="142" t="s">
        <v>1151</v>
      </c>
      <c r="R269" s="145">
        <v>230104201</v>
      </c>
      <c r="S269" s="142" t="s">
        <v>1151</v>
      </c>
      <c r="T269" s="143" t="s">
        <v>69</v>
      </c>
      <c r="U269" s="145">
        <v>1</v>
      </c>
      <c r="V269" s="145"/>
      <c r="W269" s="145">
        <f t="shared" si="26"/>
        <v>1</v>
      </c>
      <c r="X269" s="145">
        <v>0</v>
      </c>
      <c r="Y269" s="146">
        <v>2020003630139</v>
      </c>
      <c r="Z269" s="147" t="s">
        <v>1144</v>
      </c>
      <c r="AA269" s="140" t="s">
        <v>1145</v>
      </c>
      <c r="AB269" s="130"/>
      <c r="AC269" s="130"/>
      <c r="AD269" s="130"/>
      <c r="AE269" s="138"/>
      <c r="AF269" s="138"/>
      <c r="AG269" s="138"/>
      <c r="AH269" s="138"/>
      <c r="AI269" s="138"/>
      <c r="AJ269" s="138"/>
      <c r="AK269" s="138"/>
      <c r="AL269" s="138"/>
      <c r="AM269" s="138"/>
      <c r="AN269" s="138"/>
      <c r="AO269" s="138"/>
      <c r="AP269" s="138"/>
      <c r="AQ269" s="138"/>
      <c r="AR269" s="138"/>
      <c r="AS269" s="138"/>
      <c r="AT269" s="138">
        <f>18000000+5400000</f>
        <v>23400000</v>
      </c>
      <c r="AU269" s="138">
        <v>9600000</v>
      </c>
      <c r="AV269" s="138">
        <v>3200000</v>
      </c>
      <c r="AW269" s="138"/>
      <c r="AX269" s="138"/>
      <c r="AY269" s="138"/>
      <c r="AZ269" s="138"/>
      <c r="BA269" s="138"/>
      <c r="BB269" s="138"/>
      <c r="BC269" s="138"/>
      <c r="BD269" s="138"/>
      <c r="BE269" s="138"/>
      <c r="BF269" s="138">
        <f t="shared" si="27"/>
        <v>23400000</v>
      </c>
      <c r="BG269" s="138">
        <f t="shared" si="28"/>
        <v>9600000</v>
      </c>
      <c r="BH269" s="138">
        <f t="shared" si="29"/>
        <v>3200000</v>
      </c>
      <c r="BI269" s="149" t="s">
        <v>13</v>
      </c>
    </row>
    <row r="270" spans="1:61" s="151" customFormat="1" ht="79.5" customHeight="1">
      <c r="A270" s="139">
        <v>324</v>
      </c>
      <c r="B270" s="140" t="s">
        <v>1125</v>
      </c>
      <c r="C270" s="139">
        <v>1</v>
      </c>
      <c r="D270" s="140" t="s">
        <v>148</v>
      </c>
      <c r="E270" s="139">
        <v>23</v>
      </c>
      <c r="F270" s="140" t="s">
        <v>1126</v>
      </c>
      <c r="G270" s="139">
        <v>2302</v>
      </c>
      <c r="H270" s="140" t="s">
        <v>1152</v>
      </c>
      <c r="I270" s="139">
        <v>2302</v>
      </c>
      <c r="J270" s="140" t="s">
        <v>1153</v>
      </c>
      <c r="K270" s="140" t="s">
        <v>1129</v>
      </c>
      <c r="L270" s="139">
        <v>2302022</v>
      </c>
      <c r="M270" s="140" t="s">
        <v>1154</v>
      </c>
      <c r="N270" s="139">
        <v>2302022</v>
      </c>
      <c r="O270" s="140" t="s">
        <v>1154</v>
      </c>
      <c r="P270" s="145">
        <v>230202200</v>
      </c>
      <c r="Q270" s="142" t="s">
        <v>1155</v>
      </c>
      <c r="R270" s="145">
        <v>230202200</v>
      </c>
      <c r="S270" s="142" t="s">
        <v>1155</v>
      </c>
      <c r="T270" s="143" t="s">
        <v>157</v>
      </c>
      <c r="U270" s="145">
        <v>30</v>
      </c>
      <c r="V270" s="145"/>
      <c r="W270" s="145">
        <f t="shared" si="26"/>
        <v>30</v>
      </c>
      <c r="X270" s="145">
        <v>0</v>
      </c>
      <c r="Y270" s="146">
        <v>2020003630039</v>
      </c>
      <c r="Z270" s="147" t="s">
        <v>1156</v>
      </c>
      <c r="AA270" s="140" t="s">
        <v>1157</v>
      </c>
      <c r="AB270" s="130"/>
      <c r="AC270" s="130"/>
      <c r="AD270" s="130"/>
      <c r="AE270" s="138"/>
      <c r="AF270" s="138"/>
      <c r="AG270" s="138"/>
      <c r="AH270" s="138"/>
      <c r="AI270" s="138"/>
      <c r="AJ270" s="138"/>
      <c r="AK270" s="138"/>
      <c r="AL270" s="138"/>
      <c r="AM270" s="138"/>
      <c r="AN270" s="138"/>
      <c r="AO270" s="138"/>
      <c r="AP270" s="138"/>
      <c r="AQ270" s="138"/>
      <c r="AR270" s="138"/>
      <c r="AS270" s="138"/>
      <c r="AT270" s="138">
        <f>36000000+9000000</f>
        <v>45000000</v>
      </c>
      <c r="AU270" s="138">
        <v>30000000</v>
      </c>
      <c r="AV270" s="138">
        <v>12050000</v>
      </c>
      <c r="AW270" s="138"/>
      <c r="AX270" s="138"/>
      <c r="AY270" s="138"/>
      <c r="AZ270" s="138"/>
      <c r="BA270" s="138"/>
      <c r="BB270" s="138"/>
      <c r="BC270" s="138"/>
      <c r="BD270" s="138"/>
      <c r="BE270" s="138"/>
      <c r="BF270" s="138">
        <f t="shared" si="27"/>
        <v>45000000</v>
      </c>
      <c r="BG270" s="138">
        <f t="shared" si="28"/>
        <v>30000000</v>
      </c>
      <c r="BH270" s="138">
        <f t="shared" si="29"/>
        <v>12050000</v>
      </c>
      <c r="BI270" s="149" t="s">
        <v>13</v>
      </c>
    </row>
    <row r="271" spans="1:61" s="151" customFormat="1" ht="79.5" customHeight="1">
      <c r="A271" s="139">
        <v>324</v>
      </c>
      <c r="B271" s="140" t="s">
        <v>1125</v>
      </c>
      <c r="C271" s="139">
        <v>1</v>
      </c>
      <c r="D271" s="140" t="s">
        <v>148</v>
      </c>
      <c r="E271" s="139">
        <v>23</v>
      </c>
      <c r="F271" s="140" t="s">
        <v>1126</v>
      </c>
      <c r="G271" s="139">
        <v>2302</v>
      </c>
      <c r="H271" s="140" t="s">
        <v>1152</v>
      </c>
      <c r="I271" s="139">
        <v>2302</v>
      </c>
      <c r="J271" s="140" t="s">
        <v>1153</v>
      </c>
      <c r="K271" s="140" t="s">
        <v>1141</v>
      </c>
      <c r="L271" s="139">
        <v>2302021</v>
      </c>
      <c r="M271" s="140" t="s">
        <v>1158</v>
      </c>
      <c r="N271" s="139">
        <v>2302021</v>
      </c>
      <c r="O271" s="140" t="s">
        <v>1158</v>
      </c>
      <c r="P271" s="145">
        <v>230202100</v>
      </c>
      <c r="Q271" s="142" t="s">
        <v>1159</v>
      </c>
      <c r="R271" s="145">
        <v>230202100</v>
      </c>
      <c r="S271" s="142" t="s">
        <v>1159</v>
      </c>
      <c r="T271" s="143" t="s">
        <v>157</v>
      </c>
      <c r="U271" s="145">
        <v>10</v>
      </c>
      <c r="V271" s="145"/>
      <c r="W271" s="145">
        <f t="shared" si="26"/>
        <v>10</v>
      </c>
      <c r="X271" s="145">
        <v>3</v>
      </c>
      <c r="Y271" s="146">
        <v>2020003630039</v>
      </c>
      <c r="Z271" s="140" t="s">
        <v>1156</v>
      </c>
      <c r="AA271" s="140" t="s">
        <v>1157</v>
      </c>
      <c r="AB271" s="130"/>
      <c r="AC271" s="130"/>
      <c r="AD271" s="130"/>
      <c r="AE271" s="138"/>
      <c r="AF271" s="138"/>
      <c r="AG271" s="138"/>
      <c r="AH271" s="138"/>
      <c r="AI271" s="138"/>
      <c r="AJ271" s="138"/>
      <c r="AK271" s="138"/>
      <c r="AL271" s="138"/>
      <c r="AM271" s="138"/>
      <c r="AN271" s="138"/>
      <c r="AO271" s="138"/>
      <c r="AP271" s="138"/>
      <c r="AQ271" s="138"/>
      <c r="AR271" s="138"/>
      <c r="AS271" s="138"/>
      <c r="AT271" s="138">
        <f>70000000+21000000+22000000</f>
        <v>113000000</v>
      </c>
      <c r="AU271" s="138">
        <v>69999999</v>
      </c>
      <c r="AV271" s="138">
        <v>35246345</v>
      </c>
      <c r="AW271" s="138"/>
      <c r="AX271" s="138"/>
      <c r="AY271" s="138"/>
      <c r="AZ271" s="138"/>
      <c r="BA271" s="138"/>
      <c r="BB271" s="138"/>
      <c r="BC271" s="138"/>
      <c r="BD271" s="138"/>
      <c r="BE271" s="138"/>
      <c r="BF271" s="138">
        <f t="shared" si="27"/>
        <v>113000000</v>
      </c>
      <c r="BG271" s="138">
        <f t="shared" si="28"/>
        <v>69999999</v>
      </c>
      <c r="BH271" s="138">
        <f t="shared" si="29"/>
        <v>35246345</v>
      </c>
      <c r="BI271" s="149" t="s">
        <v>13</v>
      </c>
    </row>
    <row r="272" spans="1:61" s="151" customFormat="1" ht="79.5" customHeight="1">
      <c r="A272" s="139">
        <v>324</v>
      </c>
      <c r="B272" s="322" t="s">
        <v>1125</v>
      </c>
      <c r="C272" s="323">
        <v>1</v>
      </c>
      <c r="D272" s="140" t="s">
        <v>148</v>
      </c>
      <c r="E272" s="323">
        <v>23</v>
      </c>
      <c r="F272" s="322" t="s">
        <v>1126</v>
      </c>
      <c r="G272" s="323">
        <v>2302</v>
      </c>
      <c r="H272" s="322" t="s">
        <v>1152</v>
      </c>
      <c r="I272" s="323">
        <v>2302</v>
      </c>
      <c r="J272" s="322" t="s">
        <v>1153</v>
      </c>
      <c r="K272" s="322" t="s">
        <v>1160</v>
      </c>
      <c r="L272" s="323">
        <v>2302058</v>
      </c>
      <c r="M272" s="322" t="s">
        <v>1161</v>
      </c>
      <c r="N272" s="323">
        <v>2302058</v>
      </c>
      <c r="O272" s="322" t="s">
        <v>1161</v>
      </c>
      <c r="P272" s="324">
        <v>230205800</v>
      </c>
      <c r="Q272" s="325" t="s">
        <v>1162</v>
      </c>
      <c r="R272" s="324">
        <v>230205800</v>
      </c>
      <c r="S272" s="325" t="s">
        <v>1162</v>
      </c>
      <c r="T272" s="326" t="s">
        <v>157</v>
      </c>
      <c r="U272" s="324">
        <v>400</v>
      </c>
      <c r="V272" s="324"/>
      <c r="W272" s="145">
        <f t="shared" si="26"/>
        <v>400</v>
      </c>
      <c r="X272" s="324">
        <v>33</v>
      </c>
      <c r="Y272" s="327">
        <v>2020003630039</v>
      </c>
      <c r="Z272" s="328" t="s">
        <v>1156</v>
      </c>
      <c r="AA272" s="322" t="s">
        <v>1157</v>
      </c>
      <c r="AB272" s="329"/>
      <c r="AC272" s="329"/>
      <c r="AD272" s="329"/>
      <c r="AE272" s="330"/>
      <c r="AF272" s="330"/>
      <c r="AG272" s="330"/>
      <c r="AH272" s="330"/>
      <c r="AI272" s="330"/>
      <c r="AJ272" s="330"/>
      <c r="AK272" s="330"/>
      <c r="AL272" s="330"/>
      <c r="AM272" s="330"/>
      <c r="AN272" s="330"/>
      <c r="AO272" s="330"/>
      <c r="AP272" s="330"/>
      <c r="AQ272" s="330"/>
      <c r="AR272" s="330"/>
      <c r="AS272" s="330"/>
      <c r="AT272" s="138">
        <f>20000000+5400000</f>
        <v>25400000</v>
      </c>
      <c r="AU272" s="330">
        <v>16500000</v>
      </c>
      <c r="AV272" s="330">
        <v>4453655</v>
      </c>
      <c r="AW272" s="330"/>
      <c r="AX272" s="330"/>
      <c r="AY272" s="330"/>
      <c r="AZ272" s="330"/>
      <c r="BA272" s="330"/>
      <c r="BB272" s="330"/>
      <c r="BC272" s="330"/>
      <c r="BD272" s="330"/>
      <c r="BE272" s="330"/>
      <c r="BF272" s="138">
        <f t="shared" si="27"/>
        <v>25400000</v>
      </c>
      <c r="BG272" s="138">
        <f t="shared" si="28"/>
        <v>16500000</v>
      </c>
      <c r="BH272" s="138">
        <f t="shared" si="29"/>
        <v>4453655</v>
      </c>
      <c r="BI272" s="331" t="s">
        <v>13</v>
      </c>
    </row>
    <row r="273" spans="1:62" s="151" customFormat="1" ht="79.5" customHeight="1">
      <c r="A273" s="332">
        <v>324</v>
      </c>
      <c r="B273" s="333" t="s">
        <v>1125</v>
      </c>
      <c r="C273" s="334">
        <v>1</v>
      </c>
      <c r="D273" s="140" t="s">
        <v>148</v>
      </c>
      <c r="E273" s="334">
        <v>23</v>
      </c>
      <c r="F273" s="333" t="s">
        <v>1126</v>
      </c>
      <c r="G273" s="334">
        <v>2302</v>
      </c>
      <c r="H273" s="333" t="s">
        <v>1152</v>
      </c>
      <c r="I273" s="334">
        <v>2302</v>
      </c>
      <c r="J273" s="333" t="s">
        <v>1153</v>
      </c>
      <c r="K273" s="333" t="s">
        <v>1160</v>
      </c>
      <c r="L273" s="334">
        <v>2302068</v>
      </c>
      <c r="M273" s="333" t="s">
        <v>1163</v>
      </c>
      <c r="N273" s="334">
        <v>2302068</v>
      </c>
      <c r="O273" s="333" t="s">
        <v>1163</v>
      </c>
      <c r="P273" s="335">
        <v>230206800</v>
      </c>
      <c r="Q273" s="336" t="s">
        <v>1164</v>
      </c>
      <c r="R273" s="335">
        <v>230206800</v>
      </c>
      <c r="S273" s="336" t="s">
        <v>1164</v>
      </c>
      <c r="T273" s="337" t="s">
        <v>157</v>
      </c>
      <c r="U273" s="335">
        <v>80</v>
      </c>
      <c r="V273" s="335"/>
      <c r="W273" s="145">
        <f t="shared" si="26"/>
        <v>80</v>
      </c>
      <c r="X273" s="335">
        <v>30</v>
      </c>
      <c r="Y273" s="338">
        <v>2020003630039</v>
      </c>
      <c r="Z273" s="339" t="s">
        <v>1156</v>
      </c>
      <c r="AA273" s="333" t="s">
        <v>1157</v>
      </c>
      <c r="AB273" s="340"/>
      <c r="AC273" s="340"/>
      <c r="AD273" s="340"/>
      <c r="AE273" s="341"/>
      <c r="AF273" s="341"/>
      <c r="AG273" s="341"/>
      <c r="AH273" s="341"/>
      <c r="AI273" s="341"/>
      <c r="AJ273" s="341"/>
      <c r="AK273" s="341"/>
      <c r="AL273" s="341"/>
      <c r="AM273" s="341"/>
      <c r="AN273" s="341"/>
      <c r="AO273" s="341"/>
      <c r="AP273" s="341"/>
      <c r="AQ273" s="341"/>
      <c r="AR273" s="341"/>
      <c r="AS273" s="341"/>
      <c r="AT273" s="138">
        <f>20000000+6000000</f>
        <v>26000000</v>
      </c>
      <c r="AU273" s="341">
        <v>20000000</v>
      </c>
      <c r="AV273" s="341">
        <v>8500000</v>
      </c>
      <c r="AW273" s="341"/>
      <c r="AX273" s="341"/>
      <c r="AY273" s="341"/>
      <c r="AZ273" s="341"/>
      <c r="BA273" s="341"/>
      <c r="BB273" s="341"/>
      <c r="BC273" s="341"/>
      <c r="BD273" s="341"/>
      <c r="BE273" s="341"/>
      <c r="BF273" s="138">
        <f t="shared" si="27"/>
        <v>26000000</v>
      </c>
      <c r="BG273" s="138">
        <f t="shared" si="28"/>
        <v>20000000</v>
      </c>
      <c r="BH273" s="138">
        <f t="shared" si="29"/>
        <v>8500000</v>
      </c>
      <c r="BI273" s="342" t="s">
        <v>13</v>
      </c>
    </row>
    <row r="274" spans="1:62" s="151" customFormat="1" ht="51">
      <c r="A274" s="332">
        <v>324</v>
      </c>
      <c r="B274" s="333" t="s">
        <v>1125</v>
      </c>
      <c r="C274" s="334">
        <v>2</v>
      </c>
      <c r="D274" s="333" t="s">
        <v>199</v>
      </c>
      <c r="E274" s="334">
        <v>39</v>
      </c>
      <c r="F274" s="333" t="s">
        <v>745</v>
      </c>
      <c r="G274" s="334" t="s">
        <v>1165</v>
      </c>
      <c r="H274" s="333" t="s">
        <v>1166</v>
      </c>
      <c r="I274" s="334" t="s">
        <v>1165</v>
      </c>
      <c r="J274" s="333" t="s">
        <v>1167</v>
      </c>
      <c r="K274" s="333" t="s">
        <v>1168</v>
      </c>
      <c r="L274" s="334">
        <v>3903005</v>
      </c>
      <c r="M274" s="333" t="s">
        <v>1169</v>
      </c>
      <c r="N274" s="334">
        <v>3903005</v>
      </c>
      <c r="O274" s="333" t="s">
        <v>1169</v>
      </c>
      <c r="P274" s="343" t="s">
        <v>1170</v>
      </c>
      <c r="Q274" s="336" t="s">
        <v>1171</v>
      </c>
      <c r="R274" s="343" t="s">
        <v>1170</v>
      </c>
      <c r="S274" s="336" t="s">
        <v>1171</v>
      </c>
      <c r="T274" s="337" t="s">
        <v>69</v>
      </c>
      <c r="U274" s="335">
        <v>1</v>
      </c>
      <c r="V274" s="335"/>
      <c r="W274" s="335">
        <f>+U274+V274</f>
        <v>1</v>
      </c>
      <c r="X274" s="335">
        <v>0</v>
      </c>
      <c r="Y274" s="338">
        <v>2020003630140</v>
      </c>
      <c r="Z274" s="344" t="s">
        <v>1172</v>
      </c>
      <c r="AA274" s="344" t="s">
        <v>1173</v>
      </c>
      <c r="AB274" s="340"/>
      <c r="AC274" s="340"/>
      <c r="AD274" s="340"/>
      <c r="AE274" s="341"/>
      <c r="AF274" s="341"/>
      <c r="AG274" s="341"/>
      <c r="AH274" s="341"/>
      <c r="AI274" s="341"/>
      <c r="AJ274" s="341"/>
      <c r="AK274" s="341"/>
      <c r="AL274" s="341"/>
      <c r="AM274" s="341"/>
      <c r="AN274" s="341"/>
      <c r="AO274" s="341"/>
      <c r="AP274" s="341"/>
      <c r="AQ274" s="341"/>
      <c r="AR274" s="341"/>
      <c r="AS274" s="341"/>
      <c r="AT274" s="138">
        <v>7573173</v>
      </c>
      <c r="AU274" s="341"/>
      <c r="AV274" s="341"/>
      <c r="AW274" s="341"/>
      <c r="AX274" s="341"/>
      <c r="AY274" s="341"/>
      <c r="AZ274" s="341"/>
      <c r="BA274" s="341"/>
      <c r="BB274" s="341"/>
      <c r="BC274" s="341"/>
      <c r="BD274" s="341"/>
      <c r="BE274" s="341"/>
      <c r="BF274" s="138">
        <f t="shared" si="27"/>
        <v>7573173</v>
      </c>
      <c r="BG274" s="138">
        <f t="shared" si="28"/>
        <v>0</v>
      </c>
      <c r="BH274" s="138">
        <f t="shared" si="29"/>
        <v>0</v>
      </c>
      <c r="BI274" s="342" t="s">
        <v>13</v>
      </c>
    </row>
    <row r="275" spans="1:62" s="151" customFormat="1" ht="51">
      <c r="A275" s="332">
        <v>324</v>
      </c>
      <c r="B275" s="333" t="s">
        <v>1125</v>
      </c>
      <c r="C275" s="334">
        <v>2</v>
      </c>
      <c r="D275" s="333" t="s">
        <v>199</v>
      </c>
      <c r="E275" s="334">
        <v>39</v>
      </c>
      <c r="F275" s="333" t="s">
        <v>745</v>
      </c>
      <c r="G275" s="334" t="s">
        <v>1165</v>
      </c>
      <c r="H275" s="333" t="s">
        <v>1166</v>
      </c>
      <c r="I275" s="334" t="s">
        <v>1165</v>
      </c>
      <c r="J275" s="333" t="s">
        <v>1167</v>
      </c>
      <c r="K275" s="333" t="s">
        <v>1168</v>
      </c>
      <c r="L275" s="334">
        <v>3903005</v>
      </c>
      <c r="M275" s="333" t="s">
        <v>1169</v>
      </c>
      <c r="N275" s="334">
        <v>3903005</v>
      </c>
      <c r="O275" s="333" t="s">
        <v>1169</v>
      </c>
      <c r="P275" s="343" t="s">
        <v>1174</v>
      </c>
      <c r="Q275" s="336" t="s">
        <v>1175</v>
      </c>
      <c r="R275" s="343" t="s">
        <v>1174</v>
      </c>
      <c r="S275" s="336" t="s">
        <v>1175</v>
      </c>
      <c r="T275" s="337" t="s">
        <v>157</v>
      </c>
      <c r="U275" s="335">
        <v>80</v>
      </c>
      <c r="V275" s="335"/>
      <c r="W275" s="335">
        <f>+U275+V275</f>
        <v>80</v>
      </c>
      <c r="X275" s="335">
        <v>0</v>
      </c>
      <c r="Y275" s="338">
        <v>2020003630140</v>
      </c>
      <c r="Z275" s="339" t="s">
        <v>1172</v>
      </c>
      <c r="AA275" s="333" t="s">
        <v>1173</v>
      </c>
      <c r="AB275" s="340"/>
      <c r="AC275" s="340"/>
      <c r="AD275" s="340"/>
      <c r="AE275" s="341"/>
      <c r="AF275" s="341"/>
      <c r="AG275" s="341"/>
      <c r="AH275" s="341"/>
      <c r="AI275" s="341"/>
      <c r="AJ275" s="341"/>
      <c r="AK275" s="341"/>
      <c r="AL275" s="341"/>
      <c r="AM275" s="341"/>
      <c r="AN275" s="341"/>
      <c r="AO275" s="341"/>
      <c r="AP275" s="341"/>
      <c r="AQ275" s="341"/>
      <c r="AR275" s="341"/>
      <c r="AS275" s="341"/>
      <c r="AT275" s="138">
        <f>7573173+12000000</f>
        <v>19573173</v>
      </c>
      <c r="AU275" s="341">
        <v>17173173</v>
      </c>
      <c r="AV275" s="341">
        <v>3900000</v>
      </c>
      <c r="AW275" s="341"/>
      <c r="AX275" s="341"/>
      <c r="AY275" s="341"/>
      <c r="AZ275" s="341"/>
      <c r="BA275" s="341"/>
      <c r="BB275" s="341"/>
      <c r="BC275" s="341"/>
      <c r="BD275" s="341"/>
      <c r="BE275" s="341"/>
      <c r="BF275" s="138">
        <f t="shared" si="27"/>
        <v>19573173</v>
      </c>
      <c r="BG275" s="138">
        <f t="shared" si="28"/>
        <v>17173173</v>
      </c>
      <c r="BH275" s="138">
        <f t="shared" si="29"/>
        <v>3900000</v>
      </c>
      <c r="BI275" s="342" t="s">
        <v>13</v>
      </c>
    </row>
    <row r="276" spans="1:62" s="151" customFormat="1" ht="51">
      <c r="A276" s="332">
        <v>324</v>
      </c>
      <c r="B276" s="333" t="s">
        <v>1125</v>
      </c>
      <c r="C276" s="334">
        <v>2</v>
      </c>
      <c r="D276" s="333" t="s">
        <v>199</v>
      </c>
      <c r="E276" s="334">
        <v>39</v>
      </c>
      <c r="F276" s="333" t="s">
        <v>745</v>
      </c>
      <c r="G276" s="334" t="s">
        <v>1165</v>
      </c>
      <c r="H276" s="333" t="s">
        <v>1166</v>
      </c>
      <c r="I276" s="334" t="s">
        <v>1165</v>
      </c>
      <c r="J276" s="333" t="s">
        <v>1167</v>
      </c>
      <c r="K276" s="333" t="s">
        <v>1168</v>
      </c>
      <c r="L276" s="334">
        <v>3903005</v>
      </c>
      <c r="M276" s="333" t="s">
        <v>1169</v>
      </c>
      <c r="N276" s="334">
        <v>3903005</v>
      </c>
      <c r="O276" s="333" t="s">
        <v>1169</v>
      </c>
      <c r="P276" s="343" t="s">
        <v>1176</v>
      </c>
      <c r="Q276" s="336" t="s">
        <v>1177</v>
      </c>
      <c r="R276" s="343" t="s">
        <v>1176</v>
      </c>
      <c r="S276" s="336" t="s">
        <v>1177</v>
      </c>
      <c r="T276" s="337" t="s">
        <v>157</v>
      </c>
      <c r="U276" s="335">
        <v>80</v>
      </c>
      <c r="V276" s="335"/>
      <c r="W276" s="335">
        <f>+U276+V276</f>
        <v>80</v>
      </c>
      <c r="X276" s="335">
        <v>0</v>
      </c>
      <c r="Y276" s="338">
        <v>2020003630140</v>
      </c>
      <c r="Z276" s="339" t="s">
        <v>1172</v>
      </c>
      <c r="AA276" s="333" t="s">
        <v>1173</v>
      </c>
      <c r="AB276" s="340"/>
      <c r="AC276" s="340"/>
      <c r="AD276" s="340"/>
      <c r="AE276" s="341"/>
      <c r="AF276" s="341"/>
      <c r="AG276" s="341"/>
      <c r="AH276" s="341"/>
      <c r="AI276" s="341"/>
      <c r="AJ276" s="341"/>
      <c r="AK276" s="341"/>
      <c r="AL276" s="341"/>
      <c r="AM276" s="341"/>
      <c r="AN276" s="341"/>
      <c r="AO276" s="341"/>
      <c r="AP276" s="341"/>
      <c r="AQ276" s="341"/>
      <c r="AR276" s="138"/>
      <c r="AS276" s="138"/>
      <c r="AT276" s="345">
        <f>7573172+12000000</f>
        <v>19573172</v>
      </c>
      <c r="AU276" s="138">
        <v>5573173</v>
      </c>
      <c r="AV276" s="138"/>
      <c r="AW276" s="341"/>
      <c r="AX276" s="341"/>
      <c r="AY276" s="341"/>
      <c r="AZ276" s="341"/>
      <c r="BA276" s="341"/>
      <c r="BB276" s="341"/>
      <c r="BC276" s="341"/>
      <c r="BD276" s="341"/>
      <c r="BE276" s="341"/>
      <c r="BF276" s="138">
        <f t="shared" si="27"/>
        <v>19573172</v>
      </c>
      <c r="BG276" s="138">
        <f t="shared" si="28"/>
        <v>5573173</v>
      </c>
      <c r="BH276" s="138">
        <f t="shared" si="29"/>
        <v>0</v>
      </c>
      <c r="BI276" s="342" t="s">
        <v>13</v>
      </c>
    </row>
    <row r="277" spans="1:62" s="151" customFormat="1" ht="51">
      <c r="A277" s="332">
        <v>324</v>
      </c>
      <c r="B277" s="333" t="s">
        <v>1125</v>
      </c>
      <c r="C277" s="334">
        <v>2</v>
      </c>
      <c r="D277" s="333" t="s">
        <v>199</v>
      </c>
      <c r="E277" s="334">
        <v>39</v>
      </c>
      <c r="F277" s="333" t="s">
        <v>745</v>
      </c>
      <c r="G277" s="334">
        <v>3904</v>
      </c>
      <c r="H277" s="333" t="s">
        <v>1178</v>
      </c>
      <c r="I277" s="334">
        <v>3904</v>
      </c>
      <c r="J277" s="333" t="s">
        <v>747</v>
      </c>
      <c r="K277" s="333" t="s">
        <v>1179</v>
      </c>
      <c r="L277" s="334">
        <v>3904018</v>
      </c>
      <c r="M277" s="333" t="s">
        <v>1180</v>
      </c>
      <c r="N277" s="334">
        <v>3904018</v>
      </c>
      <c r="O277" s="333" t="s">
        <v>1180</v>
      </c>
      <c r="P277" s="343">
        <v>390401809</v>
      </c>
      <c r="Q277" s="336" t="s">
        <v>1181</v>
      </c>
      <c r="R277" s="343">
        <v>390401809</v>
      </c>
      <c r="S277" s="336" t="s">
        <v>1181</v>
      </c>
      <c r="T277" s="337" t="s">
        <v>157</v>
      </c>
      <c r="U277" s="335">
        <v>7</v>
      </c>
      <c r="V277" s="335"/>
      <c r="W277" s="335">
        <f>+U277+V277</f>
        <v>7</v>
      </c>
      <c r="X277" s="335">
        <v>0</v>
      </c>
      <c r="Y277" s="338">
        <v>2020003630040</v>
      </c>
      <c r="Z277" s="339" t="s">
        <v>1182</v>
      </c>
      <c r="AA277" s="333" t="s">
        <v>1183</v>
      </c>
      <c r="AB277" s="340"/>
      <c r="AC277" s="340"/>
      <c r="AD277" s="340"/>
      <c r="AE277" s="341"/>
      <c r="AF277" s="341"/>
      <c r="AG277" s="341"/>
      <c r="AH277" s="341"/>
      <c r="AI277" s="341"/>
      <c r="AJ277" s="341"/>
      <c r="AK277" s="341"/>
      <c r="AL277" s="341"/>
      <c r="AM277" s="341"/>
      <c r="AN277" s="341"/>
      <c r="AO277" s="341"/>
      <c r="AP277" s="341"/>
      <c r="AQ277" s="341"/>
      <c r="AR277" s="138"/>
      <c r="AS277" s="138"/>
      <c r="AT277" s="346">
        <f>18000000+5400000+5000000</f>
        <v>28400000</v>
      </c>
      <c r="AU277" s="138">
        <v>9900000</v>
      </c>
      <c r="AV277" s="138"/>
      <c r="AW277" s="341"/>
      <c r="AX277" s="341"/>
      <c r="AY277" s="341"/>
      <c r="AZ277" s="341"/>
      <c r="BA277" s="341"/>
      <c r="BB277" s="341"/>
      <c r="BC277" s="341"/>
      <c r="BD277" s="341"/>
      <c r="BE277" s="341"/>
      <c r="BF277" s="138">
        <f t="shared" si="27"/>
        <v>28400000</v>
      </c>
      <c r="BG277" s="138">
        <f t="shared" si="28"/>
        <v>9900000</v>
      </c>
      <c r="BH277" s="138">
        <f t="shared" si="29"/>
        <v>0</v>
      </c>
      <c r="BI277" s="342" t="s">
        <v>13</v>
      </c>
    </row>
    <row r="278" spans="1:62" s="151" customFormat="1" ht="83.25" customHeight="1">
      <c r="A278" s="332">
        <v>324</v>
      </c>
      <c r="B278" s="333" t="s">
        <v>1125</v>
      </c>
      <c r="C278" s="334">
        <v>4</v>
      </c>
      <c r="D278" s="333" t="s">
        <v>59</v>
      </c>
      <c r="E278" s="334">
        <v>23</v>
      </c>
      <c r="F278" s="333" t="s">
        <v>1126</v>
      </c>
      <c r="G278" s="334">
        <v>2302</v>
      </c>
      <c r="H278" s="333" t="s">
        <v>1152</v>
      </c>
      <c r="I278" s="334">
        <v>2302</v>
      </c>
      <c r="J278" s="333" t="s">
        <v>1153</v>
      </c>
      <c r="K278" s="333" t="s">
        <v>1184</v>
      </c>
      <c r="L278" s="334">
        <v>2302003</v>
      </c>
      <c r="M278" s="333" t="s">
        <v>1185</v>
      </c>
      <c r="N278" s="334">
        <v>2302003</v>
      </c>
      <c r="O278" s="333" t="s">
        <v>1185</v>
      </c>
      <c r="P278" s="343">
        <v>230200300</v>
      </c>
      <c r="Q278" s="336" t="s">
        <v>1186</v>
      </c>
      <c r="R278" s="343">
        <v>230200300</v>
      </c>
      <c r="S278" s="336" t="s">
        <v>1186</v>
      </c>
      <c r="T278" s="337" t="s">
        <v>157</v>
      </c>
      <c r="U278" s="335">
        <v>3</v>
      </c>
      <c r="V278" s="335"/>
      <c r="W278" s="335">
        <f t="shared" ref="W278:W289" si="30">U278+V278</f>
        <v>3</v>
      </c>
      <c r="X278" s="335">
        <v>0</v>
      </c>
      <c r="Y278" s="338">
        <v>2020003630141</v>
      </c>
      <c r="Z278" s="339" t="s">
        <v>1187</v>
      </c>
      <c r="AA278" s="333" t="s">
        <v>1188</v>
      </c>
      <c r="AB278" s="340"/>
      <c r="AC278" s="340"/>
      <c r="AD278" s="340"/>
      <c r="AE278" s="341"/>
      <c r="AF278" s="341"/>
      <c r="AG278" s="341"/>
      <c r="AH278" s="341"/>
      <c r="AI278" s="341"/>
      <c r="AJ278" s="341"/>
      <c r="AK278" s="341"/>
      <c r="AL278" s="341"/>
      <c r="AM278" s="341"/>
      <c r="AN278" s="341"/>
      <c r="AO278" s="341"/>
      <c r="AP278" s="341"/>
      <c r="AQ278" s="341"/>
      <c r="AR278" s="341"/>
      <c r="AS278" s="341"/>
      <c r="AT278" s="341">
        <f>120000000+36000000</f>
        <v>156000000</v>
      </c>
      <c r="AU278" s="341"/>
      <c r="AV278" s="341"/>
      <c r="AW278" s="341"/>
      <c r="AX278" s="341"/>
      <c r="AY278" s="341"/>
      <c r="AZ278" s="341"/>
      <c r="BA278" s="341"/>
      <c r="BB278" s="341"/>
      <c r="BC278" s="341"/>
      <c r="BD278" s="341"/>
      <c r="BE278" s="341"/>
      <c r="BF278" s="138">
        <f t="shared" si="27"/>
        <v>156000000</v>
      </c>
      <c r="BG278" s="138">
        <f t="shared" si="28"/>
        <v>0</v>
      </c>
      <c r="BH278" s="138">
        <f t="shared" si="29"/>
        <v>0</v>
      </c>
      <c r="BI278" s="342" t="s">
        <v>13</v>
      </c>
    </row>
    <row r="279" spans="1:62" s="151" customFormat="1" ht="83.25" customHeight="1">
      <c r="A279" s="332">
        <v>324</v>
      </c>
      <c r="B279" s="333" t="s">
        <v>1125</v>
      </c>
      <c r="C279" s="334">
        <v>4</v>
      </c>
      <c r="D279" s="333" t="s">
        <v>59</v>
      </c>
      <c r="E279" s="334">
        <v>23</v>
      </c>
      <c r="F279" s="333" t="s">
        <v>1126</v>
      </c>
      <c r="G279" s="334">
        <v>2302</v>
      </c>
      <c r="H279" s="333" t="s">
        <v>1152</v>
      </c>
      <c r="I279" s="334">
        <v>2302</v>
      </c>
      <c r="J279" s="333" t="s">
        <v>1153</v>
      </c>
      <c r="K279" s="333" t="s">
        <v>1184</v>
      </c>
      <c r="L279" s="334">
        <v>2302033</v>
      </c>
      <c r="M279" s="333" t="s">
        <v>1189</v>
      </c>
      <c r="N279" s="334">
        <v>2302033</v>
      </c>
      <c r="O279" s="333" t="s">
        <v>1189</v>
      </c>
      <c r="P279" s="343">
        <v>230203300</v>
      </c>
      <c r="Q279" s="336" t="s">
        <v>1190</v>
      </c>
      <c r="R279" s="343">
        <v>230203300</v>
      </c>
      <c r="S279" s="336" t="s">
        <v>1190</v>
      </c>
      <c r="T279" s="337" t="s">
        <v>69</v>
      </c>
      <c r="U279" s="335">
        <v>100</v>
      </c>
      <c r="V279" s="335"/>
      <c r="W279" s="335">
        <f t="shared" si="30"/>
        <v>100</v>
      </c>
      <c r="X279" s="335">
        <v>24</v>
      </c>
      <c r="Y279" s="338">
        <v>2020003630141</v>
      </c>
      <c r="Z279" s="339" t="s">
        <v>1187</v>
      </c>
      <c r="AA279" s="333" t="s">
        <v>1188</v>
      </c>
      <c r="AB279" s="340"/>
      <c r="AC279" s="340"/>
      <c r="AD279" s="340"/>
      <c r="AE279" s="341"/>
      <c r="AF279" s="341"/>
      <c r="AG279" s="341"/>
      <c r="AH279" s="341"/>
      <c r="AI279" s="341"/>
      <c r="AJ279" s="341"/>
      <c r="AK279" s="341"/>
      <c r="AL279" s="341"/>
      <c r="AM279" s="341"/>
      <c r="AN279" s="341"/>
      <c r="AO279" s="341"/>
      <c r="AP279" s="341"/>
      <c r="AQ279" s="341"/>
      <c r="AR279" s="341"/>
      <c r="AS279" s="341"/>
      <c r="AT279" s="341">
        <f>50000000+15000000</f>
        <v>65000000</v>
      </c>
      <c r="AU279" s="341">
        <v>20600000</v>
      </c>
      <c r="AV279" s="341">
        <v>12800000</v>
      </c>
      <c r="AW279" s="341"/>
      <c r="AX279" s="341"/>
      <c r="AY279" s="341"/>
      <c r="AZ279" s="341"/>
      <c r="BA279" s="341"/>
      <c r="BB279" s="341"/>
      <c r="BC279" s="341"/>
      <c r="BD279" s="341"/>
      <c r="BE279" s="341"/>
      <c r="BF279" s="138">
        <f t="shared" si="27"/>
        <v>65000000</v>
      </c>
      <c r="BG279" s="138">
        <f t="shared" si="28"/>
        <v>20600000</v>
      </c>
      <c r="BH279" s="138">
        <f t="shared" si="29"/>
        <v>12800000</v>
      </c>
      <c r="BI279" s="342" t="s">
        <v>13</v>
      </c>
    </row>
    <row r="280" spans="1:62" s="151" customFormat="1" ht="83.25" customHeight="1">
      <c r="A280" s="332">
        <v>324</v>
      </c>
      <c r="B280" s="333" t="s">
        <v>1125</v>
      </c>
      <c r="C280" s="334">
        <v>4</v>
      </c>
      <c r="D280" s="333" t="s">
        <v>59</v>
      </c>
      <c r="E280" s="334">
        <v>23</v>
      </c>
      <c r="F280" s="333" t="s">
        <v>1126</v>
      </c>
      <c r="G280" s="334">
        <v>2302</v>
      </c>
      <c r="H280" s="333" t="s">
        <v>1152</v>
      </c>
      <c r="I280" s="334">
        <v>2302</v>
      </c>
      <c r="J280" s="333" t="s">
        <v>1153</v>
      </c>
      <c r="K280" s="333" t="s">
        <v>1184</v>
      </c>
      <c r="L280" s="334">
        <v>2302066</v>
      </c>
      <c r="M280" s="333" t="s">
        <v>1191</v>
      </c>
      <c r="N280" s="334">
        <v>2302066</v>
      </c>
      <c r="O280" s="333" t="s">
        <v>1191</v>
      </c>
      <c r="P280" s="343">
        <v>230206600</v>
      </c>
      <c r="Q280" s="336" t="s">
        <v>1192</v>
      </c>
      <c r="R280" s="343">
        <v>230206600</v>
      </c>
      <c r="S280" s="336" t="s">
        <v>1192</v>
      </c>
      <c r="T280" s="337" t="s">
        <v>157</v>
      </c>
      <c r="U280" s="335">
        <v>60</v>
      </c>
      <c r="V280" s="335"/>
      <c r="W280" s="335">
        <f t="shared" si="30"/>
        <v>60</v>
      </c>
      <c r="X280" s="335">
        <v>24</v>
      </c>
      <c r="Y280" s="338">
        <v>2020003630141</v>
      </c>
      <c r="Z280" s="339" t="s">
        <v>1187</v>
      </c>
      <c r="AA280" s="333" t="s">
        <v>1188</v>
      </c>
      <c r="AB280" s="340"/>
      <c r="AC280" s="340"/>
      <c r="AD280" s="340"/>
      <c r="AE280" s="341"/>
      <c r="AF280" s="341"/>
      <c r="AG280" s="341"/>
      <c r="AH280" s="341"/>
      <c r="AI280" s="341"/>
      <c r="AJ280" s="341"/>
      <c r="AK280" s="341"/>
      <c r="AL280" s="341"/>
      <c r="AM280" s="341"/>
      <c r="AN280" s="341"/>
      <c r="AO280" s="341"/>
      <c r="AP280" s="341"/>
      <c r="AQ280" s="341"/>
      <c r="AR280" s="341"/>
      <c r="AS280" s="341"/>
      <c r="AT280" s="341">
        <f>60000000+18000000</f>
        <v>78000000</v>
      </c>
      <c r="AU280" s="341">
        <v>21000000</v>
      </c>
      <c r="AV280" s="341">
        <v>3200000</v>
      </c>
      <c r="AW280" s="341"/>
      <c r="AX280" s="341"/>
      <c r="AY280" s="341"/>
      <c r="AZ280" s="341"/>
      <c r="BA280" s="341"/>
      <c r="BB280" s="341"/>
      <c r="BC280" s="341"/>
      <c r="BD280" s="341"/>
      <c r="BE280" s="341"/>
      <c r="BF280" s="138">
        <f t="shared" si="27"/>
        <v>78000000</v>
      </c>
      <c r="BG280" s="138">
        <f t="shared" si="28"/>
        <v>21000000</v>
      </c>
      <c r="BH280" s="138">
        <f t="shared" si="29"/>
        <v>3200000</v>
      </c>
      <c r="BI280" s="342" t="s">
        <v>13</v>
      </c>
      <c r="BJ280" s="150"/>
    </row>
    <row r="281" spans="1:62" s="151" customFormat="1" ht="83.25" customHeight="1">
      <c r="A281" s="332">
        <v>324</v>
      </c>
      <c r="B281" s="333" t="s">
        <v>1125</v>
      </c>
      <c r="C281" s="334">
        <v>4</v>
      </c>
      <c r="D281" s="333" t="s">
        <v>59</v>
      </c>
      <c r="E281" s="334">
        <v>23</v>
      </c>
      <c r="F281" s="333" t="s">
        <v>1126</v>
      </c>
      <c r="G281" s="334">
        <v>2302</v>
      </c>
      <c r="H281" s="333" t="s">
        <v>1152</v>
      </c>
      <c r="I281" s="334">
        <v>2302</v>
      </c>
      <c r="J281" s="333" t="s">
        <v>1153</v>
      </c>
      <c r="K281" s="333" t="s">
        <v>1184</v>
      </c>
      <c r="L281" s="334">
        <v>2302004</v>
      </c>
      <c r="M281" s="333" t="s">
        <v>1193</v>
      </c>
      <c r="N281" s="334">
        <v>2302004</v>
      </c>
      <c r="O281" s="333" t="s">
        <v>1193</v>
      </c>
      <c r="P281" s="343">
        <v>230200403</v>
      </c>
      <c r="Q281" s="336" t="s">
        <v>1194</v>
      </c>
      <c r="R281" s="343">
        <v>230200403</v>
      </c>
      <c r="S281" s="336" t="s">
        <v>1194</v>
      </c>
      <c r="T281" s="337" t="s">
        <v>69</v>
      </c>
      <c r="U281" s="335">
        <v>1</v>
      </c>
      <c r="V281" s="335"/>
      <c r="W281" s="335">
        <f t="shared" si="30"/>
        <v>1</v>
      </c>
      <c r="X281" s="335">
        <v>0.2</v>
      </c>
      <c r="Y281" s="338">
        <v>2020003630141</v>
      </c>
      <c r="Z281" s="339" t="s">
        <v>1187</v>
      </c>
      <c r="AA281" s="333" t="s">
        <v>1188</v>
      </c>
      <c r="AB281" s="340"/>
      <c r="AC281" s="340"/>
      <c r="AD281" s="340"/>
      <c r="AE281" s="341"/>
      <c r="AF281" s="341"/>
      <c r="AG281" s="341"/>
      <c r="AH281" s="341"/>
      <c r="AI281" s="341"/>
      <c r="AJ281" s="341"/>
      <c r="AK281" s="341"/>
      <c r="AL281" s="341"/>
      <c r="AM281" s="341"/>
      <c r="AN281" s="341"/>
      <c r="AO281" s="341"/>
      <c r="AP281" s="341"/>
      <c r="AQ281" s="341"/>
      <c r="AR281" s="341"/>
      <c r="AS281" s="341"/>
      <c r="AT281" s="341">
        <v>25000000</v>
      </c>
      <c r="AU281" s="341">
        <v>14200000</v>
      </c>
      <c r="AV281" s="341"/>
      <c r="AW281" s="341"/>
      <c r="AX281" s="341"/>
      <c r="AY281" s="341"/>
      <c r="AZ281" s="341"/>
      <c r="BA281" s="341"/>
      <c r="BB281" s="341"/>
      <c r="BC281" s="341"/>
      <c r="BD281" s="341"/>
      <c r="BE281" s="341"/>
      <c r="BF281" s="138">
        <f t="shared" si="27"/>
        <v>25000000</v>
      </c>
      <c r="BG281" s="138">
        <f t="shared" si="28"/>
        <v>14200000</v>
      </c>
      <c r="BH281" s="138">
        <f t="shared" si="29"/>
        <v>0</v>
      </c>
      <c r="BI281" s="342" t="s">
        <v>13</v>
      </c>
      <c r="BJ281" s="347"/>
    </row>
    <row r="282" spans="1:62" s="151" customFormat="1" ht="83.25" customHeight="1">
      <c r="A282" s="332">
        <v>324</v>
      </c>
      <c r="B282" s="333" t="s">
        <v>1125</v>
      </c>
      <c r="C282" s="334">
        <v>4</v>
      </c>
      <c r="D282" s="333" t="s">
        <v>59</v>
      </c>
      <c r="E282" s="334">
        <v>23</v>
      </c>
      <c r="F282" s="333" t="s">
        <v>1126</v>
      </c>
      <c r="G282" s="334">
        <v>2302</v>
      </c>
      <c r="H282" s="333" t="s">
        <v>1152</v>
      </c>
      <c r="I282" s="334">
        <v>2302</v>
      </c>
      <c r="J282" s="333" t="s">
        <v>1153</v>
      </c>
      <c r="K282" s="333" t="s">
        <v>1184</v>
      </c>
      <c r="L282" s="343">
        <v>2302007</v>
      </c>
      <c r="M282" s="333" t="s">
        <v>1195</v>
      </c>
      <c r="N282" s="334">
        <v>2302007</v>
      </c>
      <c r="O282" s="333" t="s">
        <v>1195</v>
      </c>
      <c r="P282" s="343">
        <v>230200701</v>
      </c>
      <c r="Q282" s="344" t="s">
        <v>1196</v>
      </c>
      <c r="R282" s="343">
        <v>230200701</v>
      </c>
      <c r="S282" s="336" t="s">
        <v>1196</v>
      </c>
      <c r="T282" s="337" t="s">
        <v>69</v>
      </c>
      <c r="U282" s="335">
        <v>1</v>
      </c>
      <c r="V282" s="335"/>
      <c r="W282" s="335">
        <f t="shared" si="30"/>
        <v>1</v>
      </c>
      <c r="X282" s="335">
        <v>0.3</v>
      </c>
      <c r="Y282" s="338">
        <v>2020003630141</v>
      </c>
      <c r="Z282" s="339" t="s">
        <v>1187</v>
      </c>
      <c r="AA282" s="333" t="s">
        <v>1188</v>
      </c>
      <c r="AB282" s="340"/>
      <c r="AC282" s="340"/>
      <c r="AD282" s="340"/>
      <c r="AE282" s="341"/>
      <c r="AF282" s="341"/>
      <c r="AG282" s="341"/>
      <c r="AH282" s="341"/>
      <c r="AI282" s="341"/>
      <c r="AJ282" s="341"/>
      <c r="AK282" s="341"/>
      <c r="AL282" s="341"/>
      <c r="AM282" s="341"/>
      <c r="AN282" s="341"/>
      <c r="AO282" s="341"/>
      <c r="AP282" s="341"/>
      <c r="AQ282" s="341"/>
      <c r="AR282" s="341"/>
      <c r="AS282" s="341"/>
      <c r="AT282" s="341">
        <v>25000000</v>
      </c>
      <c r="AU282" s="341">
        <v>23000000</v>
      </c>
      <c r="AV282" s="341">
        <v>23000000</v>
      </c>
      <c r="AW282" s="341"/>
      <c r="AX282" s="341"/>
      <c r="AY282" s="341"/>
      <c r="AZ282" s="341"/>
      <c r="BA282" s="341"/>
      <c r="BB282" s="341"/>
      <c r="BC282" s="341"/>
      <c r="BD282" s="341"/>
      <c r="BE282" s="341"/>
      <c r="BF282" s="138">
        <f t="shared" si="27"/>
        <v>25000000</v>
      </c>
      <c r="BG282" s="138">
        <f t="shared" si="28"/>
        <v>23000000</v>
      </c>
      <c r="BH282" s="138">
        <f t="shared" si="29"/>
        <v>23000000</v>
      </c>
      <c r="BI282" s="342" t="s">
        <v>13</v>
      </c>
    </row>
    <row r="283" spans="1:62" s="151" customFormat="1" ht="83.25" customHeight="1">
      <c r="A283" s="332">
        <v>324</v>
      </c>
      <c r="B283" s="333" t="s">
        <v>1125</v>
      </c>
      <c r="C283" s="334">
        <v>4</v>
      </c>
      <c r="D283" s="333" t="s">
        <v>59</v>
      </c>
      <c r="E283" s="334">
        <v>23</v>
      </c>
      <c r="F283" s="333" t="s">
        <v>1126</v>
      </c>
      <c r="G283" s="334">
        <v>2302</v>
      </c>
      <c r="H283" s="333" t="s">
        <v>1152</v>
      </c>
      <c r="I283" s="334">
        <v>2302</v>
      </c>
      <c r="J283" s="333" t="s">
        <v>1153</v>
      </c>
      <c r="K283" s="333" t="s">
        <v>1184</v>
      </c>
      <c r="L283" s="334">
        <v>2302083</v>
      </c>
      <c r="M283" s="333" t="s">
        <v>101</v>
      </c>
      <c r="N283" s="334">
        <v>2302083</v>
      </c>
      <c r="O283" s="333" t="s">
        <v>101</v>
      </c>
      <c r="P283" s="343">
        <v>230208300</v>
      </c>
      <c r="Q283" s="336" t="s">
        <v>539</v>
      </c>
      <c r="R283" s="343">
        <v>230208300</v>
      </c>
      <c r="S283" s="336" t="s">
        <v>539</v>
      </c>
      <c r="T283" s="337" t="s">
        <v>69</v>
      </c>
      <c r="U283" s="335">
        <v>1</v>
      </c>
      <c r="V283" s="335"/>
      <c r="W283" s="335">
        <f t="shared" si="30"/>
        <v>1</v>
      </c>
      <c r="X283" s="335">
        <v>0.3</v>
      </c>
      <c r="Y283" s="338">
        <v>2020003630141</v>
      </c>
      <c r="Z283" s="339" t="s">
        <v>1187</v>
      </c>
      <c r="AA283" s="333" t="s">
        <v>1188</v>
      </c>
      <c r="AB283" s="348"/>
      <c r="AC283" s="348"/>
      <c r="AD283" s="348"/>
      <c r="AE283" s="349"/>
      <c r="AF283" s="349"/>
      <c r="AG283" s="349"/>
      <c r="AH283" s="349"/>
      <c r="AI283" s="349"/>
      <c r="AJ283" s="349"/>
      <c r="AK283" s="349"/>
      <c r="AL283" s="349"/>
      <c r="AM283" s="349"/>
      <c r="AN283" s="349"/>
      <c r="AO283" s="349"/>
      <c r="AP283" s="349"/>
      <c r="AQ283" s="349"/>
      <c r="AR283" s="349"/>
      <c r="AS283" s="349"/>
      <c r="AT283" s="349">
        <v>18000000</v>
      </c>
      <c r="AU283" s="349">
        <v>15750000</v>
      </c>
      <c r="AV283" s="349">
        <v>3400000</v>
      </c>
      <c r="AW283" s="349"/>
      <c r="AX283" s="349"/>
      <c r="AY283" s="349"/>
      <c r="AZ283" s="349"/>
      <c r="BA283" s="349"/>
      <c r="BB283" s="349"/>
      <c r="BC283" s="349"/>
      <c r="BD283" s="349"/>
      <c r="BE283" s="349"/>
      <c r="BF283" s="138">
        <f t="shared" si="27"/>
        <v>18000000</v>
      </c>
      <c r="BG283" s="138">
        <f t="shared" si="28"/>
        <v>15750000</v>
      </c>
      <c r="BH283" s="138">
        <f t="shared" si="29"/>
        <v>3400000</v>
      </c>
      <c r="BI283" s="350" t="s">
        <v>13</v>
      </c>
      <c r="BJ283" s="150"/>
    </row>
    <row r="284" spans="1:62" s="151" customFormat="1" ht="90" customHeight="1">
      <c r="A284" s="139">
        <v>319</v>
      </c>
      <c r="B284" s="140" t="s">
        <v>1197</v>
      </c>
      <c r="C284" s="139">
        <v>1</v>
      </c>
      <c r="D284" s="140" t="s">
        <v>148</v>
      </c>
      <c r="E284" s="139">
        <v>43</v>
      </c>
      <c r="F284" s="140" t="s">
        <v>189</v>
      </c>
      <c r="G284" s="139">
        <v>4301</v>
      </c>
      <c r="H284" s="140" t="s">
        <v>190</v>
      </c>
      <c r="I284" s="139">
        <v>4301</v>
      </c>
      <c r="J284" s="140" t="s">
        <v>191</v>
      </c>
      <c r="K284" s="142" t="s">
        <v>1198</v>
      </c>
      <c r="L284" s="139">
        <v>4301007</v>
      </c>
      <c r="M284" s="140" t="s">
        <v>1199</v>
      </c>
      <c r="N284" s="139">
        <v>4301007</v>
      </c>
      <c r="O284" s="140" t="s">
        <v>1199</v>
      </c>
      <c r="P284" s="139">
        <v>430100701</v>
      </c>
      <c r="Q284" s="142" t="s">
        <v>1200</v>
      </c>
      <c r="R284" s="139">
        <v>430100701</v>
      </c>
      <c r="S284" s="142" t="s">
        <v>1200</v>
      </c>
      <c r="T284" s="299" t="s">
        <v>69</v>
      </c>
      <c r="U284" s="145">
        <v>12</v>
      </c>
      <c r="V284" s="145"/>
      <c r="W284" s="145">
        <f t="shared" si="30"/>
        <v>12</v>
      </c>
      <c r="X284" s="145">
        <v>12</v>
      </c>
      <c r="Y284" s="146">
        <v>2020003630009</v>
      </c>
      <c r="Z284" s="147" t="s">
        <v>1201</v>
      </c>
      <c r="AA284" s="140" t="s">
        <v>1202</v>
      </c>
      <c r="AB284" s="130">
        <f>180000000-130000000+14438423</f>
        <v>64438423</v>
      </c>
      <c r="AC284" s="130">
        <v>52038423</v>
      </c>
      <c r="AD284" s="130">
        <v>14100000</v>
      </c>
      <c r="AE284" s="136">
        <f>90000000+32638555.31</f>
        <v>122638555.31</v>
      </c>
      <c r="AF284" s="136">
        <v>29850000</v>
      </c>
      <c r="AG284" s="136">
        <v>5700000</v>
      </c>
      <c r="AH284" s="130"/>
      <c r="AI284" s="130"/>
      <c r="AJ284" s="130"/>
      <c r="AK284" s="130"/>
      <c r="AL284" s="130"/>
      <c r="AM284" s="130"/>
      <c r="AN284" s="130"/>
      <c r="AO284" s="130"/>
      <c r="AP284" s="130"/>
      <c r="AQ284" s="130"/>
      <c r="AR284" s="130"/>
      <c r="AS284" s="130"/>
      <c r="AT284" s="136"/>
      <c r="AU284" s="136"/>
      <c r="AV284" s="136"/>
      <c r="AW284" s="136">
        <f>3572323.73+5666988.9+20941076.97+687251349+3784602.21+91483765.3</f>
        <v>812700106.11000001</v>
      </c>
      <c r="AX284" s="136">
        <v>32311577</v>
      </c>
      <c r="AY284" s="136">
        <v>8050000</v>
      </c>
      <c r="AZ284" s="136"/>
      <c r="BA284" s="136"/>
      <c r="BB284" s="136"/>
      <c r="BC284" s="130">
        <v>430000000</v>
      </c>
      <c r="BD284" s="130"/>
      <c r="BE284" s="130"/>
      <c r="BF284" s="138">
        <f t="shared" si="27"/>
        <v>1429777084.4200001</v>
      </c>
      <c r="BG284" s="138">
        <f t="shared" si="28"/>
        <v>114200000</v>
      </c>
      <c r="BH284" s="138">
        <f t="shared" si="29"/>
        <v>27850000</v>
      </c>
      <c r="BI284" s="149" t="s">
        <v>4</v>
      </c>
    </row>
    <row r="285" spans="1:62" s="151" customFormat="1" ht="88.5" customHeight="1">
      <c r="A285" s="139">
        <v>319</v>
      </c>
      <c r="B285" s="140" t="s">
        <v>1197</v>
      </c>
      <c r="C285" s="139">
        <v>1</v>
      </c>
      <c r="D285" s="140" t="s">
        <v>148</v>
      </c>
      <c r="E285" s="139">
        <v>43</v>
      </c>
      <c r="F285" s="140" t="s">
        <v>189</v>
      </c>
      <c r="G285" s="139">
        <v>4301</v>
      </c>
      <c r="H285" s="140" t="s">
        <v>190</v>
      </c>
      <c r="I285" s="139">
        <v>4301</v>
      </c>
      <c r="J285" s="140" t="s">
        <v>191</v>
      </c>
      <c r="K285" s="142" t="s">
        <v>1198</v>
      </c>
      <c r="L285" s="139">
        <v>4301037</v>
      </c>
      <c r="M285" s="140" t="s">
        <v>1203</v>
      </c>
      <c r="N285" s="139">
        <v>4301037</v>
      </c>
      <c r="O285" s="140" t="s">
        <v>1203</v>
      </c>
      <c r="P285" s="139">
        <v>430103701</v>
      </c>
      <c r="Q285" s="142" t="s">
        <v>1204</v>
      </c>
      <c r="R285" s="139">
        <v>430103701</v>
      </c>
      <c r="S285" s="142" t="s">
        <v>1204</v>
      </c>
      <c r="T285" s="145" t="s">
        <v>69</v>
      </c>
      <c r="U285" s="145">
        <v>12</v>
      </c>
      <c r="V285" s="145"/>
      <c r="W285" s="145">
        <f t="shared" si="30"/>
        <v>12</v>
      </c>
      <c r="X285" s="145">
        <v>12</v>
      </c>
      <c r="Y285" s="146">
        <v>2020003630009</v>
      </c>
      <c r="Z285" s="147" t="s">
        <v>1201</v>
      </c>
      <c r="AA285" s="140" t="s">
        <v>1202</v>
      </c>
      <c r="AB285" s="138">
        <f>20000000-20000000</f>
        <v>0</v>
      </c>
      <c r="AC285" s="138"/>
      <c r="AD285" s="138"/>
      <c r="AE285" s="136">
        <v>166500000</v>
      </c>
      <c r="AF285" s="136">
        <v>9400000</v>
      </c>
      <c r="AG285" s="136">
        <v>2350000</v>
      </c>
      <c r="AH285" s="130"/>
      <c r="AI285" s="130"/>
      <c r="AJ285" s="130"/>
      <c r="AK285" s="130"/>
      <c r="AL285" s="130"/>
      <c r="AM285" s="130"/>
      <c r="AN285" s="130"/>
      <c r="AO285" s="130"/>
      <c r="AP285" s="130"/>
      <c r="AQ285" s="130"/>
      <c r="AR285" s="130"/>
      <c r="AS285" s="130"/>
      <c r="AT285" s="136">
        <v>0</v>
      </c>
      <c r="AU285" s="136"/>
      <c r="AV285" s="136"/>
      <c r="AW285" s="136"/>
      <c r="AX285" s="136"/>
      <c r="AY285" s="136"/>
      <c r="AZ285" s="136"/>
      <c r="BA285" s="136"/>
      <c r="BB285" s="136"/>
      <c r="BC285" s="136">
        <v>90000000</v>
      </c>
      <c r="BD285" s="136"/>
      <c r="BE285" s="136"/>
      <c r="BF285" s="138">
        <f t="shared" si="27"/>
        <v>256500000</v>
      </c>
      <c r="BG285" s="138">
        <f t="shared" si="28"/>
        <v>9400000</v>
      </c>
      <c r="BH285" s="138">
        <f t="shared" si="29"/>
        <v>2350000</v>
      </c>
      <c r="BI285" s="149" t="s">
        <v>4</v>
      </c>
    </row>
    <row r="286" spans="1:62" s="151" customFormat="1" ht="88.5" customHeight="1">
      <c r="A286" s="139">
        <v>319</v>
      </c>
      <c r="B286" s="140" t="s">
        <v>1197</v>
      </c>
      <c r="C286" s="139">
        <v>1</v>
      </c>
      <c r="D286" s="140" t="s">
        <v>148</v>
      </c>
      <c r="E286" s="139">
        <v>43</v>
      </c>
      <c r="F286" s="140" t="s">
        <v>189</v>
      </c>
      <c r="G286" s="139">
        <v>4301</v>
      </c>
      <c r="H286" s="140" t="s">
        <v>190</v>
      </c>
      <c r="I286" s="139">
        <v>4301</v>
      </c>
      <c r="J286" s="140" t="s">
        <v>191</v>
      </c>
      <c r="K286" s="142" t="s">
        <v>1198</v>
      </c>
      <c r="L286" s="139">
        <v>4301037</v>
      </c>
      <c r="M286" s="140" t="s">
        <v>1203</v>
      </c>
      <c r="N286" s="139">
        <v>4301037</v>
      </c>
      <c r="O286" s="140" t="s">
        <v>1203</v>
      </c>
      <c r="P286" s="139" t="s">
        <v>1205</v>
      </c>
      <c r="Q286" s="142" t="s">
        <v>1206</v>
      </c>
      <c r="R286" s="139" t="s">
        <v>1205</v>
      </c>
      <c r="S286" s="142" t="s">
        <v>1206</v>
      </c>
      <c r="T286" s="145" t="s">
        <v>69</v>
      </c>
      <c r="U286" s="145">
        <v>12</v>
      </c>
      <c r="V286" s="145"/>
      <c r="W286" s="145">
        <f t="shared" si="30"/>
        <v>12</v>
      </c>
      <c r="X286" s="145">
        <v>12</v>
      </c>
      <c r="Y286" s="146">
        <v>2020003630009</v>
      </c>
      <c r="Z286" s="147" t="s">
        <v>1201</v>
      </c>
      <c r="AA286" s="140" t="s">
        <v>1202</v>
      </c>
      <c r="AB286" s="130">
        <f>530000000-330000000</f>
        <v>200000000</v>
      </c>
      <c r="AC286" s="130"/>
      <c r="AD286" s="130"/>
      <c r="AE286" s="136">
        <f>80000000+50000000+14405547.65</f>
        <v>144405547.65000001</v>
      </c>
      <c r="AF286" s="136">
        <v>18205547.649999999</v>
      </c>
      <c r="AG286" s="136">
        <v>5650000</v>
      </c>
      <c r="AH286" s="130"/>
      <c r="AI286" s="130"/>
      <c r="AJ286" s="130"/>
      <c r="AK286" s="130"/>
      <c r="AL286" s="130"/>
      <c r="AM286" s="130"/>
      <c r="AN286" s="130"/>
      <c r="AO286" s="130"/>
      <c r="AP286" s="130"/>
      <c r="AQ286" s="130"/>
      <c r="AR286" s="130"/>
      <c r="AS286" s="130"/>
      <c r="AT286" s="136"/>
      <c r="AU286" s="136"/>
      <c r="AV286" s="136"/>
      <c r="AW286" s="136">
        <f>80364707+20000000+1750133.5+27919685.35+130000000+11183925.89+110159020.07+33164220.2</f>
        <v>414541692.00999999</v>
      </c>
      <c r="AX286" s="136">
        <v>171169452.35000002</v>
      </c>
      <c r="AY286" s="136">
        <v>31600000</v>
      </c>
      <c r="AZ286" s="136"/>
      <c r="BA286" s="136"/>
      <c r="BB286" s="136"/>
      <c r="BC286" s="130">
        <f>480000000+195000000+5000000</f>
        <v>680000000</v>
      </c>
      <c r="BD286" s="130">
        <v>195000000</v>
      </c>
      <c r="BE286" s="130">
        <v>92750000</v>
      </c>
      <c r="BF286" s="138">
        <f t="shared" si="27"/>
        <v>1438947239.6599998</v>
      </c>
      <c r="BG286" s="138">
        <f t="shared" si="28"/>
        <v>384375000</v>
      </c>
      <c r="BH286" s="138">
        <f t="shared" si="29"/>
        <v>130000000</v>
      </c>
      <c r="BI286" s="149" t="s">
        <v>4</v>
      </c>
    </row>
    <row r="287" spans="1:62" s="151" customFormat="1" ht="89.25">
      <c r="A287" s="139">
        <v>319</v>
      </c>
      <c r="B287" s="140" t="s">
        <v>1197</v>
      </c>
      <c r="C287" s="139">
        <v>1</v>
      </c>
      <c r="D287" s="140" t="s">
        <v>148</v>
      </c>
      <c r="E287" s="139">
        <v>43</v>
      </c>
      <c r="F287" s="140" t="s">
        <v>189</v>
      </c>
      <c r="G287" s="139">
        <v>4301</v>
      </c>
      <c r="H287" s="140" t="s">
        <v>190</v>
      </c>
      <c r="I287" s="139">
        <v>4301</v>
      </c>
      <c r="J287" s="140" t="s">
        <v>191</v>
      </c>
      <c r="K287" s="142" t="s">
        <v>1198</v>
      </c>
      <c r="L287" s="145" t="s">
        <v>61</v>
      </c>
      <c r="M287" s="140" t="s">
        <v>1207</v>
      </c>
      <c r="N287" s="139">
        <v>4301006</v>
      </c>
      <c r="O287" s="140" t="s">
        <v>1208</v>
      </c>
      <c r="P287" s="145" t="s">
        <v>61</v>
      </c>
      <c r="Q287" s="142" t="s">
        <v>1209</v>
      </c>
      <c r="R287" s="139">
        <v>430100600</v>
      </c>
      <c r="S287" s="142" t="s">
        <v>1210</v>
      </c>
      <c r="T287" s="299" t="s">
        <v>69</v>
      </c>
      <c r="U287" s="145">
        <v>1</v>
      </c>
      <c r="V287" s="145"/>
      <c r="W287" s="145">
        <f t="shared" si="30"/>
        <v>1</v>
      </c>
      <c r="X287" s="145">
        <v>0.2</v>
      </c>
      <c r="Y287" s="146">
        <v>2020003630009</v>
      </c>
      <c r="Z287" s="147" t="s">
        <v>1201</v>
      </c>
      <c r="AA287" s="140" t="s">
        <v>1202</v>
      </c>
      <c r="AB287" s="130">
        <v>0</v>
      </c>
      <c r="AC287" s="130"/>
      <c r="AD287" s="130"/>
      <c r="AE287" s="131">
        <f>100000000-50000000</f>
        <v>50000000</v>
      </c>
      <c r="AF287" s="131">
        <v>29000000</v>
      </c>
      <c r="AG287" s="131">
        <v>8000000</v>
      </c>
      <c r="AH287" s="130"/>
      <c r="AI287" s="130"/>
      <c r="AJ287" s="130"/>
      <c r="AK287" s="130"/>
      <c r="AL287" s="130"/>
      <c r="AM287" s="130"/>
      <c r="AN287" s="130"/>
      <c r="AO287" s="130"/>
      <c r="AP287" s="130"/>
      <c r="AQ287" s="130"/>
      <c r="AR287" s="130"/>
      <c r="AS287" s="130"/>
      <c r="AT287" s="148"/>
      <c r="AU287" s="148"/>
      <c r="AV287" s="148"/>
      <c r="AW287" s="130">
        <v>26000000</v>
      </c>
      <c r="AX287" s="131"/>
      <c r="AY287" s="131"/>
      <c r="AZ287" s="131"/>
      <c r="BA287" s="131"/>
      <c r="BB287" s="131"/>
      <c r="BC287" s="148">
        <v>0</v>
      </c>
      <c r="BD287" s="148"/>
      <c r="BE287" s="148"/>
      <c r="BF287" s="138">
        <f t="shared" si="27"/>
        <v>76000000</v>
      </c>
      <c r="BG287" s="138">
        <f t="shared" si="28"/>
        <v>29000000</v>
      </c>
      <c r="BH287" s="138">
        <f t="shared" si="29"/>
        <v>8000000</v>
      </c>
      <c r="BI287" s="149" t="s">
        <v>4</v>
      </c>
    </row>
    <row r="288" spans="1:62" s="151" customFormat="1" ht="83.25" customHeight="1">
      <c r="A288" s="139">
        <v>319</v>
      </c>
      <c r="B288" s="140" t="s">
        <v>1197</v>
      </c>
      <c r="C288" s="139">
        <v>1</v>
      </c>
      <c r="D288" s="140" t="s">
        <v>148</v>
      </c>
      <c r="E288" s="139">
        <v>43</v>
      </c>
      <c r="F288" s="140" t="s">
        <v>189</v>
      </c>
      <c r="G288" s="139">
        <v>4302</v>
      </c>
      <c r="H288" s="140" t="s">
        <v>1211</v>
      </c>
      <c r="I288" s="139">
        <v>4302</v>
      </c>
      <c r="J288" s="140" t="s">
        <v>1212</v>
      </c>
      <c r="K288" s="141" t="s">
        <v>1213</v>
      </c>
      <c r="L288" s="351">
        <v>4302075</v>
      </c>
      <c r="M288" s="140" t="s">
        <v>1214</v>
      </c>
      <c r="N288" s="351">
        <v>4302075</v>
      </c>
      <c r="O288" s="140" t="s">
        <v>1214</v>
      </c>
      <c r="P288" s="145">
        <v>430207500</v>
      </c>
      <c r="Q288" s="142" t="s">
        <v>1215</v>
      </c>
      <c r="R288" s="145">
        <v>430207500</v>
      </c>
      <c r="S288" s="142" t="s">
        <v>1215</v>
      </c>
      <c r="T288" s="299" t="s">
        <v>69</v>
      </c>
      <c r="U288" s="145">
        <v>25</v>
      </c>
      <c r="V288" s="145"/>
      <c r="W288" s="145">
        <f t="shared" si="30"/>
        <v>25</v>
      </c>
      <c r="X288" s="145">
        <v>6</v>
      </c>
      <c r="Y288" s="146">
        <v>2020003630010</v>
      </c>
      <c r="Z288" s="147" t="s">
        <v>1216</v>
      </c>
      <c r="AA288" s="147" t="s">
        <v>1217</v>
      </c>
      <c r="AB288" s="130">
        <f>2970000000-1413227407+1201555130.82</f>
        <v>2758327723.8199997</v>
      </c>
      <c r="AC288" s="130">
        <v>807701900</v>
      </c>
      <c r="AD288" s="130">
        <v>156741490</v>
      </c>
      <c r="AE288" s="294">
        <f>325298207+52474</f>
        <v>325350681</v>
      </c>
      <c r="AF288" s="294">
        <v>121600000</v>
      </c>
      <c r="AG288" s="294">
        <v>43800000</v>
      </c>
      <c r="AH288" s="130"/>
      <c r="AI288" s="130"/>
      <c r="AJ288" s="130"/>
      <c r="AK288" s="130"/>
      <c r="AL288" s="130"/>
      <c r="AM288" s="130"/>
      <c r="AN288" s="130"/>
      <c r="AO288" s="130"/>
      <c r="AP288" s="130"/>
      <c r="AQ288" s="130"/>
      <c r="AR288" s="130"/>
      <c r="AS288" s="130"/>
      <c r="AT288" s="294"/>
      <c r="AU288" s="294"/>
      <c r="AV288" s="294"/>
      <c r="AW288" s="294">
        <f>490692292+8814969.38+44629899.8+30226+60868817+482545+25482941+32139051.54</f>
        <v>663140741.71999991</v>
      </c>
      <c r="AX288" s="294">
        <v>77701728</v>
      </c>
      <c r="AY288" s="294">
        <v>65101728</v>
      </c>
      <c r="AZ288" s="294"/>
      <c r="BA288" s="294"/>
      <c r="BB288" s="294"/>
      <c r="BC288" s="130">
        <v>0</v>
      </c>
      <c r="BD288" s="130"/>
      <c r="BE288" s="130"/>
      <c r="BF288" s="138">
        <f>AB288+AE288+AH288+AK288+AN288+AQ288+AT288+AW288+BC288+AZ288</f>
        <v>3746819146.5399995</v>
      </c>
      <c r="BG288" s="138">
        <f t="shared" si="28"/>
        <v>1007003628</v>
      </c>
      <c r="BH288" s="138">
        <f t="shared" si="29"/>
        <v>265643218</v>
      </c>
      <c r="BI288" s="149" t="s">
        <v>4</v>
      </c>
    </row>
    <row r="289" spans="1:62" s="151" customFormat="1" ht="84.75" customHeight="1">
      <c r="A289" s="139">
        <v>319</v>
      </c>
      <c r="B289" s="140" t="s">
        <v>1197</v>
      </c>
      <c r="C289" s="139">
        <v>1</v>
      </c>
      <c r="D289" s="140" t="s">
        <v>148</v>
      </c>
      <c r="E289" s="139">
        <v>43</v>
      </c>
      <c r="F289" s="140" t="s">
        <v>189</v>
      </c>
      <c r="G289" s="139">
        <v>4302</v>
      </c>
      <c r="H289" s="140" t="s">
        <v>1211</v>
      </c>
      <c r="I289" s="139">
        <v>4302</v>
      </c>
      <c r="J289" s="140" t="s">
        <v>1212</v>
      </c>
      <c r="K289" s="141" t="s">
        <v>1213</v>
      </c>
      <c r="L289" s="351">
        <v>4302075</v>
      </c>
      <c r="M289" s="140" t="s">
        <v>1214</v>
      </c>
      <c r="N289" s="351">
        <v>4302004</v>
      </c>
      <c r="O289" s="140" t="s">
        <v>1218</v>
      </c>
      <c r="P289" s="145" t="s">
        <v>61</v>
      </c>
      <c r="Q289" s="142" t="s">
        <v>1219</v>
      </c>
      <c r="R289" s="292">
        <v>430200401</v>
      </c>
      <c r="S289" s="142" t="s">
        <v>1220</v>
      </c>
      <c r="T289" s="299" t="s">
        <v>69</v>
      </c>
      <c r="U289" s="145">
        <v>1</v>
      </c>
      <c r="V289" s="145"/>
      <c r="W289" s="145">
        <f t="shared" si="30"/>
        <v>1</v>
      </c>
      <c r="X289" s="145">
        <v>0.1</v>
      </c>
      <c r="Y289" s="146">
        <v>2020003630013</v>
      </c>
      <c r="Z289" s="147" t="s">
        <v>1221</v>
      </c>
      <c r="AA289" s="140" t="s">
        <v>1222</v>
      </c>
      <c r="AB289" s="130">
        <f>50000000+1413227407+130000000+330000000+20000000+181953667</f>
        <v>2125181074</v>
      </c>
      <c r="AC289" s="130">
        <v>663815855</v>
      </c>
      <c r="AD289" s="130">
        <v>2800000</v>
      </c>
      <c r="AE289" s="294">
        <v>135184145</v>
      </c>
      <c r="AF289" s="294">
        <v>135184145</v>
      </c>
      <c r="AG289" s="294"/>
      <c r="AH289" s="130"/>
      <c r="AI289" s="130"/>
      <c r="AJ289" s="130"/>
      <c r="AK289" s="130"/>
      <c r="AL289" s="130"/>
      <c r="AM289" s="130"/>
      <c r="AN289" s="130"/>
      <c r="AO289" s="130"/>
      <c r="AP289" s="130"/>
      <c r="AQ289" s="130"/>
      <c r="AR289" s="130"/>
      <c r="AS289" s="130"/>
      <c r="AT289" s="138"/>
      <c r="AU289" s="138"/>
      <c r="AV289" s="138"/>
      <c r="AW289" s="138">
        <f>86652613+15000000</f>
        <v>101652613</v>
      </c>
      <c r="AX289" s="138">
        <v>15000000</v>
      </c>
      <c r="AY289" s="138"/>
      <c r="AZ289" s="138"/>
      <c r="BA289" s="138"/>
      <c r="BB289" s="138"/>
      <c r="BC289" s="130">
        <v>0</v>
      </c>
      <c r="BD289" s="130"/>
      <c r="BE289" s="130"/>
      <c r="BF289" s="138">
        <f t="shared" si="27"/>
        <v>2362017832</v>
      </c>
      <c r="BG289" s="138">
        <f t="shared" si="28"/>
        <v>814000000</v>
      </c>
      <c r="BH289" s="138">
        <f t="shared" si="29"/>
        <v>2800000</v>
      </c>
      <c r="BI289" s="149" t="s">
        <v>4</v>
      </c>
    </row>
    <row r="290" spans="1:62" s="151" customFormat="1" ht="132.75" customHeight="1">
      <c r="A290" s="139">
        <v>320</v>
      </c>
      <c r="B290" s="140" t="s">
        <v>1223</v>
      </c>
      <c r="C290" s="139">
        <v>1</v>
      </c>
      <c r="D290" s="140" t="s">
        <v>148</v>
      </c>
      <c r="E290" s="139">
        <v>43</v>
      </c>
      <c r="F290" s="140" t="s">
        <v>189</v>
      </c>
      <c r="G290" s="139">
        <v>4301</v>
      </c>
      <c r="H290" s="140" t="s">
        <v>190</v>
      </c>
      <c r="I290" s="139">
        <v>4301</v>
      </c>
      <c r="J290" s="140" t="s">
        <v>191</v>
      </c>
      <c r="K290" s="140" t="s">
        <v>192</v>
      </c>
      <c r="L290" s="145" t="s">
        <v>61</v>
      </c>
      <c r="M290" s="134" t="s">
        <v>1224</v>
      </c>
      <c r="N290" s="139">
        <v>4301004</v>
      </c>
      <c r="O290" s="134" t="s">
        <v>194</v>
      </c>
      <c r="P290" s="145" t="s">
        <v>61</v>
      </c>
      <c r="Q290" s="142" t="s">
        <v>1225</v>
      </c>
      <c r="R290" s="137">
        <v>430100401</v>
      </c>
      <c r="S290" s="134" t="s">
        <v>196</v>
      </c>
      <c r="T290" s="143" t="s">
        <v>157</v>
      </c>
      <c r="U290" s="145">
        <v>3</v>
      </c>
      <c r="V290" s="145"/>
      <c r="W290" s="145">
        <f>+U290+V290</f>
        <v>3</v>
      </c>
      <c r="X290" s="145">
        <v>0</v>
      </c>
      <c r="Y290" s="146">
        <v>2020003630142</v>
      </c>
      <c r="Z290" s="147" t="s">
        <v>1226</v>
      </c>
      <c r="AA290" s="134" t="s">
        <v>1227</v>
      </c>
      <c r="AB290" s="131">
        <f>1500000000-130000000</f>
        <v>1370000000</v>
      </c>
      <c r="AC290" s="131">
        <v>228365000</v>
      </c>
      <c r="AD290" s="131">
        <v>62293958</v>
      </c>
      <c r="AE290" s="130"/>
      <c r="AF290" s="130"/>
      <c r="AG290" s="130"/>
      <c r="AH290" s="130"/>
      <c r="AI290" s="130"/>
      <c r="AJ290" s="130"/>
      <c r="AK290" s="130"/>
      <c r="AL290" s="130"/>
      <c r="AM290" s="130"/>
      <c r="AN290" s="130"/>
      <c r="AO290" s="130"/>
      <c r="AP290" s="130"/>
      <c r="AQ290" s="130"/>
      <c r="AR290" s="130"/>
      <c r="AS290" s="130"/>
      <c r="AT290" s="148"/>
      <c r="AU290" s="148"/>
      <c r="AV290" s="148"/>
      <c r="AW290" s="136"/>
      <c r="AX290" s="136"/>
      <c r="AY290" s="136"/>
      <c r="AZ290" s="136"/>
      <c r="BA290" s="136"/>
      <c r="BB290" s="136"/>
      <c r="BC290" s="130"/>
      <c r="BD290" s="130"/>
      <c r="BE290" s="130"/>
      <c r="BF290" s="138">
        <f t="shared" si="27"/>
        <v>1370000000</v>
      </c>
      <c r="BG290" s="138">
        <f t="shared" si="28"/>
        <v>228365000</v>
      </c>
      <c r="BH290" s="138">
        <f t="shared" si="29"/>
        <v>62293958</v>
      </c>
      <c r="BI290" s="149" t="s">
        <v>3</v>
      </c>
    </row>
    <row r="291" spans="1:62" s="151" customFormat="1" ht="51">
      <c r="A291" s="139">
        <v>320</v>
      </c>
      <c r="B291" s="140" t="s">
        <v>1223</v>
      </c>
      <c r="C291" s="139">
        <v>1</v>
      </c>
      <c r="D291" s="140" t="s">
        <v>148</v>
      </c>
      <c r="E291" s="139">
        <v>22</v>
      </c>
      <c r="F291" s="140" t="s">
        <v>160</v>
      </c>
      <c r="G291" s="139">
        <v>2201</v>
      </c>
      <c r="H291" s="140" t="s">
        <v>297</v>
      </c>
      <c r="I291" s="139">
        <v>2201</v>
      </c>
      <c r="J291" s="140" t="s">
        <v>162</v>
      </c>
      <c r="K291" s="140" t="s">
        <v>163</v>
      </c>
      <c r="L291" s="145" t="s">
        <v>61</v>
      </c>
      <c r="M291" s="140" t="s">
        <v>665</v>
      </c>
      <c r="N291" s="137">
        <v>2201062</v>
      </c>
      <c r="O291" s="140" t="s">
        <v>165</v>
      </c>
      <c r="P291" s="145" t="s">
        <v>61</v>
      </c>
      <c r="Q291" s="142" t="s">
        <v>166</v>
      </c>
      <c r="R291" s="139">
        <v>220106200</v>
      </c>
      <c r="S291" s="141" t="s">
        <v>167</v>
      </c>
      <c r="T291" s="143" t="s">
        <v>157</v>
      </c>
      <c r="U291" s="139">
        <v>15</v>
      </c>
      <c r="V291" s="139"/>
      <c r="W291" s="145">
        <f t="shared" ref="W291:W301" si="31">+U291+V291</f>
        <v>15</v>
      </c>
      <c r="X291" s="145">
        <v>0</v>
      </c>
      <c r="Y291" s="146">
        <v>2020003630143</v>
      </c>
      <c r="Z291" s="147" t="s">
        <v>1228</v>
      </c>
      <c r="AA291" s="134" t="s">
        <v>1229</v>
      </c>
      <c r="AB291" s="138">
        <v>1138923248</v>
      </c>
      <c r="AC291" s="138">
        <v>250044000</v>
      </c>
      <c r="AD291" s="138">
        <v>61786792</v>
      </c>
      <c r="AE291" s="130"/>
      <c r="AF291" s="130"/>
      <c r="AG291" s="130"/>
      <c r="AH291" s="130"/>
      <c r="AI291" s="130"/>
      <c r="AJ291" s="130"/>
      <c r="AK291" s="130"/>
      <c r="AL291" s="130"/>
      <c r="AM291" s="130"/>
      <c r="AN291" s="130"/>
      <c r="AO291" s="130"/>
      <c r="AP291" s="130"/>
      <c r="AQ291" s="130"/>
      <c r="AR291" s="130"/>
      <c r="AS291" s="130"/>
      <c r="AT291" s="148"/>
      <c r="AU291" s="148"/>
      <c r="AV291" s="148"/>
      <c r="AW291" s="130"/>
      <c r="AX291" s="130"/>
      <c r="AY291" s="130"/>
      <c r="AZ291" s="130"/>
      <c r="BA291" s="130"/>
      <c r="BB291" s="130"/>
      <c r="BC291" s="273"/>
      <c r="BD291" s="273"/>
      <c r="BE291" s="273"/>
      <c r="BF291" s="138">
        <f t="shared" si="27"/>
        <v>1138923248</v>
      </c>
      <c r="BG291" s="138">
        <f t="shared" si="28"/>
        <v>250044000</v>
      </c>
      <c r="BH291" s="138">
        <f t="shared" si="29"/>
        <v>61786792</v>
      </c>
      <c r="BI291" s="149" t="s">
        <v>3</v>
      </c>
    </row>
    <row r="292" spans="1:62" s="151" customFormat="1" ht="38.25">
      <c r="A292" s="139">
        <v>320</v>
      </c>
      <c r="B292" s="140" t="s">
        <v>1223</v>
      </c>
      <c r="C292" s="139">
        <v>3</v>
      </c>
      <c r="D292" s="140" t="s">
        <v>211</v>
      </c>
      <c r="E292" s="139">
        <v>24</v>
      </c>
      <c r="F292" s="140" t="s">
        <v>212</v>
      </c>
      <c r="G292" s="139">
        <v>2402</v>
      </c>
      <c r="H292" s="140" t="s">
        <v>213</v>
      </c>
      <c r="I292" s="139">
        <v>2402</v>
      </c>
      <c r="J292" s="140" t="s">
        <v>214</v>
      </c>
      <c r="K292" s="134" t="s">
        <v>1230</v>
      </c>
      <c r="L292" s="145" t="s">
        <v>61</v>
      </c>
      <c r="M292" s="140" t="s">
        <v>222</v>
      </c>
      <c r="N292" s="137">
        <v>2402041</v>
      </c>
      <c r="O292" s="140" t="s">
        <v>223</v>
      </c>
      <c r="P292" s="145" t="s">
        <v>61</v>
      </c>
      <c r="Q292" s="142" t="s">
        <v>224</v>
      </c>
      <c r="R292" s="137">
        <v>240204100</v>
      </c>
      <c r="S292" s="134" t="s">
        <v>225</v>
      </c>
      <c r="T292" s="143" t="s">
        <v>69</v>
      </c>
      <c r="U292" s="132">
        <v>70.379000000000005</v>
      </c>
      <c r="V292" s="132"/>
      <c r="W292" s="145">
        <f t="shared" si="31"/>
        <v>70.379000000000005</v>
      </c>
      <c r="X292" s="145">
        <v>0</v>
      </c>
      <c r="Y292" s="146">
        <v>2020003630144</v>
      </c>
      <c r="Z292" s="147" t="s">
        <v>1231</v>
      </c>
      <c r="AA292" s="140" t="s">
        <v>1232</v>
      </c>
      <c r="AB292" s="130"/>
      <c r="AC292" s="130"/>
      <c r="AD292" s="130"/>
      <c r="AE292" s="130"/>
      <c r="AF292" s="130"/>
      <c r="AG292" s="130"/>
      <c r="AH292" s="130"/>
      <c r="AI292" s="130"/>
      <c r="AJ292" s="130"/>
      <c r="AK292" s="130"/>
      <c r="AL292" s="130"/>
      <c r="AM292" s="130"/>
      <c r="AN292" s="130"/>
      <c r="AO292" s="130"/>
      <c r="AP292" s="130"/>
      <c r="AQ292" s="130"/>
      <c r="AR292" s="130"/>
      <c r="AS292" s="130"/>
      <c r="AT292" s="148"/>
      <c r="AU292" s="148"/>
      <c r="AV292" s="148"/>
      <c r="AW292" s="136">
        <f>520000000</f>
        <v>520000000</v>
      </c>
      <c r="AX292" s="136">
        <v>88475000</v>
      </c>
      <c r="AY292" s="136">
        <v>23837000</v>
      </c>
      <c r="AZ292" s="136"/>
      <c r="BA292" s="136"/>
      <c r="BB292" s="136"/>
      <c r="BC292" s="130"/>
      <c r="BD292" s="130"/>
      <c r="BE292" s="130"/>
      <c r="BF292" s="138">
        <f t="shared" si="27"/>
        <v>520000000</v>
      </c>
      <c r="BG292" s="138">
        <f t="shared" si="28"/>
        <v>88475000</v>
      </c>
      <c r="BH292" s="138">
        <f t="shared" si="29"/>
        <v>23837000</v>
      </c>
      <c r="BI292" s="149" t="s">
        <v>3</v>
      </c>
    </row>
    <row r="293" spans="1:62" s="151" customFormat="1" ht="85.5" customHeight="1">
      <c r="A293" s="139">
        <v>320</v>
      </c>
      <c r="B293" s="140" t="s">
        <v>1223</v>
      </c>
      <c r="C293" s="139">
        <v>3</v>
      </c>
      <c r="D293" s="140" t="s">
        <v>211</v>
      </c>
      <c r="E293" s="139">
        <v>40</v>
      </c>
      <c r="F293" s="140" t="s">
        <v>240</v>
      </c>
      <c r="G293" s="139">
        <v>4001</v>
      </c>
      <c r="H293" s="140" t="s">
        <v>241</v>
      </c>
      <c r="I293" s="139">
        <v>4001</v>
      </c>
      <c r="J293" s="140" t="s">
        <v>242</v>
      </c>
      <c r="K293" s="140" t="s">
        <v>243</v>
      </c>
      <c r="L293" s="275">
        <v>4001001</v>
      </c>
      <c r="M293" s="140" t="s">
        <v>1233</v>
      </c>
      <c r="N293" s="352">
        <v>4001001</v>
      </c>
      <c r="O293" s="140" t="s">
        <v>1233</v>
      </c>
      <c r="P293" s="145" t="s">
        <v>1234</v>
      </c>
      <c r="Q293" s="142" t="s">
        <v>1235</v>
      </c>
      <c r="R293" s="145" t="s">
        <v>1234</v>
      </c>
      <c r="S293" s="142" t="s">
        <v>1235</v>
      </c>
      <c r="T293" s="143" t="s">
        <v>157</v>
      </c>
      <c r="U293" s="145">
        <v>3</v>
      </c>
      <c r="V293" s="145"/>
      <c r="W293" s="145">
        <f t="shared" si="31"/>
        <v>3</v>
      </c>
      <c r="X293" s="145">
        <v>0</v>
      </c>
      <c r="Y293" s="146">
        <v>2020003630145</v>
      </c>
      <c r="Z293" s="147" t="s">
        <v>1236</v>
      </c>
      <c r="AA293" s="140" t="s">
        <v>1237</v>
      </c>
      <c r="AB293" s="138"/>
      <c r="AC293" s="138"/>
      <c r="AD293" s="138"/>
      <c r="AE293" s="130"/>
      <c r="AF293" s="130"/>
      <c r="AG293" s="130"/>
      <c r="AH293" s="130"/>
      <c r="AI293" s="130"/>
      <c r="AJ293" s="130"/>
      <c r="AK293" s="130"/>
      <c r="AL293" s="130"/>
      <c r="AM293" s="130"/>
      <c r="AN293" s="130"/>
      <c r="AO293" s="130"/>
      <c r="AP293" s="130"/>
      <c r="AQ293" s="130"/>
      <c r="AR293" s="130"/>
      <c r="AS293" s="130"/>
      <c r="AT293" s="148"/>
      <c r="AU293" s="148"/>
      <c r="AV293" s="148"/>
      <c r="AW293" s="130">
        <f>25000000+60000000</f>
        <v>85000000</v>
      </c>
      <c r="AX293" s="130">
        <v>30280000</v>
      </c>
      <c r="AY293" s="130">
        <v>7570000</v>
      </c>
      <c r="AZ293" s="130"/>
      <c r="BA293" s="130"/>
      <c r="BB293" s="130"/>
      <c r="BC293" s="273"/>
      <c r="BD293" s="273"/>
      <c r="BE293" s="273"/>
      <c r="BF293" s="138">
        <f t="shared" si="27"/>
        <v>85000000</v>
      </c>
      <c r="BG293" s="138">
        <f t="shared" si="28"/>
        <v>30280000</v>
      </c>
      <c r="BH293" s="138">
        <f t="shared" si="29"/>
        <v>7570000</v>
      </c>
      <c r="BI293" s="149" t="s">
        <v>3</v>
      </c>
    </row>
    <row r="294" spans="1:62" s="151" customFormat="1" ht="85.5" customHeight="1">
      <c r="A294" s="139">
        <v>320</v>
      </c>
      <c r="B294" s="140" t="s">
        <v>1223</v>
      </c>
      <c r="C294" s="139">
        <v>3</v>
      </c>
      <c r="D294" s="140" t="s">
        <v>211</v>
      </c>
      <c r="E294" s="139">
        <v>40</v>
      </c>
      <c r="F294" s="140" t="s">
        <v>240</v>
      </c>
      <c r="G294" s="139">
        <v>4001</v>
      </c>
      <c r="H294" s="140" t="s">
        <v>241</v>
      </c>
      <c r="I294" s="139">
        <v>4001</v>
      </c>
      <c r="J294" s="140" t="s">
        <v>242</v>
      </c>
      <c r="K294" s="140" t="s">
        <v>1238</v>
      </c>
      <c r="L294" s="275">
        <v>4001017</v>
      </c>
      <c r="M294" s="140" t="s">
        <v>1239</v>
      </c>
      <c r="N294" s="352">
        <v>4001017</v>
      </c>
      <c r="O294" s="140" t="s">
        <v>1239</v>
      </c>
      <c r="P294" s="145" t="s">
        <v>1240</v>
      </c>
      <c r="Q294" s="142" t="s">
        <v>1241</v>
      </c>
      <c r="R294" s="145" t="s">
        <v>1240</v>
      </c>
      <c r="S294" s="142" t="s">
        <v>1241</v>
      </c>
      <c r="T294" s="145" t="s">
        <v>157</v>
      </c>
      <c r="U294" s="145">
        <v>25</v>
      </c>
      <c r="V294" s="145">
        <v>50</v>
      </c>
      <c r="W294" s="145">
        <f t="shared" si="31"/>
        <v>75</v>
      </c>
      <c r="X294" s="145">
        <v>0</v>
      </c>
      <c r="Y294" s="146">
        <v>2020003630145</v>
      </c>
      <c r="Z294" s="147" t="s">
        <v>1236</v>
      </c>
      <c r="AA294" s="140" t="s">
        <v>1237</v>
      </c>
      <c r="AB294" s="138">
        <f>170000000-168500000</f>
        <v>1500000</v>
      </c>
      <c r="AC294" s="138">
        <v>1500000</v>
      </c>
      <c r="AD294" s="138">
        <v>1000000</v>
      </c>
      <c r="AE294" s="130"/>
      <c r="AF294" s="130"/>
      <c r="AG294" s="130"/>
      <c r="AH294" s="130"/>
      <c r="AI294" s="130"/>
      <c r="AJ294" s="130"/>
      <c r="AK294" s="130"/>
      <c r="AL294" s="130"/>
      <c r="AM294" s="130"/>
      <c r="AN294" s="130"/>
      <c r="AO294" s="130"/>
      <c r="AP294" s="130"/>
      <c r="AQ294" s="130"/>
      <c r="AR294" s="130"/>
      <c r="AS294" s="130"/>
      <c r="AT294" s="148"/>
      <c r="AU294" s="148"/>
      <c r="AV294" s="148"/>
      <c r="AW294" s="138">
        <v>200000000</v>
      </c>
      <c r="AX294" s="138">
        <v>28980000</v>
      </c>
      <c r="AY294" s="138">
        <v>3800000</v>
      </c>
      <c r="AZ294" s="138"/>
      <c r="BA294" s="138"/>
      <c r="BB294" s="138"/>
      <c r="BC294" s="273"/>
      <c r="BD294" s="273"/>
      <c r="BE294" s="273"/>
      <c r="BF294" s="138">
        <f t="shared" si="27"/>
        <v>201500000</v>
      </c>
      <c r="BG294" s="138">
        <f t="shared" si="28"/>
        <v>30480000</v>
      </c>
      <c r="BH294" s="138">
        <f t="shared" si="29"/>
        <v>4800000</v>
      </c>
      <c r="BI294" s="149" t="s">
        <v>3</v>
      </c>
    </row>
    <row r="295" spans="1:62" s="151" customFormat="1" ht="85.5" customHeight="1">
      <c r="A295" s="139">
        <v>320</v>
      </c>
      <c r="B295" s="140" t="s">
        <v>1223</v>
      </c>
      <c r="C295" s="139">
        <v>3</v>
      </c>
      <c r="D295" s="140" t="s">
        <v>211</v>
      </c>
      <c r="E295" s="139">
        <v>40</v>
      </c>
      <c r="F295" s="140" t="s">
        <v>240</v>
      </c>
      <c r="G295" s="139">
        <v>4001</v>
      </c>
      <c r="H295" s="140" t="s">
        <v>241</v>
      </c>
      <c r="I295" s="139">
        <v>4001</v>
      </c>
      <c r="J295" s="140" t="s">
        <v>242</v>
      </c>
      <c r="K295" s="140" t="s">
        <v>243</v>
      </c>
      <c r="L295" s="275">
        <v>4001018</v>
      </c>
      <c r="M295" s="140" t="s">
        <v>1242</v>
      </c>
      <c r="N295" s="352">
        <v>4001018</v>
      </c>
      <c r="O295" s="140" t="s">
        <v>1242</v>
      </c>
      <c r="P295" s="145" t="s">
        <v>1243</v>
      </c>
      <c r="Q295" s="142" t="s">
        <v>1244</v>
      </c>
      <c r="R295" s="145" t="s">
        <v>1243</v>
      </c>
      <c r="S295" s="142" t="s">
        <v>1244</v>
      </c>
      <c r="T295" s="145" t="s">
        <v>157</v>
      </c>
      <c r="U295" s="145">
        <v>75</v>
      </c>
      <c r="V295" s="145">
        <v>98</v>
      </c>
      <c r="W295" s="145">
        <f t="shared" si="31"/>
        <v>173</v>
      </c>
      <c r="X295" s="145">
        <v>0</v>
      </c>
      <c r="Y295" s="146">
        <v>2020003630145</v>
      </c>
      <c r="Z295" s="147" t="s">
        <v>1236</v>
      </c>
      <c r="AA295" s="140" t="s">
        <v>1237</v>
      </c>
      <c r="AB295" s="138">
        <f>350000000-38000000</f>
        <v>312000000</v>
      </c>
      <c r="AC295" s="138">
        <v>42160000</v>
      </c>
      <c r="AD295" s="138">
        <v>8900000</v>
      </c>
      <c r="AE295" s="130"/>
      <c r="AF295" s="130"/>
      <c r="AG295" s="130"/>
      <c r="AH295" s="130"/>
      <c r="AI295" s="130"/>
      <c r="AJ295" s="130"/>
      <c r="AK295" s="130"/>
      <c r="AL295" s="130"/>
      <c r="AM295" s="130"/>
      <c r="AN295" s="130"/>
      <c r="AO295" s="130"/>
      <c r="AP295" s="130"/>
      <c r="AQ295" s="130"/>
      <c r="AR295" s="130"/>
      <c r="AS295" s="130"/>
      <c r="AT295" s="148"/>
      <c r="AU295" s="148"/>
      <c r="AV295" s="148"/>
      <c r="AW295" s="130">
        <v>25000000</v>
      </c>
      <c r="AX295" s="130"/>
      <c r="AY295" s="130"/>
      <c r="AZ295" s="130"/>
      <c r="BA295" s="130"/>
      <c r="BB295" s="130"/>
      <c r="BC295" s="273"/>
      <c r="BD295" s="273"/>
      <c r="BE295" s="273"/>
      <c r="BF295" s="138">
        <f t="shared" si="27"/>
        <v>337000000</v>
      </c>
      <c r="BG295" s="138">
        <f t="shared" si="28"/>
        <v>42160000</v>
      </c>
      <c r="BH295" s="138">
        <f t="shared" si="29"/>
        <v>8900000</v>
      </c>
      <c r="BI295" s="149" t="s">
        <v>3</v>
      </c>
    </row>
    <row r="296" spans="1:62" s="151" customFormat="1" ht="85.5" customHeight="1">
      <c r="A296" s="139">
        <v>320</v>
      </c>
      <c r="B296" s="140" t="s">
        <v>1223</v>
      </c>
      <c r="C296" s="139">
        <v>3</v>
      </c>
      <c r="D296" s="140" t="s">
        <v>211</v>
      </c>
      <c r="E296" s="139">
        <v>40</v>
      </c>
      <c r="F296" s="140" t="s">
        <v>240</v>
      </c>
      <c r="G296" s="139">
        <v>4001</v>
      </c>
      <c r="H296" s="140" t="s">
        <v>241</v>
      </c>
      <c r="I296" s="139">
        <v>4001</v>
      </c>
      <c r="J296" s="140" t="s">
        <v>242</v>
      </c>
      <c r="K296" s="140" t="s">
        <v>243</v>
      </c>
      <c r="L296" s="275">
        <v>4001030</v>
      </c>
      <c r="M296" s="140" t="s">
        <v>1245</v>
      </c>
      <c r="N296" s="352">
        <v>4001030</v>
      </c>
      <c r="O296" s="140" t="s">
        <v>1245</v>
      </c>
      <c r="P296" s="145" t="s">
        <v>1246</v>
      </c>
      <c r="Q296" s="142" t="s">
        <v>267</v>
      </c>
      <c r="R296" s="145" t="s">
        <v>1246</v>
      </c>
      <c r="S296" s="142" t="s">
        <v>267</v>
      </c>
      <c r="T296" s="143" t="s">
        <v>157</v>
      </c>
      <c r="U296" s="145">
        <v>3</v>
      </c>
      <c r="V296" s="145"/>
      <c r="W296" s="145">
        <f t="shared" si="31"/>
        <v>3</v>
      </c>
      <c r="X296" s="145">
        <v>0</v>
      </c>
      <c r="Y296" s="146">
        <v>2020003630145</v>
      </c>
      <c r="Z296" s="147" t="s">
        <v>1236</v>
      </c>
      <c r="AA296" s="140" t="s">
        <v>1237</v>
      </c>
      <c r="AB296" s="138"/>
      <c r="AC296" s="138"/>
      <c r="AD296" s="138"/>
      <c r="AE296" s="130"/>
      <c r="AF296" s="130"/>
      <c r="AG296" s="130"/>
      <c r="AH296" s="130"/>
      <c r="AI296" s="130"/>
      <c r="AJ296" s="130"/>
      <c r="AK296" s="130"/>
      <c r="AL296" s="130"/>
      <c r="AM296" s="130"/>
      <c r="AN296" s="130"/>
      <c r="AO296" s="130"/>
      <c r="AP296" s="130"/>
      <c r="AQ296" s="130"/>
      <c r="AR296" s="130"/>
      <c r="AS296" s="130"/>
      <c r="AT296" s="136"/>
      <c r="AU296" s="136"/>
      <c r="AV296" s="136"/>
      <c r="AW296" s="130">
        <v>10000000</v>
      </c>
      <c r="AX296" s="130"/>
      <c r="AY296" s="130"/>
      <c r="AZ296" s="130"/>
      <c r="BA296" s="130"/>
      <c r="BB296" s="130"/>
      <c r="BC296" s="273"/>
      <c r="BD296" s="273"/>
      <c r="BE296" s="273"/>
      <c r="BF296" s="138">
        <f t="shared" si="27"/>
        <v>10000000</v>
      </c>
      <c r="BG296" s="138">
        <f t="shared" si="28"/>
        <v>0</v>
      </c>
      <c r="BH296" s="138">
        <f t="shared" si="29"/>
        <v>0</v>
      </c>
      <c r="BI296" s="149" t="s">
        <v>3</v>
      </c>
    </row>
    <row r="297" spans="1:62" s="151" customFormat="1" ht="85.5" customHeight="1">
      <c r="A297" s="139">
        <v>320</v>
      </c>
      <c r="B297" s="140" t="s">
        <v>1223</v>
      </c>
      <c r="C297" s="139">
        <v>3</v>
      </c>
      <c r="D297" s="140" t="s">
        <v>211</v>
      </c>
      <c r="E297" s="139">
        <v>40</v>
      </c>
      <c r="F297" s="140" t="s">
        <v>240</v>
      </c>
      <c r="G297" s="139">
        <v>4001</v>
      </c>
      <c r="H297" s="140" t="s">
        <v>241</v>
      </c>
      <c r="I297" s="139">
        <v>4001</v>
      </c>
      <c r="J297" s="140" t="s">
        <v>242</v>
      </c>
      <c r="K297" s="140" t="s">
        <v>243</v>
      </c>
      <c r="L297" s="275">
        <v>4001031</v>
      </c>
      <c r="M297" s="140" t="s">
        <v>1247</v>
      </c>
      <c r="N297" s="352">
        <v>4001031</v>
      </c>
      <c r="O297" s="140" t="s">
        <v>1247</v>
      </c>
      <c r="P297" s="145">
        <v>400103103</v>
      </c>
      <c r="Q297" s="142" t="s">
        <v>1248</v>
      </c>
      <c r="R297" s="145">
        <v>400103103</v>
      </c>
      <c r="S297" s="142" t="s">
        <v>1248</v>
      </c>
      <c r="T297" s="143" t="s">
        <v>157</v>
      </c>
      <c r="U297" s="145">
        <v>8</v>
      </c>
      <c r="V297" s="145">
        <v>8</v>
      </c>
      <c r="W297" s="145">
        <f t="shared" si="31"/>
        <v>16</v>
      </c>
      <c r="X297" s="145">
        <v>0</v>
      </c>
      <c r="Y297" s="146">
        <v>2020003630145</v>
      </c>
      <c r="Z297" s="147" t="s">
        <v>1236</v>
      </c>
      <c r="AA297" s="140" t="s">
        <v>1237</v>
      </c>
      <c r="AB297" s="138"/>
      <c r="AC297" s="138"/>
      <c r="AD297" s="138"/>
      <c r="AE297" s="130"/>
      <c r="AF297" s="130"/>
      <c r="AG297" s="130"/>
      <c r="AH297" s="130"/>
      <c r="AI297" s="130"/>
      <c r="AJ297" s="130"/>
      <c r="AK297" s="130"/>
      <c r="AL297" s="130"/>
      <c r="AM297" s="130"/>
      <c r="AN297" s="130"/>
      <c r="AO297" s="130"/>
      <c r="AP297" s="130"/>
      <c r="AQ297" s="130"/>
      <c r="AR297" s="130"/>
      <c r="AS297" s="130"/>
      <c r="AT297" s="136"/>
      <c r="AU297" s="136"/>
      <c r="AV297" s="136"/>
      <c r="AW297" s="130">
        <v>35000000</v>
      </c>
      <c r="AX297" s="130">
        <v>10000000</v>
      </c>
      <c r="AY297" s="130">
        <v>2500000</v>
      </c>
      <c r="AZ297" s="130"/>
      <c r="BA297" s="130"/>
      <c r="BB297" s="130"/>
      <c r="BC297" s="273"/>
      <c r="BD297" s="273"/>
      <c r="BE297" s="273"/>
      <c r="BF297" s="138">
        <f t="shared" si="27"/>
        <v>35000000</v>
      </c>
      <c r="BG297" s="138">
        <f t="shared" si="28"/>
        <v>10000000</v>
      </c>
      <c r="BH297" s="138">
        <f t="shared" si="29"/>
        <v>2500000</v>
      </c>
      <c r="BI297" s="149" t="s">
        <v>3</v>
      </c>
    </row>
    <row r="298" spans="1:62" s="151" customFormat="1" ht="85.5" customHeight="1">
      <c r="A298" s="139">
        <v>320</v>
      </c>
      <c r="B298" s="140" t="s">
        <v>1223</v>
      </c>
      <c r="C298" s="139">
        <v>3</v>
      </c>
      <c r="D298" s="140" t="s">
        <v>211</v>
      </c>
      <c r="E298" s="139">
        <v>40</v>
      </c>
      <c r="F298" s="140" t="s">
        <v>240</v>
      </c>
      <c r="G298" s="139">
        <v>4001</v>
      </c>
      <c r="H298" s="140" t="s">
        <v>241</v>
      </c>
      <c r="I298" s="139">
        <v>4001</v>
      </c>
      <c r="J298" s="140" t="s">
        <v>242</v>
      </c>
      <c r="K298" s="140" t="s">
        <v>1238</v>
      </c>
      <c r="L298" s="275" t="s">
        <v>1249</v>
      </c>
      <c r="M298" s="140" t="s">
        <v>1250</v>
      </c>
      <c r="N298" s="352" t="s">
        <v>1249</v>
      </c>
      <c r="O298" s="140" t="s">
        <v>1250</v>
      </c>
      <c r="P298" s="145" t="s">
        <v>1251</v>
      </c>
      <c r="Q298" s="142" t="s">
        <v>1250</v>
      </c>
      <c r="R298" s="145" t="s">
        <v>1251</v>
      </c>
      <c r="S298" s="142" t="s">
        <v>1250</v>
      </c>
      <c r="T298" s="143" t="s">
        <v>157</v>
      </c>
      <c r="U298" s="145">
        <v>30</v>
      </c>
      <c r="V298" s="145">
        <v>35</v>
      </c>
      <c r="W298" s="145">
        <f t="shared" si="31"/>
        <v>65</v>
      </c>
      <c r="X298" s="145">
        <v>0</v>
      </c>
      <c r="Y298" s="146">
        <v>2020003630145</v>
      </c>
      <c r="Z298" s="147" t="s">
        <v>1236</v>
      </c>
      <c r="AA298" s="140" t="s">
        <v>1237</v>
      </c>
      <c r="AB298" s="138"/>
      <c r="AC298" s="138"/>
      <c r="AD298" s="138"/>
      <c r="AE298" s="130"/>
      <c r="AF298" s="130"/>
      <c r="AG298" s="130"/>
      <c r="AH298" s="130"/>
      <c r="AI298" s="130"/>
      <c r="AJ298" s="130"/>
      <c r="AK298" s="130"/>
      <c r="AL298" s="130"/>
      <c r="AM298" s="130"/>
      <c r="AN298" s="130"/>
      <c r="AO298" s="130"/>
      <c r="AP298" s="130"/>
      <c r="AQ298" s="130"/>
      <c r="AR298" s="130"/>
      <c r="AS298" s="130"/>
      <c r="AT298" s="136"/>
      <c r="AU298" s="136"/>
      <c r="AV298" s="136"/>
      <c r="AW298" s="130">
        <v>35000000</v>
      </c>
      <c r="AX298" s="130"/>
      <c r="AY298" s="130"/>
      <c r="AZ298" s="130"/>
      <c r="BA298" s="130"/>
      <c r="BB298" s="130"/>
      <c r="BC298" s="273"/>
      <c r="BD298" s="273"/>
      <c r="BE298" s="273"/>
      <c r="BF298" s="138">
        <f t="shared" si="27"/>
        <v>35000000</v>
      </c>
      <c r="BG298" s="138">
        <f t="shared" si="28"/>
        <v>0</v>
      </c>
      <c r="BH298" s="138">
        <f t="shared" si="29"/>
        <v>0</v>
      </c>
      <c r="BI298" s="149" t="s">
        <v>3</v>
      </c>
    </row>
    <row r="299" spans="1:62" s="151" customFormat="1" ht="85.5" customHeight="1">
      <c r="A299" s="139">
        <v>320</v>
      </c>
      <c r="B299" s="140" t="s">
        <v>1223</v>
      </c>
      <c r="C299" s="139">
        <v>3</v>
      </c>
      <c r="D299" s="140" t="s">
        <v>211</v>
      </c>
      <c r="E299" s="139">
        <v>40</v>
      </c>
      <c r="F299" s="140" t="s">
        <v>240</v>
      </c>
      <c r="G299" s="139">
        <v>4001</v>
      </c>
      <c r="H299" s="140" t="s">
        <v>241</v>
      </c>
      <c r="I299" s="139">
        <v>4001</v>
      </c>
      <c r="J299" s="140" t="s">
        <v>242</v>
      </c>
      <c r="K299" s="140" t="s">
        <v>243</v>
      </c>
      <c r="L299" s="275" t="s">
        <v>1252</v>
      </c>
      <c r="M299" s="140" t="s">
        <v>246</v>
      </c>
      <c r="N299" s="352" t="s">
        <v>1252</v>
      </c>
      <c r="O299" s="140" t="s">
        <v>246</v>
      </c>
      <c r="P299" s="145">
        <v>400101500</v>
      </c>
      <c r="Q299" s="142" t="s">
        <v>246</v>
      </c>
      <c r="R299" s="145">
        <v>400101500</v>
      </c>
      <c r="S299" s="142" t="s">
        <v>246</v>
      </c>
      <c r="T299" s="143" t="s">
        <v>157</v>
      </c>
      <c r="U299" s="139">
        <v>120</v>
      </c>
      <c r="V299" s="139"/>
      <c r="W299" s="145">
        <f t="shared" si="31"/>
        <v>120</v>
      </c>
      <c r="X299" s="145">
        <v>0</v>
      </c>
      <c r="Y299" s="146">
        <v>2020003630145</v>
      </c>
      <c r="Z299" s="147" t="s">
        <v>1236</v>
      </c>
      <c r="AA299" s="140" t="s">
        <v>1237</v>
      </c>
      <c r="AB299" s="138">
        <v>206500000</v>
      </c>
      <c r="AC299" s="138">
        <v>36010000</v>
      </c>
      <c r="AD299" s="138">
        <v>8418750</v>
      </c>
      <c r="AE299" s="130"/>
      <c r="AF299" s="130"/>
      <c r="AG299" s="130"/>
      <c r="AH299" s="130"/>
      <c r="AI299" s="130"/>
      <c r="AJ299" s="130"/>
      <c r="AK299" s="130"/>
      <c r="AL299" s="130"/>
      <c r="AM299" s="130"/>
      <c r="AN299" s="130"/>
      <c r="AO299" s="130"/>
      <c r="AP299" s="130"/>
      <c r="AQ299" s="130"/>
      <c r="AR299" s="130"/>
      <c r="AS299" s="130"/>
      <c r="AT299" s="136"/>
      <c r="AU299" s="136"/>
      <c r="AV299" s="136"/>
      <c r="AW299" s="130">
        <f>260000000-260000000</f>
        <v>0</v>
      </c>
      <c r="AX299" s="130"/>
      <c r="AY299" s="130"/>
      <c r="AZ299" s="130"/>
      <c r="BA299" s="130"/>
      <c r="BB299" s="130"/>
      <c r="BC299" s="273"/>
      <c r="BD299" s="273"/>
      <c r="BE299" s="273"/>
      <c r="BF299" s="138">
        <f t="shared" si="27"/>
        <v>206500000</v>
      </c>
      <c r="BG299" s="138">
        <f t="shared" si="28"/>
        <v>36010000</v>
      </c>
      <c r="BH299" s="138">
        <f t="shared" si="29"/>
        <v>8418750</v>
      </c>
      <c r="BI299" s="149" t="s">
        <v>3</v>
      </c>
    </row>
    <row r="300" spans="1:62" s="151" customFormat="1" ht="93" customHeight="1">
      <c r="A300" s="139">
        <v>320</v>
      </c>
      <c r="B300" s="140" t="s">
        <v>147</v>
      </c>
      <c r="C300" s="139">
        <v>3</v>
      </c>
      <c r="D300" s="140" t="s">
        <v>211</v>
      </c>
      <c r="E300" s="139">
        <v>40</v>
      </c>
      <c r="F300" s="140" t="s">
        <v>240</v>
      </c>
      <c r="G300" s="139">
        <v>4003</v>
      </c>
      <c r="H300" s="140" t="s">
        <v>249</v>
      </c>
      <c r="I300" s="139">
        <v>4003</v>
      </c>
      <c r="J300" s="140" t="s">
        <v>250</v>
      </c>
      <c r="K300" s="134" t="s">
        <v>251</v>
      </c>
      <c r="L300" s="137">
        <v>4003025</v>
      </c>
      <c r="M300" s="134" t="s">
        <v>262</v>
      </c>
      <c r="N300" s="137">
        <v>4003025</v>
      </c>
      <c r="O300" s="134" t="s">
        <v>262</v>
      </c>
      <c r="P300" s="132">
        <v>400302500</v>
      </c>
      <c r="Q300" s="279" t="s">
        <v>263</v>
      </c>
      <c r="R300" s="132">
        <v>400302500</v>
      </c>
      <c r="S300" s="279" t="s">
        <v>263</v>
      </c>
      <c r="T300" s="143" t="s">
        <v>157</v>
      </c>
      <c r="U300" s="132">
        <v>3</v>
      </c>
      <c r="V300" s="134"/>
      <c r="W300" s="145">
        <f t="shared" ref="W300" si="32">U300+V300</f>
        <v>3</v>
      </c>
      <c r="X300" s="145">
        <v>0</v>
      </c>
      <c r="Y300" s="146">
        <v>2023003630001</v>
      </c>
      <c r="Z300" s="142" t="s">
        <v>1519</v>
      </c>
      <c r="AA300" s="140" t="s">
        <v>258</v>
      </c>
      <c r="AB300" s="130">
        <v>130000000</v>
      </c>
      <c r="AC300" s="130"/>
      <c r="AD300" s="130"/>
      <c r="AE300" s="130"/>
      <c r="AF300" s="130"/>
      <c r="AG300" s="130"/>
      <c r="AH300" s="130"/>
      <c r="AI300" s="130"/>
      <c r="AJ300" s="130"/>
      <c r="AK300" s="130"/>
      <c r="AL300" s="130"/>
      <c r="AM300" s="130"/>
      <c r="AN300" s="130"/>
      <c r="AO300" s="130"/>
      <c r="AP300" s="130"/>
      <c r="AQ300" s="130"/>
      <c r="AR300" s="130"/>
      <c r="AS300" s="130"/>
      <c r="AT300" s="135"/>
      <c r="AU300" s="135"/>
      <c r="AV300" s="135"/>
      <c r="AW300" s="136"/>
      <c r="AX300" s="136"/>
      <c r="AY300" s="136"/>
      <c r="AZ300" s="136"/>
      <c r="BA300" s="136"/>
      <c r="BB300" s="136"/>
      <c r="BC300" s="130"/>
      <c r="BD300" s="130"/>
      <c r="BE300" s="130"/>
      <c r="BF300" s="138">
        <f t="shared" si="27"/>
        <v>130000000</v>
      </c>
      <c r="BG300" s="138">
        <f t="shared" si="28"/>
        <v>0</v>
      </c>
      <c r="BH300" s="138">
        <f t="shared" si="29"/>
        <v>0</v>
      </c>
      <c r="BI300" s="141" t="s">
        <v>10</v>
      </c>
      <c r="BJ300" s="138"/>
    </row>
    <row r="301" spans="1:62" s="151" customFormat="1" ht="63.75">
      <c r="A301" s="139">
        <v>320</v>
      </c>
      <c r="B301" s="140" t="s">
        <v>1223</v>
      </c>
      <c r="C301" s="139">
        <v>4</v>
      </c>
      <c r="D301" s="140" t="s">
        <v>59</v>
      </c>
      <c r="E301" s="139">
        <v>45</v>
      </c>
      <c r="F301" s="261" t="s">
        <v>60</v>
      </c>
      <c r="G301" s="139" t="s">
        <v>61</v>
      </c>
      <c r="H301" s="140" t="s">
        <v>1253</v>
      </c>
      <c r="I301" s="139">
        <v>4599</v>
      </c>
      <c r="J301" s="140" t="s">
        <v>63</v>
      </c>
      <c r="K301" s="140" t="s">
        <v>64</v>
      </c>
      <c r="L301" s="275" t="s">
        <v>61</v>
      </c>
      <c r="M301" s="140" t="s">
        <v>272</v>
      </c>
      <c r="N301" s="137" t="s">
        <v>273</v>
      </c>
      <c r="O301" s="140" t="s">
        <v>167</v>
      </c>
      <c r="P301" s="145" t="s">
        <v>61</v>
      </c>
      <c r="Q301" s="140" t="s">
        <v>1254</v>
      </c>
      <c r="R301" s="137">
        <v>459901600</v>
      </c>
      <c r="S301" s="141" t="s">
        <v>167</v>
      </c>
      <c r="T301" s="143" t="s">
        <v>157</v>
      </c>
      <c r="U301" s="139">
        <v>4</v>
      </c>
      <c r="V301" s="139"/>
      <c r="W301" s="145">
        <f t="shared" si="31"/>
        <v>4</v>
      </c>
      <c r="X301" s="145">
        <v>0</v>
      </c>
      <c r="Y301" s="146">
        <v>2022003630006</v>
      </c>
      <c r="Z301" s="147" t="s">
        <v>1255</v>
      </c>
      <c r="AA301" s="142" t="s">
        <v>276</v>
      </c>
      <c r="AB301" s="138"/>
      <c r="AC301" s="138"/>
      <c r="AD301" s="138"/>
      <c r="AE301" s="138"/>
      <c r="AF301" s="138"/>
      <c r="AG301" s="138"/>
      <c r="AH301" s="138"/>
      <c r="AI301" s="138"/>
      <c r="AJ301" s="138"/>
      <c r="AK301" s="138"/>
      <c r="AL301" s="138"/>
      <c r="AM301" s="138"/>
      <c r="AN301" s="138"/>
      <c r="AO301" s="138"/>
      <c r="AP301" s="138"/>
      <c r="AQ301" s="138"/>
      <c r="AR301" s="138"/>
      <c r="AS301" s="138"/>
      <c r="AT301" s="148"/>
      <c r="AU301" s="148"/>
      <c r="AV301" s="148"/>
      <c r="AW301" s="130">
        <v>386000000</v>
      </c>
      <c r="AX301" s="130">
        <v>63015000</v>
      </c>
      <c r="AY301" s="130">
        <v>18192000</v>
      </c>
      <c r="AZ301" s="130"/>
      <c r="BA301" s="130"/>
      <c r="BB301" s="130"/>
      <c r="BC301" s="138"/>
      <c r="BD301" s="138"/>
      <c r="BE301" s="138"/>
      <c r="BF301" s="138">
        <f t="shared" si="27"/>
        <v>386000000</v>
      </c>
      <c r="BG301" s="138">
        <f t="shared" si="28"/>
        <v>63015000</v>
      </c>
      <c r="BH301" s="138">
        <f t="shared" si="29"/>
        <v>18192000</v>
      </c>
      <c r="BI301" s="149" t="s">
        <v>3</v>
      </c>
    </row>
    <row r="302" spans="1:62" s="151" customFormat="1" ht="78" customHeight="1">
      <c r="A302" s="139">
        <v>321</v>
      </c>
      <c r="B302" s="140" t="s">
        <v>1256</v>
      </c>
      <c r="C302" s="139">
        <v>3</v>
      </c>
      <c r="D302" s="140" t="s">
        <v>211</v>
      </c>
      <c r="E302" s="139">
        <v>24</v>
      </c>
      <c r="F302" s="140" t="s">
        <v>212</v>
      </c>
      <c r="G302" s="139">
        <v>2409</v>
      </c>
      <c r="H302" s="141" t="s">
        <v>1257</v>
      </c>
      <c r="I302" s="139">
        <v>2409</v>
      </c>
      <c r="J302" s="141" t="s">
        <v>1258</v>
      </c>
      <c r="K302" s="142" t="s">
        <v>1259</v>
      </c>
      <c r="L302" s="145" t="s">
        <v>61</v>
      </c>
      <c r="M302" s="140" t="s">
        <v>1260</v>
      </c>
      <c r="N302" s="139">
        <v>2409009</v>
      </c>
      <c r="O302" s="140" t="s">
        <v>1261</v>
      </c>
      <c r="P302" s="145" t="s">
        <v>61</v>
      </c>
      <c r="Q302" s="142" t="s">
        <v>1262</v>
      </c>
      <c r="R302" s="139">
        <v>240900900</v>
      </c>
      <c r="S302" s="142" t="s">
        <v>1263</v>
      </c>
      <c r="T302" s="145" t="s">
        <v>69</v>
      </c>
      <c r="U302" s="145">
        <v>1</v>
      </c>
      <c r="V302" s="145"/>
      <c r="W302" s="145">
        <f>U302+V302</f>
        <v>1</v>
      </c>
      <c r="X302" s="145">
        <v>0.06</v>
      </c>
      <c r="Y302" s="146">
        <v>2020003630149</v>
      </c>
      <c r="Z302" s="147" t="s">
        <v>1264</v>
      </c>
      <c r="AA302" s="140" t="s">
        <v>1265</v>
      </c>
      <c r="AB302" s="130"/>
      <c r="AC302" s="130"/>
      <c r="AD302" s="130"/>
      <c r="AE302" s="130"/>
      <c r="AF302" s="130"/>
      <c r="AG302" s="130"/>
      <c r="AH302" s="130"/>
      <c r="AI302" s="130"/>
      <c r="AJ302" s="130"/>
      <c r="AK302" s="130"/>
      <c r="AL302" s="130"/>
      <c r="AM302" s="130"/>
      <c r="AN302" s="130"/>
      <c r="AO302" s="130"/>
      <c r="AP302" s="130"/>
      <c r="AQ302" s="130"/>
      <c r="AR302" s="130"/>
      <c r="AS302" s="130"/>
      <c r="AT302" s="148"/>
      <c r="AU302" s="148"/>
      <c r="AV302" s="148"/>
      <c r="AW302" s="138">
        <v>26791548</v>
      </c>
      <c r="AX302" s="138">
        <v>7000000</v>
      </c>
      <c r="AY302" s="138">
        <v>1750000</v>
      </c>
      <c r="AZ302" s="138"/>
      <c r="BA302" s="138"/>
      <c r="BB302" s="138"/>
      <c r="BC302" s="130"/>
      <c r="BD302" s="130"/>
      <c r="BE302" s="130"/>
      <c r="BF302" s="138">
        <f t="shared" si="27"/>
        <v>26791548</v>
      </c>
      <c r="BG302" s="138">
        <f t="shared" si="28"/>
        <v>7000000</v>
      </c>
      <c r="BH302" s="138">
        <f t="shared" si="29"/>
        <v>1750000</v>
      </c>
      <c r="BI302" s="149" t="s">
        <v>1</v>
      </c>
      <c r="BJ302" s="150"/>
    </row>
    <row r="303" spans="1:62" s="151" customFormat="1" ht="78" customHeight="1">
      <c r="A303" s="139">
        <v>321</v>
      </c>
      <c r="B303" s="140" t="s">
        <v>1256</v>
      </c>
      <c r="C303" s="139">
        <v>3</v>
      </c>
      <c r="D303" s="140" t="s">
        <v>211</v>
      </c>
      <c r="E303" s="139">
        <v>24</v>
      </c>
      <c r="F303" s="140" t="s">
        <v>212</v>
      </c>
      <c r="G303" s="139">
        <v>2409</v>
      </c>
      <c r="H303" s="141" t="s">
        <v>1257</v>
      </c>
      <c r="I303" s="139">
        <v>2409</v>
      </c>
      <c r="J303" s="141" t="s">
        <v>1258</v>
      </c>
      <c r="K303" s="142" t="s">
        <v>1259</v>
      </c>
      <c r="L303" s="145" t="s">
        <v>61</v>
      </c>
      <c r="M303" s="140" t="s">
        <v>1266</v>
      </c>
      <c r="N303" s="139">
        <v>2409022</v>
      </c>
      <c r="O303" s="140" t="s">
        <v>1267</v>
      </c>
      <c r="P303" s="145" t="s">
        <v>61</v>
      </c>
      <c r="Q303" s="142" t="s">
        <v>1268</v>
      </c>
      <c r="R303" s="139">
        <v>240902202</v>
      </c>
      <c r="S303" s="142" t="s">
        <v>1269</v>
      </c>
      <c r="T303" s="145" t="s">
        <v>69</v>
      </c>
      <c r="U303" s="145">
        <v>1</v>
      </c>
      <c r="V303" s="145"/>
      <c r="W303" s="145">
        <f>U303+V303</f>
        <v>1</v>
      </c>
      <c r="X303" s="145">
        <v>0.5</v>
      </c>
      <c r="Y303" s="146">
        <v>2020003630149</v>
      </c>
      <c r="Z303" s="147" t="s">
        <v>1264</v>
      </c>
      <c r="AA303" s="140" t="s">
        <v>1265</v>
      </c>
      <c r="AB303" s="130"/>
      <c r="AC303" s="130"/>
      <c r="AD303" s="130"/>
      <c r="AE303" s="130"/>
      <c r="AF303" s="130"/>
      <c r="AG303" s="130"/>
      <c r="AH303" s="130"/>
      <c r="AI303" s="130"/>
      <c r="AJ303" s="130"/>
      <c r="AK303" s="130"/>
      <c r="AL303" s="130"/>
      <c r="AM303" s="130"/>
      <c r="AN303" s="130"/>
      <c r="AO303" s="130"/>
      <c r="AP303" s="130"/>
      <c r="AQ303" s="130"/>
      <c r="AR303" s="130"/>
      <c r="AS303" s="130"/>
      <c r="AT303" s="148"/>
      <c r="AU303" s="148"/>
      <c r="AV303" s="148"/>
      <c r="AW303" s="138">
        <f>15750567+10499433</f>
        <v>26250000</v>
      </c>
      <c r="AX303" s="138">
        <v>26250000</v>
      </c>
      <c r="AY303" s="138">
        <v>12250000</v>
      </c>
      <c r="AZ303" s="138"/>
      <c r="BA303" s="138"/>
      <c r="BB303" s="138"/>
      <c r="BC303" s="130"/>
      <c r="BD303" s="130"/>
      <c r="BE303" s="130"/>
      <c r="BF303" s="138">
        <f t="shared" ref="BF303:BF304" si="33">AB303+AE303+AH303+AK303+AN303+AQ303+AT303+AW303+BC303+AZ303</f>
        <v>26250000</v>
      </c>
      <c r="BG303" s="138">
        <f t="shared" ref="BG303:BG304" si="34">AC303+AF303+AI303+AL303+AO303+AR303+AU303+AX303+BD303+BA303</f>
        <v>26250000</v>
      </c>
      <c r="BH303" s="138">
        <f t="shared" ref="BH303:BH304" si="35">AD303+AG303+AJ303+AM303+AP303+AS303+AV303+AY303+BE303+BB303</f>
        <v>12250000</v>
      </c>
      <c r="BI303" s="149" t="s">
        <v>1</v>
      </c>
    </row>
    <row r="304" spans="1:62" s="151" customFormat="1" ht="78" customHeight="1">
      <c r="A304" s="139">
        <v>321</v>
      </c>
      <c r="B304" s="140" t="s">
        <v>1256</v>
      </c>
      <c r="C304" s="139">
        <v>3</v>
      </c>
      <c r="D304" s="140" t="s">
        <v>211</v>
      </c>
      <c r="E304" s="139">
        <v>24</v>
      </c>
      <c r="F304" s="140" t="s">
        <v>212</v>
      </c>
      <c r="G304" s="139">
        <v>2409</v>
      </c>
      <c r="H304" s="141" t="s">
        <v>1257</v>
      </c>
      <c r="I304" s="139">
        <v>2409</v>
      </c>
      <c r="J304" s="141" t="s">
        <v>1258</v>
      </c>
      <c r="K304" s="142" t="s">
        <v>1259</v>
      </c>
      <c r="L304" s="145" t="s">
        <v>61</v>
      </c>
      <c r="M304" s="140" t="s">
        <v>1270</v>
      </c>
      <c r="N304" s="139">
        <v>2409014</v>
      </c>
      <c r="O304" s="140" t="s">
        <v>253</v>
      </c>
      <c r="P304" s="145" t="s">
        <v>61</v>
      </c>
      <c r="Q304" s="142" t="s">
        <v>1271</v>
      </c>
      <c r="R304" s="139">
        <v>240901400</v>
      </c>
      <c r="S304" s="142" t="s">
        <v>1272</v>
      </c>
      <c r="T304" s="145" t="s">
        <v>69</v>
      </c>
      <c r="U304" s="145">
        <v>1</v>
      </c>
      <c r="V304" s="145"/>
      <c r="W304" s="145">
        <f>U304+V304</f>
        <v>1</v>
      </c>
      <c r="X304" s="145">
        <v>0.5</v>
      </c>
      <c r="Y304" s="146">
        <v>2020003630149</v>
      </c>
      <c r="Z304" s="147" t="s">
        <v>1264</v>
      </c>
      <c r="AA304" s="140" t="s">
        <v>1265</v>
      </c>
      <c r="AB304" s="130"/>
      <c r="AC304" s="130"/>
      <c r="AD304" s="130"/>
      <c r="AE304" s="130"/>
      <c r="AF304" s="130"/>
      <c r="AG304" s="130"/>
      <c r="AH304" s="130"/>
      <c r="AI304" s="130"/>
      <c r="AJ304" s="130"/>
      <c r="AK304" s="130"/>
      <c r="AL304" s="130"/>
      <c r="AM304" s="130"/>
      <c r="AN304" s="130"/>
      <c r="AO304" s="130"/>
      <c r="AP304" s="130"/>
      <c r="AQ304" s="130"/>
      <c r="AR304" s="130"/>
      <c r="AS304" s="130"/>
      <c r="AT304" s="148"/>
      <c r="AU304" s="148"/>
      <c r="AV304" s="148"/>
      <c r="AW304" s="138">
        <f>26250000-10499433</f>
        <v>15750567</v>
      </c>
      <c r="AX304" s="138">
        <v>15750000</v>
      </c>
      <c r="AY304" s="138">
        <v>8750000</v>
      </c>
      <c r="AZ304" s="138"/>
      <c r="BA304" s="138"/>
      <c r="BB304" s="138"/>
      <c r="BC304" s="130"/>
      <c r="BD304" s="130"/>
      <c r="BE304" s="130"/>
      <c r="BF304" s="138">
        <f t="shared" si="33"/>
        <v>15750567</v>
      </c>
      <c r="BG304" s="138">
        <f t="shared" si="34"/>
        <v>15750000</v>
      </c>
      <c r="BH304" s="138">
        <f t="shared" si="35"/>
        <v>8750000</v>
      </c>
      <c r="BI304" s="149" t="s">
        <v>1</v>
      </c>
    </row>
    <row r="305" spans="1:61" s="151" customFormat="1" ht="78" customHeight="1">
      <c r="A305" s="152">
        <v>321</v>
      </c>
      <c r="B305" s="153" t="s">
        <v>1256</v>
      </c>
      <c r="C305" s="152">
        <v>3</v>
      </c>
      <c r="D305" s="153" t="s">
        <v>211</v>
      </c>
      <c r="E305" s="152">
        <v>24</v>
      </c>
      <c r="F305" s="153" t="s">
        <v>212</v>
      </c>
      <c r="G305" s="152">
        <v>2409</v>
      </c>
      <c r="H305" s="153" t="s">
        <v>1257</v>
      </c>
      <c r="I305" s="152">
        <v>2409</v>
      </c>
      <c r="J305" s="153" t="s">
        <v>1258</v>
      </c>
      <c r="K305" s="154" t="s">
        <v>1259</v>
      </c>
      <c r="L305" s="155" t="s">
        <v>61</v>
      </c>
      <c r="M305" s="153" t="s">
        <v>1273</v>
      </c>
      <c r="N305" s="152">
        <v>2409039</v>
      </c>
      <c r="O305" s="153" t="s">
        <v>1274</v>
      </c>
      <c r="P305" s="155" t="s">
        <v>61</v>
      </c>
      <c r="Q305" s="154" t="s">
        <v>1275</v>
      </c>
      <c r="R305" s="152">
        <v>240903905</v>
      </c>
      <c r="S305" s="154" t="s">
        <v>1276</v>
      </c>
      <c r="T305" s="155" t="s">
        <v>69</v>
      </c>
      <c r="U305" s="155">
        <v>1</v>
      </c>
      <c r="V305" s="155"/>
      <c r="W305" s="155">
        <f>U305+V305</f>
        <v>1</v>
      </c>
      <c r="X305" s="155">
        <v>0.06</v>
      </c>
      <c r="Y305" s="156">
        <v>2020003630149</v>
      </c>
      <c r="Z305" s="157" t="s">
        <v>1264</v>
      </c>
      <c r="AA305" s="153" t="s">
        <v>1265</v>
      </c>
      <c r="AB305" s="158"/>
      <c r="AC305" s="158"/>
      <c r="AD305" s="158"/>
      <c r="AE305" s="158"/>
      <c r="AF305" s="158"/>
      <c r="AG305" s="158"/>
      <c r="AH305" s="158"/>
      <c r="AI305" s="158"/>
      <c r="AJ305" s="158"/>
      <c r="AK305" s="158"/>
      <c r="AL305" s="158"/>
      <c r="AM305" s="158"/>
      <c r="AN305" s="158"/>
      <c r="AO305" s="158"/>
      <c r="AP305" s="158"/>
      <c r="AQ305" s="158"/>
      <c r="AR305" s="158"/>
      <c r="AS305" s="158"/>
      <c r="AT305" s="159"/>
      <c r="AU305" s="159"/>
      <c r="AV305" s="159"/>
      <c r="AW305" s="160">
        <v>50140535</v>
      </c>
      <c r="AX305" s="160">
        <v>12000000</v>
      </c>
      <c r="AY305" s="160">
        <v>3000000</v>
      </c>
      <c r="AZ305" s="160"/>
      <c r="BA305" s="160"/>
      <c r="BB305" s="160"/>
      <c r="BC305" s="158"/>
      <c r="BD305" s="158"/>
      <c r="BE305" s="158"/>
      <c r="BF305" s="138">
        <f t="shared" si="27"/>
        <v>50140535</v>
      </c>
      <c r="BG305" s="138">
        <f t="shared" si="28"/>
        <v>12000000</v>
      </c>
      <c r="BH305" s="138">
        <f t="shared" si="29"/>
        <v>3000000</v>
      </c>
      <c r="BI305" s="161" t="s">
        <v>1</v>
      </c>
    </row>
    <row r="306" spans="1:61" s="150" customFormat="1" ht="30.75" customHeight="1">
      <c r="A306" s="162" t="s">
        <v>1277</v>
      </c>
      <c r="B306" s="353"/>
      <c r="C306" s="354"/>
      <c r="D306" s="355"/>
      <c r="E306" s="356"/>
      <c r="F306" s="355"/>
      <c r="G306" s="356"/>
      <c r="H306" s="353"/>
      <c r="I306" s="353"/>
      <c r="J306" s="353"/>
      <c r="K306" s="355"/>
      <c r="L306" s="356"/>
      <c r="M306" s="355"/>
      <c r="N306" s="357"/>
      <c r="O306" s="355"/>
      <c r="P306" s="355"/>
      <c r="Q306" s="353"/>
      <c r="R306" s="356"/>
      <c r="S306" s="353"/>
      <c r="T306" s="358"/>
      <c r="U306" s="356"/>
      <c r="V306" s="356"/>
      <c r="W306" s="356"/>
      <c r="X306" s="356"/>
      <c r="Y306" s="359"/>
      <c r="Z306" s="353"/>
      <c r="AA306" s="353"/>
      <c r="AB306" s="163">
        <f t="shared" ref="AB306:BH306" si="36">SUBTOTAL(9,AB6:AB305)</f>
        <v>27006039708.389999</v>
      </c>
      <c r="AC306" s="163">
        <f t="shared" si="36"/>
        <v>4450793439.4300003</v>
      </c>
      <c r="AD306" s="163">
        <f t="shared" si="36"/>
        <v>1505601096.4300001</v>
      </c>
      <c r="AE306" s="163">
        <f t="shared" si="36"/>
        <v>6157720800.3299999</v>
      </c>
      <c r="AF306" s="163">
        <f t="shared" si="36"/>
        <v>3149301051.6500001</v>
      </c>
      <c r="AG306" s="163">
        <f t="shared" si="36"/>
        <v>136297609</v>
      </c>
      <c r="AH306" s="163">
        <f t="shared" si="36"/>
        <v>7896965616.3899994</v>
      </c>
      <c r="AI306" s="163">
        <f t="shared" si="36"/>
        <v>3432728191.0999999</v>
      </c>
      <c r="AJ306" s="163">
        <f t="shared" si="36"/>
        <v>347136000</v>
      </c>
      <c r="AK306" s="163">
        <f t="shared" si="36"/>
        <v>40120770457.75</v>
      </c>
      <c r="AL306" s="163">
        <f t="shared" si="36"/>
        <v>35150576446</v>
      </c>
      <c r="AM306" s="163">
        <f t="shared" si="36"/>
        <v>7918561831.1400003</v>
      </c>
      <c r="AN306" s="163">
        <f t="shared" si="36"/>
        <v>187146608586.22998</v>
      </c>
      <c r="AO306" s="163">
        <f t="shared" si="36"/>
        <v>41201225150.620003</v>
      </c>
      <c r="AP306" s="163">
        <f t="shared" si="36"/>
        <v>39850816546</v>
      </c>
      <c r="AQ306" s="163">
        <f t="shared" si="36"/>
        <v>3720411051.8400002</v>
      </c>
      <c r="AR306" s="163">
        <f t="shared" si="36"/>
        <v>3701358406</v>
      </c>
      <c r="AS306" s="163">
        <f t="shared" si="36"/>
        <v>0</v>
      </c>
      <c r="AT306" s="163">
        <f t="shared" si="36"/>
        <v>38144099622</v>
      </c>
      <c r="AU306" s="163">
        <f t="shared" si="36"/>
        <v>15201036269.970001</v>
      </c>
      <c r="AV306" s="163">
        <f t="shared" si="36"/>
        <v>3511582120.9700003</v>
      </c>
      <c r="AW306" s="163">
        <f t="shared" si="36"/>
        <v>15090033114.699999</v>
      </c>
      <c r="AX306" s="163">
        <f t="shared" si="36"/>
        <v>2400672398.6999998</v>
      </c>
      <c r="AY306" s="163">
        <f t="shared" si="36"/>
        <v>543067462.86000001</v>
      </c>
      <c r="AZ306" s="163">
        <f t="shared" si="36"/>
        <v>34750000000</v>
      </c>
      <c r="BA306" s="163">
        <f t="shared" si="36"/>
        <v>4077257730</v>
      </c>
      <c r="BB306" s="163">
        <f t="shared" si="36"/>
        <v>0</v>
      </c>
      <c r="BC306" s="163">
        <f t="shared" si="36"/>
        <v>59894502356.460007</v>
      </c>
      <c r="BD306" s="163">
        <f t="shared" si="36"/>
        <v>7418489698.4399996</v>
      </c>
      <c r="BE306" s="163">
        <f t="shared" si="36"/>
        <v>229368296</v>
      </c>
      <c r="BF306" s="163">
        <f>SUBTOTAL(9,BF5:BF305)</f>
        <v>419927151314.0899</v>
      </c>
      <c r="BG306" s="163">
        <f t="shared" si="36"/>
        <v>120183438781.91</v>
      </c>
      <c r="BH306" s="163">
        <f t="shared" si="36"/>
        <v>54042430962.400002</v>
      </c>
      <c r="BI306" s="360"/>
    </row>
  </sheetData>
  <sortState ref="A7:XET295">
    <sortCondition ref="A7:A295"/>
  </sortState>
  <mergeCells count="52">
    <mergeCell ref="P6:P7"/>
    <mergeCell ref="S6:S7"/>
    <mergeCell ref="BI5:BI7"/>
    <mergeCell ref="T6:T7"/>
    <mergeCell ref="U6:U7"/>
    <mergeCell ref="V6:V7"/>
    <mergeCell ref="AA6:AA7"/>
    <mergeCell ref="BF5:BH6"/>
    <mergeCell ref="Y6:Y7"/>
    <mergeCell ref="Z6:Z7"/>
    <mergeCell ref="AN6:AP6"/>
    <mergeCell ref="BC6:BE6"/>
    <mergeCell ref="AZ6:BB6"/>
    <mergeCell ref="AW6:AY6"/>
    <mergeCell ref="AT6:AV6"/>
    <mergeCell ref="AB6:AD6"/>
    <mergeCell ref="C1:BE1"/>
    <mergeCell ref="A5:B5"/>
    <mergeCell ref="C5:D5"/>
    <mergeCell ref="E5:F5"/>
    <mergeCell ref="Y5:AA5"/>
    <mergeCell ref="P5:S5"/>
    <mergeCell ref="G5:K5"/>
    <mergeCell ref="L5:O5"/>
    <mergeCell ref="T5:W5"/>
    <mergeCell ref="AB5:BE5"/>
    <mergeCell ref="C4:BE4"/>
    <mergeCell ref="C2:BE2"/>
    <mergeCell ref="C3:BE3"/>
    <mergeCell ref="AK6:AM6"/>
    <mergeCell ref="AQ6:AS6"/>
    <mergeCell ref="W6:W7"/>
    <mergeCell ref="X6:X7"/>
    <mergeCell ref="Q6:Q7"/>
    <mergeCell ref="AE6:AG6"/>
    <mergeCell ref="AH6:AJ6"/>
    <mergeCell ref="A6:A7"/>
    <mergeCell ref="R6:R7"/>
    <mergeCell ref="M6:M7"/>
    <mergeCell ref="B6:B7"/>
    <mergeCell ref="D6:D7"/>
    <mergeCell ref="E6:E7"/>
    <mergeCell ref="F6:F7"/>
    <mergeCell ref="G6:G7"/>
    <mergeCell ref="H6:H7"/>
    <mergeCell ref="I6:I7"/>
    <mergeCell ref="J6:J7"/>
    <mergeCell ref="C6:C7"/>
    <mergeCell ref="K6:K7"/>
    <mergeCell ref="L6:L7"/>
    <mergeCell ref="N6:N7"/>
    <mergeCell ref="O6:O7"/>
  </mergeCells>
  <conditionalFormatting sqref="P128">
    <cfRule type="duplicateValues" dxfId="547" priority="365"/>
  </conditionalFormatting>
  <conditionalFormatting sqref="P128">
    <cfRule type="duplicateValues" dxfId="546" priority="366"/>
  </conditionalFormatting>
  <conditionalFormatting sqref="P129">
    <cfRule type="duplicateValues" dxfId="545" priority="363"/>
  </conditionalFormatting>
  <conditionalFormatting sqref="P129">
    <cfRule type="duplicateValues" dxfId="544" priority="364"/>
  </conditionalFormatting>
  <conditionalFormatting sqref="R128">
    <cfRule type="duplicateValues" dxfId="543" priority="361"/>
  </conditionalFormatting>
  <conditionalFormatting sqref="R128">
    <cfRule type="duplicateValues" dxfId="542" priority="362"/>
  </conditionalFormatting>
  <conditionalFormatting sqref="R129">
    <cfRule type="duplicateValues" dxfId="541" priority="359"/>
  </conditionalFormatting>
  <conditionalFormatting sqref="R129">
    <cfRule type="duplicateValues" dxfId="540" priority="360"/>
  </conditionalFormatting>
  <conditionalFormatting sqref="R176">
    <cfRule type="duplicateValues" dxfId="539" priority="353"/>
  </conditionalFormatting>
  <conditionalFormatting sqref="R176">
    <cfRule type="duplicateValues" dxfId="538" priority="354"/>
  </conditionalFormatting>
  <conditionalFormatting sqref="P176">
    <cfRule type="duplicateValues" dxfId="537" priority="351"/>
  </conditionalFormatting>
  <conditionalFormatting sqref="P176">
    <cfRule type="duplicateValues" dxfId="536" priority="352"/>
  </conditionalFormatting>
  <conditionalFormatting sqref="R194">
    <cfRule type="duplicateValues" dxfId="535" priority="349"/>
  </conditionalFormatting>
  <conditionalFormatting sqref="R195">
    <cfRule type="duplicateValues" dxfId="534" priority="348"/>
  </conditionalFormatting>
  <conditionalFormatting sqref="R197">
    <cfRule type="duplicateValues" dxfId="533" priority="347"/>
  </conditionalFormatting>
  <conditionalFormatting sqref="R198">
    <cfRule type="duplicateValues" dxfId="532" priority="344"/>
  </conditionalFormatting>
  <conditionalFormatting sqref="R198">
    <cfRule type="duplicateValues" dxfId="531" priority="345"/>
  </conditionalFormatting>
  <conditionalFormatting sqref="R198">
    <cfRule type="duplicateValues" dxfId="530" priority="346"/>
  </conditionalFormatting>
  <conditionalFormatting sqref="R196">
    <cfRule type="duplicateValues" dxfId="529" priority="350"/>
  </conditionalFormatting>
  <conditionalFormatting sqref="P194">
    <cfRule type="duplicateValues" dxfId="528" priority="329"/>
  </conditionalFormatting>
  <conditionalFormatting sqref="P195">
    <cfRule type="duplicateValues" dxfId="527" priority="328"/>
  </conditionalFormatting>
  <conditionalFormatting sqref="P196">
    <cfRule type="duplicateValues" dxfId="526" priority="327"/>
  </conditionalFormatting>
  <conditionalFormatting sqref="P197">
    <cfRule type="duplicateValues" dxfId="525" priority="326"/>
  </conditionalFormatting>
  <conditionalFormatting sqref="P198">
    <cfRule type="duplicateValues" dxfId="524" priority="323"/>
  </conditionalFormatting>
  <conditionalFormatting sqref="P198">
    <cfRule type="duplicateValues" dxfId="523" priority="324"/>
  </conditionalFormatting>
  <conditionalFormatting sqref="P198">
    <cfRule type="duplicateValues" dxfId="522" priority="325"/>
  </conditionalFormatting>
  <conditionalFormatting sqref="R202">
    <cfRule type="duplicateValues" dxfId="521" priority="41"/>
  </conditionalFormatting>
  <conditionalFormatting sqref="R202">
    <cfRule type="duplicateValues" dxfId="520" priority="42"/>
  </conditionalFormatting>
  <conditionalFormatting sqref="R203">
    <cfRule type="duplicateValues" dxfId="519" priority="39"/>
  </conditionalFormatting>
  <conditionalFormatting sqref="R203">
    <cfRule type="duplicateValues" dxfId="518" priority="40"/>
  </conditionalFormatting>
  <conditionalFormatting sqref="R204">
    <cfRule type="duplicateValues" dxfId="517" priority="37"/>
  </conditionalFormatting>
  <conditionalFormatting sqref="R204">
    <cfRule type="duplicateValues" dxfId="516" priority="38"/>
  </conditionalFormatting>
  <conditionalFormatting sqref="R209">
    <cfRule type="duplicateValues" dxfId="515" priority="35"/>
  </conditionalFormatting>
  <conditionalFormatting sqref="R209">
    <cfRule type="duplicateValues" dxfId="514" priority="36"/>
  </conditionalFormatting>
  <conditionalFormatting sqref="R210">
    <cfRule type="duplicateValues" dxfId="513" priority="33"/>
  </conditionalFormatting>
  <conditionalFormatting sqref="R210">
    <cfRule type="duplicateValues" dxfId="512" priority="34"/>
  </conditionalFormatting>
  <conditionalFormatting sqref="R211">
    <cfRule type="duplicateValues" dxfId="511" priority="31"/>
  </conditionalFormatting>
  <conditionalFormatting sqref="R211">
    <cfRule type="duplicateValues" dxfId="510" priority="32"/>
  </conditionalFormatting>
  <conditionalFormatting sqref="R212">
    <cfRule type="duplicateValues" dxfId="509" priority="29"/>
  </conditionalFormatting>
  <conditionalFormatting sqref="R212">
    <cfRule type="duplicateValues" dxfId="508" priority="30"/>
  </conditionalFormatting>
  <conditionalFormatting sqref="P202">
    <cfRule type="duplicateValues" dxfId="507" priority="27"/>
  </conditionalFormatting>
  <conditionalFormatting sqref="P202">
    <cfRule type="duplicateValues" dxfId="506" priority="28"/>
  </conditionalFormatting>
  <conditionalFormatting sqref="P203">
    <cfRule type="duplicateValues" dxfId="505" priority="25"/>
  </conditionalFormatting>
  <conditionalFormatting sqref="P203">
    <cfRule type="duplicateValues" dxfId="504" priority="26"/>
  </conditionalFormatting>
  <conditionalFormatting sqref="P204">
    <cfRule type="duplicateValues" dxfId="503" priority="23"/>
  </conditionalFormatting>
  <conditionalFormatting sqref="P204">
    <cfRule type="duplicateValues" dxfId="502" priority="24"/>
  </conditionalFormatting>
  <conditionalFormatting sqref="P209">
    <cfRule type="duplicateValues" dxfId="501" priority="21"/>
  </conditionalFormatting>
  <conditionalFormatting sqref="P209">
    <cfRule type="duplicateValues" dxfId="500" priority="22"/>
  </conditionalFormatting>
  <conditionalFormatting sqref="P210">
    <cfRule type="duplicateValues" dxfId="499" priority="19"/>
  </conditionalFormatting>
  <conditionalFormatting sqref="P210">
    <cfRule type="duplicateValues" dxfId="498" priority="20"/>
  </conditionalFormatting>
  <conditionalFormatting sqref="P211">
    <cfRule type="duplicateValues" dxfId="497" priority="17"/>
  </conditionalFormatting>
  <conditionalFormatting sqref="P211">
    <cfRule type="duplicateValues" dxfId="496" priority="18"/>
  </conditionalFormatting>
  <conditionalFormatting sqref="P212">
    <cfRule type="duplicateValues" dxfId="495" priority="15"/>
  </conditionalFormatting>
  <conditionalFormatting sqref="P212">
    <cfRule type="duplicateValues" dxfId="494" priority="16"/>
  </conditionalFormatting>
  <conditionalFormatting sqref="R236">
    <cfRule type="duplicateValues" dxfId="493" priority="14"/>
  </conditionalFormatting>
  <conditionalFormatting sqref="R244">
    <cfRule type="duplicateValues" dxfId="492" priority="12"/>
  </conditionalFormatting>
  <conditionalFormatting sqref="R244">
    <cfRule type="duplicateValues" dxfId="491" priority="13"/>
  </conditionalFormatting>
  <conditionalFormatting sqref="R251">
    <cfRule type="duplicateValues" dxfId="490" priority="10"/>
  </conditionalFormatting>
  <conditionalFormatting sqref="R251">
    <cfRule type="duplicateValues" dxfId="489" priority="11"/>
  </conditionalFormatting>
  <conditionalFormatting sqref="R252">
    <cfRule type="duplicateValues" dxfId="488" priority="8"/>
  </conditionalFormatting>
  <conditionalFormatting sqref="R252">
    <cfRule type="duplicateValues" dxfId="487" priority="9"/>
  </conditionalFormatting>
  <conditionalFormatting sqref="P236">
    <cfRule type="duplicateValues" dxfId="486" priority="7"/>
  </conditionalFormatting>
  <conditionalFormatting sqref="P244">
    <cfRule type="duplicateValues" dxfId="485" priority="5"/>
  </conditionalFormatting>
  <conditionalFormatting sqref="P244">
    <cfRule type="duplicateValues" dxfId="484" priority="6"/>
  </conditionalFormatting>
  <conditionalFormatting sqref="P251">
    <cfRule type="duplicateValues" dxfId="483" priority="3"/>
  </conditionalFormatting>
  <conditionalFormatting sqref="P251">
    <cfRule type="duplicateValues" dxfId="482" priority="4"/>
  </conditionalFormatting>
  <conditionalFormatting sqref="P252">
    <cfRule type="duplicateValues" dxfId="481" priority="1"/>
  </conditionalFormatting>
  <conditionalFormatting sqref="P252">
    <cfRule type="duplicateValues" dxfId="480" priority="2"/>
  </conditionalFormatting>
  <pageMargins left="0.7" right="0.7" top="0.75" bottom="0.75" header="0.3" footer="0.3"/>
  <pageSetup paperSize="14" scale="13"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I203"/>
  <sheetViews>
    <sheetView showGridLines="0" zoomScale="70" zoomScaleNormal="70" workbookViewId="0">
      <selection sqref="A1:I3"/>
    </sheetView>
  </sheetViews>
  <sheetFormatPr baseColWidth="10" defaultColWidth="11.42578125" defaultRowHeight="15"/>
  <cols>
    <col min="1" max="1" width="17.5703125" style="5" customWidth="1"/>
    <col min="2" max="2" width="11" style="5" customWidth="1"/>
    <col min="3" max="3" width="13.140625" style="5" customWidth="1"/>
    <col min="4" max="4" width="49" style="6" customWidth="1"/>
    <col min="5" max="5" width="34.42578125" style="6" customWidth="1"/>
    <col min="6" max="6" width="23" style="2" customWidth="1"/>
    <col min="7" max="7" width="20.5703125" style="2" customWidth="1"/>
    <col min="8" max="8" width="22.28515625" style="2" customWidth="1"/>
    <col min="9" max="9" width="18.42578125" style="1" customWidth="1"/>
    <col min="10" max="16384" width="11.42578125" style="1"/>
  </cols>
  <sheetData>
    <row r="1" spans="1:9" ht="30.75" customHeight="1">
      <c r="A1" s="511" t="s">
        <v>1465</v>
      </c>
      <c r="B1" s="512"/>
      <c r="C1" s="512"/>
      <c r="D1" s="512"/>
      <c r="E1" s="512"/>
      <c r="F1" s="512"/>
      <c r="G1" s="512"/>
      <c r="H1" s="512"/>
      <c r="I1" s="513"/>
    </row>
    <row r="2" spans="1:9" ht="30.75" customHeight="1">
      <c r="A2" s="514"/>
      <c r="B2" s="515"/>
      <c r="C2" s="515"/>
      <c r="D2" s="515"/>
      <c r="E2" s="515"/>
      <c r="F2" s="515"/>
      <c r="G2" s="515"/>
      <c r="H2" s="515"/>
      <c r="I2" s="516"/>
    </row>
    <row r="3" spans="1:9" ht="30.75" customHeight="1">
      <c r="A3" s="488"/>
      <c r="B3" s="489"/>
      <c r="C3" s="489"/>
      <c r="D3" s="489"/>
      <c r="E3" s="489"/>
      <c r="F3" s="489"/>
      <c r="G3" s="489"/>
      <c r="H3" s="489"/>
      <c r="I3" s="517"/>
    </row>
    <row r="4" spans="1:9" ht="9.75" customHeight="1">
      <c r="A4" s="255"/>
      <c r="B4" s="256"/>
      <c r="C4" s="256"/>
      <c r="D4" s="256"/>
      <c r="E4" s="256"/>
    </row>
    <row r="5" spans="1:9" s="128" customFormat="1" ht="56.25" customHeight="1">
      <c r="A5" s="378" t="s">
        <v>23</v>
      </c>
      <c r="B5" s="379" t="s">
        <v>24</v>
      </c>
      <c r="C5" s="509" t="s">
        <v>25</v>
      </c>
      <c r="D5" s="510"/>
      <c r="E5" s="380" t="s">
        <v>1278</v>
      </c>
      <c r="F5" s="380" t="s">
        <v>1466</v>
      </c>
      <c r="G5" s="380" t="s">
        <v>1475</v>
      </c>
      <c r="H5" s="380" t="s">
        <v>1467</v>
      </c>
      <c r="I5" s="380" t="s">
        <v>1476</v>
      </c>
    </row>
    <row r="6" spans="1:9" s="4" customFormat="1" ht="24" customHeight="1">
      <c r="A6" s="56" t="s">
        <v>1279</v>
      </c>
      <c r="B6" s="62"/>
      <c r="C6" s="62"/>
      <c r="D6" s="63"/>
      <c r="E6" s="64">
        <f>E7</f>
        <v>10549509202</v>
      </c>
      <c r="F6" s="64">
        <f t="shared" ref="F6:H7" si="0">F7</f>
        <v>4687830730</v>
      </c>
      <c r="G6" s="381">
        <f>F6/E6</f>
        <v>0.44436481738043987</v>
      </c>
      <c r="H6" s="64">
        <f t="shared" si="0"/>
        <v>209642000</v>
      </c>
      <c r="I6" s="381">
        <f>H6/E6</f>
        <v>1.9872204098391192E-2</v>
      </c>
    </row>
    <row r="7" spans="1:9" s="4" customFormat="1" ht="24" customHeight="1">
      <c r="A7" s="98">
        <v>4</v>
      </c>
      <c r="B7" s="99" t="s">
        <v>1280</v>
      </c>
      <c r="C7" s="99"/>
      <c r="D7" s="99"/>
      <c r="E7" s="100">
        <f>E8</f>
        <v>10549509202</v>
      </c>
      <c r="F7" s="100">
        <f t="shared" si="0"/>
        <v>4687830730</v>
      </c>
      <c r="G7" s="381">
        <f t="shared" ref="G7:G10" si="1">F7/E7</f>
        <v>0.44436481738043987</v>
      </c>
      <c r="H7" s="100">
        <f t="shared" si="0"/>
        <v>209642000</v>
      </c>
      <c r="I7" s="381">
        <f t="shared" ref="I7:I10" si="2">H7/E7</f>
        <v>1.9872204098391192E-2</v>
      </c>
    </row>
    <row r="8" spans="1:9" ht="24" customHeight="1">
      <c r="A8" s="25"/>
      <c r="B8" s="113">
        <v>45</v>
      </c>
      <c r="C8" s="105" t="s">
        <v>60</v>
      </c>
      <c r="D8" s="111"/>
      <c r="E8" s="107">
        <f>SUM(E9:E10)</f>
        <v>10549509202</v>
      </c>
      <c r="F8" s="107">
        <f t="shared" ref="F8:H8" si="3">SUM(F9:F10)</f>
        <v>4687830730</v>
      </c>
      <c r="G8" s="381">
        <f t="shared" si="1"/>
        <v>0.44436481738043987</v>
      </c>
      <c r="H8" s="107">
        <f t="shared" si="3"/>
        <v>209642000</v>
      </c>
      <c r="I8" s="381">
        <f t="shared" si="2"/>
        <v>1.9872204098391192E-2</v>
      </c>
    </row>
    <row r="9" spans="1:9" ht="70.5" customHeight="1">
      <c r="A9" s="26"/>
      <c r="B9" s="27"/>
      <c r="C9" s="28">
        <v>4502</v>
      </c>
      <c r="D9" s="23" t="s">
        <v>1281</v>
      </c>
      <c r="E9" s="29">
        <f>'SGTO POAI 2023 MARZO'!BF10</f>
        <v>83448000</v>
      </c>
      <c r="F9" s="29">
        <f>'SGTO POAI 2023 MARZO'!BG10</f>
        <v>46524000</v>
      </c>
      <c r="G9" s="381">
        <f t="shared" si="1"/>
        <v>0.55752085130859941</v>
      </c>
      <c r="H9" s="29">
        <f>'SGTO POAI 2023 MARZO'!BH10</f>
        <v>25916000</v>
      </c>
      <c r="I9" s="381">
        <f t="shared" si="2"/>
        <v>0.31056466302367941</v>
      </c>
    </row>
    <row r="10" spans="1:9" ht="53.25" customHeight="1">
      <c r="A10" s="30"/>
      <c r="B10" s="31"/>
      <c r="C10" s="32">
        <v>4599</v>
      </c>
      <c r="D10" s="33" t="s">
        <v>1282</v>
      </c>
      <c r="E10" s="34">
        <f>'SGTO POAI 2023 MARZO'!BF8+'SGTO POAI 2023 MARZO'!BF9+'SGTO POAI 2023 MARZO'!BF11</f>
        <v>10466061202</v>
      </c>
      <c r="F10" s="34">
        <f>'SGTO POAI 2023 MARZO'!BG8+'SGTO POAI 2023 MARZO'!BG9+'SGTO POAI 2023 MARZO'!BG11</f>
        <v>4641306730</v>
      </c>
      <c r="G10" s="381">
        <f t="shared" si="1"/>
        <v>0.44346260168181273</v>
      </c>
      <c r="H10" s="34">
        <f>'SGTO POAI 2023 MARZO'!BH8+'SGTO POAI 2023 MARZO'!BH9+'SGTO POAI 2023 MARZO'!BH11</f>
        <v>183726000</v>
      </c>
      <c r="I10" s="381">
        <f t="shared" si="2"/>
        <v>1.7554454961995741E-2</v>
      </c>
    </row>
    <row r="11" spans="1:9" ht="15.75">
      <c r="A11" s="19"/>
      <c r="B11" s="19"/>
      <c r="C11" s="19"/>
      <c r="D11" s="8"/>
      <c r="E11" s="8"/>
      <c r="F11" s="8"/>
      <c r="G11" s="8"/>
      <c r="H11" s="8"/>
    </row>
    <row r="12" spans="1:9" s="4" customFormat="1" ht="24" customHeight="1">
      <c r="A12" s="70" t="s">
        <v>1283</v>
      </c>
      <c r="B12" s="71"/>
      <c r="C12" s="71"/>
      <c r="D12" s="72"/>
      <c r="E12" s="73">
        <f>E13</f>
        <v>1182099650</v>
      </c>
      <c r="F12" s="73">
        <f t="shared" ref="F12:H13" si="4">F13</f>
        <v>350060001</v>
      </c>
      <c r="G12" s="381">
        <f t="shared" ref="G12:G16" si="5">F12/E12</f>
        <v>0.29613408734195973</v>
      </c>
      <c r="H12" s="73">
        <f t="shared" si="4"/>
        <v>153550000</v>
      </c>
      <c r="I12" s="381">
        <f t="shared" ref="I12:I16" si="6">H12/E12</f>
        <v>0.12989598634937419</v>
      </c>
    </row>
    <row r="13" spans="1:9" ht="24" customHeight="1">
      <c r="A13" s="101">
        <v>4</v>
      </c>
      <c r="B13" s="102" t="s">
        <v>1280</v>
      </c>
      <c r="C13" s="102"/>
      <c r="D13" s="102"/>
      <c r="E13" s="103">
        <f>E14</f>
        <v>1182099650</v>
      </c>
      <c r="F13" s="103">
        <f t="shared" si="4"/>
        <v>350060001</v>
      </c>
      <c r="G13" s="381">
        <f t="shared" si="5"/>
        <v>0.29613408734195973</v>
      </c>
      <c r="H13" s="103">
        <f t="shared" si="4"/>
        <v>153550000</v>
      </c>
      <c r="I13" s="381">
        <f t="shared" si="6"/>
        <v>0.12989598634937419</v>
      </c>
    </row>
    <row r="14" spans="1:9" ht="24" customHeight="1">
      <c r="A14" s="25"/>
      <c r="B14" s="113">
        <v>45</v>
      </c>
      <c r="C14" s="105" t="s">
        <v>60</v>
      </c>
      <c r="D14" s="111"/>
      <c r="E14" s="107">
        <f>SUM(E15:E16)</f>
        <v>1182099650</v>
      </c>
      <c r="F14" s="107">
        <f t="shared" ref="F14:H14" si="7">SUM(F15:F16)</f>
        <v>350060001</v>
      </c>
      <c r="G14" s="381">
        <f t="shared" si="5"/>
        <v>0.29613408734195973</v>
      </c>
      <c r="H14" s="107">
        <f t="shared" si="7"/>
        <v>153550000</v>
      </c>
      <c r="I14" s="381">
        <f t="shared" si="6"/>
        <v>0.12989598634937419</v>
      </c>
    </row>
    <row r="15" spans="1:9" ht="56.25" customHeight="1">
      <c r="A15" s="35"/>
      <c r="B15" s="36"/>
      <c r="C15" s="28">
        <v>4502</v>
      </c>
      <c r="D15" s="23" t="s">
        <v>1281</v>
      </c>
      <c r="E15" s="29">
        <f>'SGTO POAI 2023 MARZO'!BF12+'SGTO POAI 2023 MARZO'!BF13</f>
        <v>195000000</v>
      </c>
      <c r="F15" s="29">
        <f>'SGTO POAI 2023 MARZO'!BG12+'SGTO POAI 2023 MARZO'!BG13</f>
        <v>9600000</v>
      </c>
      <c r="G15" s="381">
        <f t="shared" si="5"/>
        <v>4.9230769230769231E-2</v>
      </c>
      <c r="H15" s="29">
        <f>'SGTO POAI 2023 MARZO'!BH12+'SGTO POAI 2023 MARZO'!BH13</f>
        <v>6400000</v>
      </c>
      <c r="I15" s="381">
        <f t="shared" si="6"/>
        <v>3.282051282051282E-2</v>
      </c>
    </row>
    <row r="16" spans="1:9" ht="56.25" customHeight="1">
      <c r="A16" s="31"/>
      <c r="B16" s="37"/>
      <c r="C16" s="28">
        <v>4599</v>
      </c>
      <c r="D16" s="23" t="s">
        <v>1282</v>
      </c>
      <c r="E16" s="29">
        <f>'SGTO POAI 2023 MARZO'!BF14+'SGTO POAI 2023 MARZO'!BF15+'SGTO POAI 2023 MARZO'!BF16+'SGTO POAI 2023 MARZO'!BF17+'SGTO POAI 2023 MARZO'!BF18+'SGTO POAI 2023 MARZO'!BF19+'SGTO POAI 2023 MARZO'!BF20+'SGTO POAI 2023 MARZO'!BF21+'SGTO POAI 2023 MARZO'!BF22+'SGTO POAI 2023 MARZO'!BF23</f>
        <v>987099650</v>
      </c>
      <c r="F16" s="29">
        <f>'SGTO POAI 2023 MARZO'!BG14+'SGTO POAI 2023 MARZO'!BG15+'SGTO POAI 2023 MARZO'!BG16+'SGTO POAI 2023 MARZO'!BG17+'SGTO POAI 2023 MARZO'!BG18+'SGTO POAI 2023 MARZO'!BG19+'SGTO POAI 2023 MARZO'!BG20+'SGTO POAI 2023 MARZO'!BG21+'SGTO POAI 2023 MARZO'!BG22+'SGTO POAI 2023 MARZO'!BG23</f>
        <v>340460001</v>
      </c>
      <c r="G16" s="381">
        <f t="shared" si="5"/>
        <v>0.34490945367066028</v>
      </c>
      <c r="H16" s="29">
        <f>'SGTO POAI 2023 MARZO'!BH14+'SGTO POAI 2023 MARZO'!BH15+'SGTO POAI 2023 MARZO'!BH16+'SGTO POAI 2023 MARZO'!BH17+'SGTO POAI 2023 MARZO'!BH18+'SGTO POAI 2023 MARZO'!BH19+'SGTO POAI 2023 MARZO'!BH20+'SGTO POAI 2023 MARZO'!BH21+'SGTO POAI 2023 MARZO'!BH22+'SGTO POAI 2023 MARZO'!BH23</f>
        <v>147150000</v>
      </c>
      <c r="I16" s="381">
        <f t="shared" si="6"/>
        <v>0.1490730951024043</v>
      </c>
    </row>
    <row r="17" spans="1:9" ht="18" customHeight="1">
      <c r="F17" s="6"/>
      <c r="G17" s="6"/>
      <c r="H17" s="6"/>
    </row>
    <row r="18" spans="1:9" ht="24" customHeight="1">
      <c r="A18" s="70" t="s">
        <v>1284</v>
      </c>
      <c r="B18" s="71"/>
      <c r="C18" s="71"/>
      <c r="D18" s="72"/>
      <c r="E18" s="73">
        <f>E19</f>
        <v>3041154599.1599998</v>
      </c>
      <c r="F18" s="73">
        <f t="shared" ref="F18:H20" si="8">F19</f>
        <v>1634890667</v>
      </c>
      <c r="G18" s="381">
        <f t="shared" ref="G18:G21" si="9">F18/E18</f>
        <v>0.53758880507146023</v>
      </c>
      <c r="H18" s="73">
        <f t="shared" si="8"/>
        <v>446404000</v>
      </c>
      <c r="I18" s="381">
        <f>H18/E18</f>
        <v>0.14678767074955731</v>
      </c>
    </row>
    <row r="19" spans="1:9" ht="24" customHeight="1">
      <c r="A19" s="101">
        <v>4</v>
      </c>
      <c r="B19" s="102" t="s">
        <v>1280</v>
      </c>
      <c r="C19" s="102"/>
      <c r="D19" s="102"/>
      <c r="E19" s="103">
        <f>E20</f>
        <v>3041154599.1599998</v>
      </c>
      <c r="F19" s="103">
        <f t="shared" si="8"/>
        <v>1634890667</v>
      </c>
      <c r="G19" s="381">
        <f t="shared" si="9"/>
        <v>0.53758880507146023</v>
      </c>
      <c r="H19" s="103">
        <f t="shared" si="8"/>
        <v>446404000</v>
      </c>
      <c r="I19" s="381">
        <f t="shared" ref="I19:I21" si="10">H19/E19</f>
        <v>0.14678767074955731</v>
      </c>
    </row>
    <row r="20" spans="1:9" ht="24" customHeight="1">
      <c r="A20" s="25"/>
      <c r="B20" s="113">
        <v>45</v>
      </c>
      <c r="C20" s="105" t="s">
        <v>60</v>
      </c>
      <c r="D20" s="111"/>
      <c r="E20" s="107">
        <f>E21</f>
        <v>3041154599.1599998</v>
      </c>
      <c r="F20" s="107">
        <f t="shared" si="8"/>
        <v>1634890667</v>
      </c>
      <c r="G20" s="381">
        <f t="shared" si="9"/>
        <v>0.53758880507146023</v>
      </c>
      <c r="H20" s="107">
        <f t="shared" si="8"/>
        <v>446404000</v>
      </c>
      <c r="I20" s="381">
        <f t="shared" si="10"/>
        <v>0.14678767074955731</v>
      </c>
    </row>
    <row r="21" spans="1:9" ht="70.5" customHeight="1">
      <c r="A21" s="31"/>
      <c r="B21" s="22"/>
      <c r="C21" s="14">
        <v>4599</v>
      </c>
      <c r="D21" s="23" t="s">
        <v>1282</v>
      </c>
      <c r="E21" s="29">
        <f>'SGTO POAI 2023 MARZO'!BF24+'SGTO POAI 2023 MARZO'!BF25</f>
        <v>3041154599.1599998</v>
      </c>
      <c r="F21" s="29">
        <f>'SGTO POAI 2023 MARZO'!BG24+'SGTO POAI 2023 MARZO'!BG25</f>
        <v>1634890667</v>
      </c>
      <c r="G21" s="381">
        <f t="shared" si="9"/>
        <v>0.53758880507146023</v>
      </c>
      <c r="H21" s="29">
        <f>'SGTO POAI 2023 MARZO'!BH24+'SGTO POAI 2023 MARZO'!BH25</f>
        <v>446404000</v>
      </c>
      <c r="I21" s="381">
        <f t="shared" si="10"/>
        <v>0.14678767074955731</v>
      </c>
    </row>
    <row r="22" spans="1:9" s="39" customFormat="1">
      <c r="A22" s="5"/>
      <c r="B22" s="5"/>
      <c r="C22" s="5"/>
      <c r="D22" s="6"/>
      <c r="E22" s="38"/>
      <c r="F22" s="38"/>
      <c r="G22" s="38"/>
      <c r="H22" s="38"/>
    </row>
    <row r="23" spans="1:9" ht="24" customHeight="1">
      <c r="A23" s="56" t="s">
        <v>1285</v>
      </c>
      <c r="B23" s="62"/>
      <c r="C23" s="62"/>
      <c r="D23" s="63"/>
      <c r="E23" s="64">
        <f>E24+E40+E48+E37</f>
        <v>91905449878.459991</v>
      </c>
      <c r="F23" s="64">
        <f t="shared" ref="F23:H23" si="11">F24+F40+F48+F37</f>
        <v>5560583941</v>
      </c>
      <c r="G23" s="381">
        <f t="shared" ref="G23:G51" si="12">F23/E23</f>
        <v>6.050331017750931E-2</v>
      </c>
      <c r="H23" s="64">
        <f t="shared" si="11"/>
        <v>258300000</v>
      </c>
      <c r="I23" s="381">
        <f t="shared" ref="I23:I51" si="13">H23/E23</f>
        <v>2.8104970961089666E-3</v>
      </c>
    </row>
    <row r="24" spans="1:9" ht="24" customHeight="1">
      <c r="A24" s="98">
        <v>1</v>
      </c>
      <c r="B24" s="99" t="s">
        <v>1286</v>
      </c>
      <c r="C24" s="99"/>
      <c r="D24" s="99"/>
      <c r="E24" s="100">
        <f>E25+E29+E31+E35+E33+E27</f>
        <v>36873014664.099998</v>
      </c>
      <c r="F24" s="100">
        <f t="shared" ref="F24:H24" si="14">F25+F29+F31+F35+F33+F27</f>
        <v>1062340000</v>
      </c>
      <c r="G24" s="381">
        <f t="shared" si="12"/>
        <v>2.8810771499904148E-2</v>
      </c>
      <c r="H24" s="100">
        <f t="shared" si="14"/>
        <v>172400000</v>
      </c>
      <c r="I24" s="381">
        <f t="shared" si="13"/>
        <v>4.6755059647414906E-3</v>
      </c>
    </row>
    <row r="25" spans="1:9" ht="24" customHeight="1">
      <c r="A25" s="25"/>
      <c r="B25" s="113">
        <v>12</v>
      </c>
      <c r="C25" s="105" t="s">
        <v>149</v>
      </c>
      <c r="D25" s="111"/>
      <c r="E25" s="107">
        <f>E26</f>
        <v>74327300</v>
      </c>
      <c r="F25" s="107">
        <f t="shared" ref="F25:H25" si="15">F26</f>
        <v>9800000</v>
      </c>
      <c r="G25" s="381">
        <f t="shared" si="12"/>
        <v>0.13184926668935909</v>
      </c>
      <c r="H25" s="107">
        <f t="shared" si="15"/>
        <v>7850000</v>
      </c>
      <c r="I25" s="381">
        <f t="shared" si="13"/>
        <v>0.10561395341953764</v>
      </c>
    </row>
    <row r="26" spans="1:9" ht="61.5" customHeight="1">
      <c r="A26" s="35"/>
      <c r="B26" s="22"/>
      <c r="C26" s="12">
        <v>1202</v>
      </c>
      <c r="D26" s="23" t="s">
        <v>150</v>
      </c>
      <c r="E26" s="29">
        <f>'SGTO POAI 2023 MARZO'!BF26</f>
        <v>74327300</v>
      </c>
      <c r="F26" s="29">
        <f>'SGTO POAI 2023 MARZO'!BG26</f>
        <v>9800000</v>
      </c>
      <c r="G26" s="381">
        <f t="shared" si="12"/>
        <v>0.13184926668935909</v>
      </c>
      <c r="H26" s="29">
        <f>'SGTO POAI 2023 MARZO'!BH26</f>
        <v>7850000</v>
      </c>
      <c r="I26" s="381">
        <f t="shared" si="13"/>
        <v>0.10561395341953764</v>
      </c>
    </row>
    <row r="27" spans="1:9" ht="24" customHeight="1">
      <c r="A27" s="40"/>
      <c r="B27" s="110">
        <v>19</v>
      </c>
      <c r="C27" s="105" t="s">
        <v>755</v>
      </c>
      <c r="D27" s="119"/>
      <c r="E27" s="107">
        <f>E28</f>
        <v>21612200000</v>
      </c>
      <c r="F27" s="107">
        <f t="shared" ref="F27:H27" si="16">F28</f>
        <v>0</v>
      </c>
      <c r="G27" s="381">
        <f t="shared" si="12"/>
        <v>0</v>
      </c>
      <c r="H27" s="107">
        <f t="shared" si="16"/>
        <v>0</v>
      </c>
      <c r="I27" s="381">
        <f t="shared" si="13"/>
        <v>0</v>
      </c>
    </row>
    <row r="28" spans="1:9" ht="64.5" customHeight="1">
      <c r="A28" s="35"/>
      <c r="B28" s="22"/>
      <c r="C28" s="12">
        <v>1903</v>
      </c>
      <c r="D28" s="23" t="s">
        <v>933</v>
      </c>
      <c r="E28" s="29">
        <f>'SGTO POAI 2023 MARZO'!BF51</f>
        <v>21612200000</v>
      </c>
      <c r="F28" s="29">
        <f>'SGTO POAI 2023 MARZO'!BG51</f>
        <v>0</v>
      </c>
      <c r="G28" s="381">
        <f t="shared" si="12"/>
        <v>0</v>
      </c>
      <c r="H28" s="29">
        <f>'SGTO POAI 2023 MARZO'!BH51</f>
        <v>0</v>
      </c>
      <c r="I28" s="381">
        <f t="shared" si="13"/>
        <v>0</v>
      </c>
    </row>
    <row r="29" spans="1:9" ht="24" customHeight="1">
      <c r="A29" s="40"/>
      <c r="B29" s="110">
        <v>22</v>
      </c>
      <c r="C29" s="105" t="s">
        <v>160</v>
      </c>
      <c r="D29" s="106"/>
      <c r="E29" s="107">
        <f>E30</f>
        <v>2917024296</v>
      </c>
      <c r="F29" s="107">
        <f t="shared" ref="F29:H29" si="17">F30</f>
        <v>733982500</v>
      </c>
      <c r="G29" s="381">
        <f t="shared" si="12"/>
        <v>0.25162029024114785</v>
      </c>
      <c r="H29" s="107">
        <f t="shared" si="17"/>
        <v>149450000</v>
      </c>
      <c r="I29" s="381">
        <f t="shared" si="13"/>
        <v>5.123371793815186E-2</v>
      </c>
    </row>
    <row r="30" spans="1:9" ht="64.5" customHeight="1">
      <c r="A30" s="35"/>
      <c r="B30" s="22"/>
      <c r="C30" s="12">
        <v>2201</v>
      </c>
      <c r="D30" s="23" t="s">
        <v>161</v>
      </c>
      <c r="E30" s="29">
        <f>'SGTO POAI 2023 MARZO'!BF27</f>
        <v>2917024296</v>
      </c>
      <c r="F30" s="29">
        <f>'SGTO POAI 2023 MARZO'!BG27</f>
        <v>733982500</v>
      </c>
      <c r="G30" s="381">
        <f t="shared" si="12"/>
        <v>0.25162029024114785</v>
      </c>
      <c r="H30" s="29">
        <f>'SGTO POAI 2023 MARZO'!BH27</f>
        <v>149450000</v>
      </c>
      <c r="I30" s="381">
        <f t="shared" si="13"/>
        <v>5.123371793815186E-2</v>
      </c>
    </row>
    <row r="31" spans="1:9" ht="24" customHeight="1">
      <c r="A31" s="40"/>
      <c r="B31" s="110">
        <v>33</v>
      </c>
      <c r="C31" s="112" t="s">
        <v>170</v>
      </c>
      <c r="D31" s="106"/>
      <c r="E31" s="107">
        <f>E32</f>
        <v>73966912</v>
      </c>
      <c r="F31" s="107">
        <f t="shared" ref="F31:H31" si="18">F32</f>
        <v>20500000</v>
      </c>
      <c r="G31" s="381">
        <f t="shared" si="12"/>
        <v>0.27715095095493508</v>
      </c>
      <c r="H31" s="107">
        <f t="shared" si="18"/>
        <v>0</v>
      </c>
      <c r="I31" s="381">
        <f t="shared" si="13"/>
        <v>0</v>
      </c>
    </row>
    <row r="32" spans="1:9" ht="63" customHeight="1">
      <c r="A32" s="35"/>
      <c r="B32" s="22"/>
      <c r="C32" s="12">
        <v>3301</v>
      </c>
      <c r="D32" s="23" t="s">
        <v>171</v>
      </c>
      <c r="E32" s="29">
        <f>'SGTO POAI 2023 MARZO'!BF28</f>
        <v>73966912</v>
      </c>
      <c r="F32" s="29">
        <f>'SGTO POAI 2023 MARZO'!BG28</f>
        <v>20500000</v>
      </c>
      <c r="G32" s="381">
        <f t="shared" si="12"/>
        <v>0.27715095095493508</v>
      </c>
      <c r="H32" s="29">
        <f>'SGTO POAI 2023 MARZO'!BH28</f>
        <v>0</v>
      </c>
      <c r="I32" s="381">
        <f t="shared" si="13"/>
        <v>0</v>
      </c>
    </row>
    <row r="33" spans="1:9" ht="26.25" customHeight="1">
      <c r="A33" s="35"/>
      <c r="B33" s="110">
        <v>41</v>
      </c>
      <c r="C33" s="105" t="s">
        <v>180</v>
      </c>
      <c r="D33" s="106"/>
      <c r="E33" s="107">
        <f>E34</f>
        <v>6229932867</v>
      </c>
      <c r="F33" s="107">
        <f t="shared" ref="F33:H33" si="19">F34</f>
        <v>0</v>
      </c>
      <c r="G33" s="381">
        <f t="shared" si="12"/>
        <v>0</v>
      </c>
      <c r="H33" s="107">
        <f t="shared" si="19"/>
        <v>0</v>
      </c>
      <c r="I33" s="381">
        <f t="shared" si="13"/>
        <v>0</v>
      </c>
    </row>
    <row r="34" spans="1:9" ht="57" customHeight="1">
      <c r="A34" s="35"/>
      <c r="B34" s="22"/>
      <c r="C34" s="12">
        <f>'SGTO POAI 2023 MARZO'!I29</f>
        <v>4104</v>
      </c>
      <c r="D34" s="23" t="s">
        <v>181</v>
      </c>
      <c r="E34" s="29">
        <f>'SGTO POAI 2023 MARZO'!BF29+'SGTO POAI 2023 MARZO'!BF30</f>
        <v>6229932867</v>
      </c>
      <c r="F34" s="29">
        <f>'SGTO POAI 2023 MARZO'!BG29+'SGTO POAI 2023 MARZO'!BG30</f>
        <v>0</v>
      </c>
      <c r="G34" s="381">
        <f t="shared" si="12"/>
        <v>0</v>
      </c>
      <c r="H34" s="29">
        <f>'SGTO POAI 2023 MARZO'!BH29+'SGTO POAI 2023 MARZO'!BH30</f>
        <v>0</v>
      </c>
      <c r="I34" s="381">
        <f t="shared" si="13"/>
        <v>0</v>
      </c>
    </row>
    <row r="35" spans="1:9" ht="24" customHeight="1">
      <c r="A35" s="40"/>
      <c r="B35" s="110">
        <v>43</v>
      </c>
      <c r="C35" s="105" t="s">
        <v>189</v>
      </c>
      <c r="D35" s="105"/>
      <c r="E35" s="107">
        <f>E36</f>
        <v>5965563289.1000004</v>
      </c>
      <c r="F35" s="107">
        <f t="shared" ref="F35:H35" si="20">F36</f>
        <v>298057500</v>
      </c>
      <c r="G35" s="381">
        <f t="shared" si="12"/>
        <v>4.9963010290176087E-2</v>
      </c>
      <c r="H35" s="107">
        <f t="shared" si="20"/>
        <v>15100000</v>
      </c>
      <c r="I35" s="381">
        <f t="shared" si="13"/>
        <v>2.5311943345886576E-3</v>
      </c>
    </row>
    <row r="36" spans="1:9" ht="65.25" customHeight="1">
      <c r="A36" s="31"/>
      <c r="B36" s="22"/>
      <c r="C36" s="12">
        <v>4301</v>
      </c>
      <c r="D36" s="23" t="s">
        <v>1287</v>
      </c>
      <c r="E36" s="29">
        <f>'SGTO POAI 2023 MARZO'!BF31</f>
        <v>5965563289.1000004</v>
      </c>
      <c r="F36" s="29">
        <f>'SGTO POAI 2023 MARZO'!BG31</f>
        <v>298057500</v>
      </c>
      <c r="G36" s="381">
        <f t="shared" si="12"/>
        <v>4.9963010290176087E-2</v>
      </c>
      <c r="H36" s="29">
        <f>'SGTO POAI 2023 MARZO'!BH31</f>
        <v>15100000</v>
      </c>
      <c r="I36" s="381">
        <f t="shared" si="13"/>
        <v>2.5311943345886576E-3</v>
      </c>
    </row>
    <row r="37" spans="1:9" ht="27" customHeight="1">
      <c r="A37" s="98">
        <v>2</v>
      </c>
      <c r="B37" s="99" t="s">
        <v>1288</v>
      </c>
      <c r="C37" s="99"/>
      <c r="D37" s="99"/>
      <c r="E37" s="100">
        <f>E38</f>
        <v>41000000</v>
      </c>
      <c r="F37" s="100">
        <f t="shared" ref="F37:H38" si="21">F38</f>
        <v>30900000</v>
      </c>
      <c r="G37" s="381">
        <f t="shared" si="12"/>
        <v>0.75365853658536586</v>
      </c>
      <c r="H37" s="100">
        <f t="shared" si="21"/>
        <v>0</v>
      </c>
      <c r="I37" s="381">
        <f t="shared" si="13"/>
        <v>0</v>
      </c>
    </row>
    <row r="38" spans="1:9" ht="27" customHeight="1">
      <c r="A38" s="13"/>
      <c r="B38" s="104">
        <v>17</v>
      </c>
      <c r="C38" s="105" t="s">
        <v>1289</v>
      </c>
      <c r="D38" s="106"/>
      <c r="E38" s="107">
        <f>E39</f>
        <v>41000000</v>
      </c>
      <c r="F38" s="107">
        <f t="shared" si="21"/>
        <v>30900000</v>
      </c>
      <c r="G38" s="381">
        <f t="shared" si="12"/>
        <v>0.75365853658536586</v>
      </c>
      <c r="H38" s="107">
        <f t="shared" si="21"/>
        <v>0</v>
      </c>
      <c r="I38" s="381">
        <f t="shared" si="13"/>
        <v>0</v>
      </c>
    </row>
    <row r="39" spans="1:9" ht="65.25" customHeight="1">
      <c r="A39" s="12"/>
      <c r="B39" s="12"/>
      <c r="C39" s="12">
        <v>1709</v>
      </c>
      <c r="D39" s="23" t="s">
        <v>201</v>
      </c>
      <c r="E39" s="29">
        <f>'SGTO POAI 2023 MARZO'!BF32+'SGTO POAI 2023 MARZO'!BF33</f>
        <v>41000000</v>
      </c>
      <c r="F39" s="29">
        <f>'SGTO POAI 2023 MARZO'!BG32+'SGTO POAI 2023 MARZO'!BG33</f>
        <v>30900000</v>
      </c>
      <c r="G39" s="381">
        <f t="shared" si="12"/>
        <v>0.75365853658536586</v>
      </c>
      <c r="H39" s="29">
        <f>'SGTO POAI 2023 MARZO'!BH32+'SGTO POAI 2023 MARZO'!BH33</f>
        <v>0</v>
      </c>
      <c r="I39" s="381">
        <f t="shared" si="13"/>
        <v>0</v>
      </c>
    </row>
    <row r="40" spans="1:9" ht="24" customHeight="1">
      <c r="A40" s="98">
        <v>3</v>
      </c>
      <c r="B40" s="99" t="s">
        <v>1290</v>
      </c>
      <c r="C40" s="99"/>
      <c r="D40" s="99"/>
      <c r="E40" s="100">
        <f>E41+E43+E45</f>
        <v>53888455828.360001</v>
      </c>
      <c r="F40" s="100">
        <f t="shared" ref="F40:H40" si="22">F41+F43+F45</f>
        <v>4377543941</v>
      </c>
      <c r="G40" s="381">
        <f t="shared" si="12"/>
        <v>8.1233426968902303E-2</v>
      </c>
      <c r="H40" s="100">
        <f t="shared" si="22"/>
        <v>80650000</v>
      </c>
      <c r="I40" s="381">
        <f t="shared" si="13"/>
        <v>1.4966099651635618E-3</v>
      </c>
    </row>
    <row r="41" spans="1:9" ht="24" customHeight="1">
      <c r="A41" s="13"/>
      <c r="B41" s="104">
        <v>24</v>
      </c>
      <c r="C41" s="105" t="s">
        <v>212</v>
      </c>
      <c r="D41" s="105"/>
      <c r="E41" s="107">
        <f>E42</f>
        <v>46481625132.520004</v>
      </c>
      <c r="F41" s="107">
        <f t="shared" ref="F41:H41" si="23">F42</f>
        <v>488947380</v>
      </c>
      <c r="G41" s="381">
        <f t="shared" si="12"/>
        <v>1.0519154151904148E-2</v>
      </c>
      <c r="H41" s="107">
        <f t="shared" si="23"/>
        <v>73250000</v>
      </c>
      <c r="I41" s="381">
        <f t="shared" si="13"/>
        <v>1.5758915440491344E-3</v>
      </c>
    </row>
    <row r="42" spans="1:9" ht="59.25" customHeight="1">
      <c r="A42" s="12"/>
      <c r="B42" s="12"/>
      <c r="C42" s="12">
        <v>2402</v>
      </c>
      <c r="D42" s="23" t="s">
        <v>213</v>
      </c>
      <c r="E42" s="29">
        <f>'SGTO POAI 2023 MARZO'!BF34+'SGTO POAI 2023 MARZO'!BF35+'SGTO POAI 2023 MARZO'!BF36+'SGTO POAI 2023 MARZO'!BF37+'SGTO POAI 2023 MARZO'!BF38</f>
        <v>46481625132.520004</v>
      </c>
      <c r="F42" s="29">
        <f>'SGTO POAI 2023 MARZO'!BG34+'SGTO POAI 2023 MARZO'!BG35+'SGTO POAI 2023 MARZO'!BG36+'SGTO POAI 2023 MARZO'!BG37+'SGTO POAI 2023 MARZO'!BG38</f>
        <v>488947380</v>
      </c>
      <c r="G42" s="381">
        <f t="shared" si="12"/>
        <v>1.0519154151904148E-2</v>
      </c>
      <c r="H42" s="29">
        <f>'SGTO POAI 2023 MARZO'!BH34+'SGTO POAI 2023 MARZO'!BH35+'SGTO POAI 2023 MARZO'!BH36+'SGTO POAI 2023 MARZO'!BH37+'SGTO POAI 2023 MARZO'!BH38</f>
        <v>73250000</v>
      </c>
      <c r="I42" s="381">
        <f t="shared" si="13"/>
        <v>1.5758915440491344E-3</v>
      </c>
    </row>
    <row r="43" spans="1:9" ht="24" customHeight="1">
      <c r="A43" s="13"/>
      <c r="B43" s="116">
        <v>32</v>
      </c>
      <c r="C43" s="105" t="s">
        <v>226</v>
      </c>
      <c r="D43" s="105"/>
      <c r="E43" s="107">
        <f>E44</f>
        <v>1840000000</v>
      </c>
      <c r="F43" s="107">
        <f t="shared" ref="F43:H43" si="24">F44</f>
        <v>18200000</v>
      </c>
      <c r="G43" s="381">
        <f t="shared" si="12"/>
        <v>9.8913043478260874E-3</v>
      </c>
      <c r="H43" s="107">
        <f t="shared" si="24"/>
        <v>7400000</v>
      </c>
      <c r="I43" s="381">
        <f t="shared" si="13"/>
        <v>4.0217391304347826E-3</v>
      </c>
    </row>
    <row r="44" spans="1:9" ht="54.75" customHeight="1">
      <c r="A44" s="12"/>
      <c r="B44" s="12"/>
      <c r="C44" s="12">
        <v>3205</v>
      </c>
      <c r="D44" s="23" t="s">
        <v>227</v>
      </c>
      <c r="E44" s="29">
        <f>'SGTO POAI 2023 MARZO'!BF39+'SGTO POAI 2023 MARZO'!BF40</f>
        <v>1840000000</v>
      </c>
      <c r="F44" s="29">
        <f>'SGTO POAI 2023 MARZO'!BG39+'SGTO POAI 2023 MARZO'!BG40</f>
        <v>18200000</v>
      </c>
      <c r="G44" s="381">
        <f t="shared" si="12"/>
        <v>9.8913043478260874E-3</v>
      </c>
      <c r="H44" s="29">
        <f>'SGTO POAI 2023 MARZO'!BH39+'SGTO POAI 2023 MARZO'!BH40</f>
        <v>7400000</v>
      </c>
      <c r="I44" s="381">
        <f t="shared" si="13"/>
        <v>4.0217391304347826E-3</v>
      </c>
    </row>
    <row r="45" spans="1:9" ht="24" customHeight="1">
      <c r="A45" s="13"/>
      <c r="B45" s="116">
        <v>40</v>
      </c>
      <c r="C45" s="105" t="s">
        <v>1291</v>
      </c>
      <c r="D45" s="106"/>
      <c r="E45" s="107">
        <f>SUM(E46:E47)</f>
        <v>5566830695.8400002</v>
      </c>
      <c r="F45" s="107">
        <f t="shared" ref="F45:H45" si="25">SUM(F46:F47)</f>
        <v>3870396561</v>
      </c>
      <c r="G45" s="381">
        <f t="shared" si="12"/>
        <v>0.69526033257887343</v>
      </c>
      <c r="H45" s="107">
        <f t="shared" si="25"/>
        <v>0</v>
      </c>
      <c r="I45" s="381">
        <f t="shared" si="13"/>
        <v>0</v>
      </c>
    </row>
    <row r="46" spans="1:9" ht="48.75" customHeight="1">
      <c r="A46" s="12"/>
      <c r="B46" s="12"/>
      <c r="C46" s="12">
        <v>4001</v>
      </c>
      <c r="D46" s="23" t="s">
        <v>241</v>
      </c>
      <c r="E46" s="29">
        <f>'SGTO POAI 2023 MARZO'!BF41</f>
        <v>350000000</v>
      </c>
      <c r="F46" s="29">
        <f>'SGTO POAI 2023 MARZO'!BG41</f>
        <v>0</v>
      </c>
      <c r="G46" s="381">
        <f t="shared" si="12"/>
        <v>0</v>
      </c>
      <c r="H46" s="29">
        <f>'SGTO POAI 2023 MARZO'!BH41</f>
        <v>0</v>
      </c>
      <c r="I46" s="381">
        <f t="shared" si="13"/>
        <v>0</v>
      </c>
    </row>
    <row r="47" spans="1:9" ht="59.25" customHeight="1">
      <c r="A47" s="12"/>
      <c r="B47" s="12"/>
      <c r="C47" s="12">
        <v>4003</v>
      </c>
      <c r="D47" s="23" t="s">
        <v>249</v>
      </c>
      <c r="E47" s="29">
        <f>'SGTO POAI 2023 MARZO'!BF42+'SGTO POAI 2023 MARZO'!BF43+'SGTO POAI 2023 MARZO'!BF44+'SGTO POAI 2023 MARZO'!BF45+'SGTO POAI 2023 MARZO'!BF46+'SGTO POAI 2023 MARZO'!BF47</f>
        <v>5216830695.8400002</v>
      </c>
      <c r="F47" s="29">
        <f>'SGTO POAI 2023 MARZO'!BG42+'SGTO POAI 2023 MARZO'!BG43+'SGTO POAI 2023 MARZO'!BG44+'SGTO POAI 2023 MARZO'!BG45+'SGTO POAI 2023 MARZO'!BG46+'SGTO POAI 2023 MARZO'!BG47</f>
        <v>3870396561</v>
      </c>
      <c r="G47" s="381">
        <f t="shared" si="12"/>
        <v>0.74190572526847143</v>
      </c>
      <c r="H47" s="29">
        <f>'SGTO POAI 2023 MARZO'!BH42+'SGTO POAI 2023 MARZO'!BH43+'SGTO POAI 2023 MARZO'!BH44+'SGTO POAI 2023 MARZO'!BH45+'SGTO POAI 2023 MARZO'!BH46+'SGTO POAI 2023 MARZO'!BH47</f>
        <v>0</v>
      </c>
      <c r="I47" s="381">
        <f t="shared" si="13"/>
        <v>0</v>
      </c>
    </row>
    <row r="48" spans="1:9" ht="24" customHeight="1">
      <c r="A48" s="98">
        <v>4</v>
      </c>
      <c r="B48" s="99" t="s">
        <v>1280</v>
      </c>
      <c r="C48" s="99"/>
      <c r="D48" s="99"/>
      <c r="E48" s="100">
        <f>E49</f>
        <v>1102979386</v>
      </c>
      <c r="F48" s="100">
        <f t="shared" ref="F48:H48" si="26">F49</f>
        <v>89800000</v>
      </c>
      <c r="G48" s="381">
        <f t="shared" si="12"/>
        <v>8.1415846152540883E-2</v>
      </c>
      <c r="H48" s="100">
        <f t="shared" si="26"/>
        <v>5250000</v>
      </c>
      <c r="I48" s="381">
        <f t="shared" si="13"/>
        <v>4.7598351035728244E-3</v>
      </c>
    </row>
    <row r="49" spans="1:9" ht="24" customHeight="1">
      <c r="A49" s="13"/>
      <c r="B49" s="104">
        <v>45</v>
      </c>
      <c r="C49" s="105" t="s">
        <v>60</v>
      </c>
      <c r="D49" s="106"/>
      <c r="E49" s="107">
        <f>SUM(E50:E51)</f>
        <v>1102979386</v>
      </c>
      <c r="F49" s="107">
        <f t="shared" ref="F49:H49" si="27">SUM(F50:F51)</f>
        <v>89800000</v>
      </c>
      <c r="G49" s="381">
        <f t="shared" si="12"/>
        <v>8.1415846152540883E-2</v>
      </c>
      <c r="H49" s="107">
        <f t="shared" si="27"/>
        <v>5250000</v>
      </c>
      <c r="I49" s="381">
        <f t="shared" si="13"/>
        <v>4.7598351035728244E-3</v>
      </c>
    </row>
    <row r="50" spans="1:9" ht="66" customHeight="1">
      <c r="A50" s="12"/>
      <c r="B50" s="12"/>
      <c r="C50" s="12">
        <v>4502</v>
      </c>
      <c r="D50" s="23" t="s">
        <v>1281</v>
      </c>
      <c r="E50" s="29">
        <f>'SGTO POAI 2023 MARZO'!BF50</f>
        <v>40000000</v>
      </c>
      <c r="F50" s="29">
        <f>'SGTO POAI 2023 MARZO'!BG50</f>
        <v>40000000</v>
      </c>
      <c r="G50" s="381">
        <f t="shared" si="12"/>
        <v>1</v>
      </c>
      <c r="H50" s="29">
        <f>'SGTO POAI 2023 MARZO'!BH50</f>
        <v>2000000</v>
      </c>
      <c r="I50" s="381">
        <f t="shared" si="13"/>
        <v>0.05</v>
      </c>
    </row>
    <row r="51" spans="1:9" ht="53.25" customHeight="1">
      <c r="A51" s="12"/>
      <c r="B51" s="12"/>
      <c r="C51" s="12">
        <v>4599</v>
      </c>
      <c r="D51" s="23" t="s">
        <v>1282</v>
      </c>
      <c r="E51" s="29">
        <f>'SGTO POAI 2023 MARZO'!BF48+'SGTO POAI 2023 MARZO'!BF49</f>
        <v>1062979386</v>
      </c>
      <c r="F51" s="29">
        <f>'SGTO POAI 2023 MARZO'!BG48+'SGTO POAI 2023 MARZO'!BG49</f>
        <v>49800000</v>
      </c>
      <c r="G51" s="381">
        <f t="shared" si="12"/>
        <v>4.6849450380592801E-2</v>
      </c>
      <c r="H51" s="29">
        <f>'SGTO POAI 2023 MARZO'!BH48+'SGTO POAI 2023 MARZO'!BH49</f>
        <v>3250000</v>
      </c>
      <c r="I51" s="381">
        <f t="shared" si="13"/>
        <v>3.057444050942301E-3</v>
      </c>
    </row>
    <row r="52" spans="1:9" s="39" customFormat="1">
      <c r="A52" s="5"/>
      <c r="B52" s="5"/>
      <c r="C52" s="58"/>
      <c r="D52" s="59"/>
      <c r="E52" s="38"/>
      <c r="F52" s="38"/>
      <c r="G52" s="38"/>
      <c r="H52" s="38"/>
    </row>
    <row r="53" spans="1:9" ht="24" customHeight="1">
      <c r="A53" s="65" t="s">
        <v>1292</v>
      </c>
      <c r="B53" s="62"/>
      <c r="C53" s="62"/>
      <c r="D53" s="63"/>
      <c r="E53" s="64">
        <f>E54+E66+E71</f>
        <v>9005666049.1399994</v>
      </c>
      <c r="F53" s="64">
        <f t="shared" ref="F53:H53" si="28">F54+F66+F71</f>
        <v>1519297794.3499999</v>
      </c>
      <c r="G53" s="381">
        <f t="shared" ref="G53:G73" si="29">F53/E53</f>
        <v>0.1687046561642252</v>
      </c>
      <c r="H53" s="64">
        <f t="shared" si="28"/>
        <v>336093935.85000002</v>
      </c>
      <c r="I53" s="381">
        <f t="shared" ref="I53:I73" si="30">H53/E53</f>
        <v>3.7320275259606753E-2</v>
      </c>
    </row>
    <row r="54" spans="1:9" ht="24" customHeight="1">
      <c r="A54" s="98">
        <v>1</v>
      </c>
      <c r="B54" s="99" t="s">
        <v>1286</v>
      </c>
      <c r="C54" s="99"/>
      <c r="D54" s="99"/>
      <c r="E54" s="100">
        <f>E55+E59+E61+E64</f>
        <v>8033276561.1399994</v>
      </c>
      <c r="F54" s="100">
        <f t="shared" ref="F54:H54" si="31">F55+F59+F61+F64</f>
        <v>1192420806.3499999</v>
      </c>
      <c r="G54" s="381">
        <f t="shared" si="29"/>
        <v>0.14843517427474001</v>
      </c>
      <c r="H54" s="100">
        <f t="shared" si="31"/>
        <v>194943935.84999999</v>
      </c>
      <c r="I54" s="381">
        <f t="shared" si="30"/>
        <v>2.426705147847363E-2</v>
      </c>
    </row>
    <row r="55" spans="1:9" ht="24" customHeight="1">
      <c r="A55" s="13"/>
      <c r="B55" s="104">
        <v>12</v>
      </c>
      <c r="C55" s="105" t="s">
        <v>149</v>
      </c>
      <c r="D55" s="106"/>
      <c r="E55" s="107">
        <f>SUM(E56:E58)</f>
        <v>273000000</v>
      </c>
      <c r="F55" s="107">
        <f t="shared" ref="F55:H55" si="32">SUM(F56:F58)</f>
        <v>75270512</v>
      </c>
      <c r="G55" s="381">
        <f t="shared" si="29"/>
        <v>0.27571616117216119</v>
      </c>
      <c r="H55" s="107">
        <f t="shared" si="32"/>
        <v>31400000</v>
      </c>
      <c r="I55" s="381">
        <f t="shared" si="30"/>
        <v>0.11501831501831501</v>
      </c>
    </row>
    <row r="56" spans="1:9" ht="34.5" customHeight="1">
      <c r="A56" s="7"/>
      <c r="B56" s="27"/>
      <c r="C56" s="22">
        <v>1202</v>
      </c>
      <c r="D56" s="23" t="s">
        <v>150</v>
      </c>
      <c r="E56" s="29">
        <f>'SGTO POAI 2023 MARZO'!BF52</f>
        <v>139000000</v>
      </c>
      <c r="F56" s="29">
        <f>'SGTO POAI 2023 MARZO'!BG52</f>
        <v>35188012</v>
      </c>
      <c r="G56" s="381">
        <f t="shared" si="29"/>
        <v>0.25315116546762589</v>
      </c>
      <c r="H56" s="29">
        <f>'SGTO POAI 2023 MARZO'!BH52</f>
        <v>14800000</v>
      </c>
      <c r="I56" s="381">
        <f t="shared" si="30"/>
        <v>0.10647482014388489</v>
      </c>
    </row>
    <row r="57" spans="1:9" ht="61.5" customHeight="1">
      <c r="A57" s="7"/>
      <c r="B57" s="35"/>
      <c r="C57" s="22">
        <v>1203</v>
      </c>
      <c r="D57" s="23" t="s">
        <v>285</v>
      </c>
      <c r="E57" s="29">
        <f>'SGTO POAI 2023 MARZO'!BF53</f>
        <v>67000000</v>
      </c>
      <c r="F57" s="29">
        <f>'SGTO POAI 2023 MARZO'!BG53</f>
        <v>15300000</v>
      </c>
      <c r="G57" s="381">
        <f t="shared" si="29"/>
        <v>0.22835820895522388</v>
      </c>
      <c r="H57" s="29">
        <f>'SGTO POAI 2023 MARZO'!BH53</f>
        <v>8200000</v>
      </c>
      <c r="I57" s="381">
        <f t="shared" si="30"/>
        <v>0.12238805970149254</v>
      </c>
    </row>
    <row r="58" spans="1:9" ht="60" customHeight="1">
      <c r="A58" s="7"/>
      <c r="B58" s="31"/>
      <c r="C58" s="22">
        <v>1206</v>
      </c>
      <c r="D58" s="23" t="s">
        <v>291</v>
      </c>
      <c r="E58" s="29">
        <f>'SGTO POAI 2023 MARZO'!BF54</f>
        <v>67000000</v>
      </c>
      <c r="F58" s="29">
        <f>'SGTO POAI 2023 MARZO'!BG54</f>
        <v>24782500</v>
      </c>
      <c r="G58" s="381">
        <f t="shared" si="29"/>
        <v>0.36988805970149252</v>
      </c>
      <c r="H58" s="29">
        <f>'SGTO POAI 2023 MARZO'!BH54</f>
        <v>8400000</v>
      </c>
      <c r="I58" s="381">
        <f t="shared" si="30"/>
        <v>0.1253731343283582</v>
      </c>
    </row>
    <row r="59" spans="1:9" ht="24" customHeight="1">
      <c r="A59" s="41"/>
      <c r="B59" s="115">
        <v>22</v>
      </c>
      <c r="C59" s="105" t="s">
        <v>160</v>
      </c>
      <c r="D59" s="106"/>
      <c r="E59" s="107">
        <f>E60</f>
        <v>70000000</v>
      </c>
      <c r="F59" s="107">
        <f t="shared" ref="F59:H59" si="33">F60</f>
        <v>45330000</v>
      </c>
      <c r="G59" s="381">
        <f t="shared" si="29"/>
        <v>0.64757142857142858</v>
      </c>
      <c r="H59" s="107">
        <f t="shared" si="33"/>
        <v>13750000</v>
      </c>
      <c r="I59" s="381">
        <f t="shared" si="30"/>
        <v>0.19642857142857142</v>
      </c>
    </row>
    <row r="60" spans="1:9" ht="75.75" customHeight="1">
      <c r="A60" s="42"/>
      <c r="B60" s="22"/>
      <c r="C60" s="12">
        <v>2201</v>
      </c>
      <c r="D60" s="23" t="s">
        <v>297</v>
      </c>
      <c r="E60" s="29">
        <f>'SGTO POAI 2023 MARZO'!BF55</f>
        <v>70000000</v>
      </c>
      <c r="F60" s="29">
        <f>'SGTO POAI 2023 MARZO'!BG55</f>
        <v>45330000</v>
      </c>
      <c r="G60" s="381">
        <f t="shared" si="29"/>
        <v>0.64757142857142858</v>
      </c>
      <c r="H60" s="29">
        <f>'SGTO POAI 2023 MARZO'!BH55</f>
        <v>13750000</v>
      </c>
      <c r="I60" s="381">
        <f t="shared" si="30"/>
        <v>0.19642857142857142</v>
      </c>
    </row>
    <row r="61" spans="1:9" ht="24" customHeight="1">
      <c r="A61" s="42"/>
      <c r="B61" s="113">
        <v>41</v>
      </c>
      <c r="C61" s="105" t="s">
        <v>303</v>
      </c>
      <c r="D61" s="111"/>
      <c r="E61" s="107">
        <f>SUM(E62:E63)</f>
        <v>320000000</v>
      </c>
      <c r="F61" s="107">
        <f t="shared" ref="F61:H61" si="34">SUM(F62:F63)</f>
        <v>134254200</v>
      </c>
      <c r="G61" s="381">
        <f t="shared" si="29"/>
        <v>0.41954437500000002</v>
      </c>
      <c r="H61" s="107">
        <f t="shared" si="34"/>
        <v>68579200</v>
      </c>
      <c r="I61" s="381">
        <f t="shared" si="30"/>
        <v>0.21431</v>
      </c>
    </row>
    <row r="62" spans="1:9" ht="44.25" customHeight="1">
      <c r="A62" s="7"/>
      <c r="B62" s="27"/>
      <c r="C62" s="22">
        <v>4101</v>
      </c>
      <c r="D62" s="23" t="s">
        <v>304</v>
      </c>
      <c r="E62" s="29">
        <f>'SGTO POAI 2023 MARZO'!BF56+'SGTO POAI 2023 MARZO'!BF57+'SGTO POAI 2023 MARZO'!BF58+'SGTO POAI 2023 MARZO'!BF59+'SGTO POAI 2023 MARZO'!BF60</f>
        <v>288000000</v>
      </c>
      <c r="F62" s="29">
        <f>'SGTO POAI 2023 MARZO'!BG56+'SGTO POAI 2023 MARZO'!BG57+'SGTO POAI 2023 MARZO'!BG58+'SGTO POAI 2023 MARZO'!BG59+'SGTO POAI 2023 MARZO'!BG60</f>
        <v>117369200</v>
      </c>
      <c r="G62" s="381">
        <f t="shared" si="29"/>
        <v>0.40753194444444446</v>
      </c>
      <c r="H62" s="29">
        <f>'SGTO POAI 2023 MARZO'!BH56+'SGTO POAI 2023 MARZO'!BH57+'SGTO POAI 2023 MARZO'!BH58+'SGTO POAI 2023 MARZO'!BH59+'SGTO POAI 2023 MARZO'!BH60</f>
        <v>62379200</v>
      </c>
      <c r="I62" s="381">
        <f t="shared" si="30"/>
        <v>0.21659444444444445</v>
      </c>
    </row>
    <row r="63" spans="1:9" ht="57" customHeight="1">
      <c r="A63" s="7"/>
      <c r="B63" s="31"/>
      <c r="C63" s="22">
        <v>4103</v>
      </c>
      <c r="D63" s="23" t="s">
        <v>321</v>
      </c>
      <c r="E63" s="29">
        <f>'SGTO POAI 2023 MARZO'!BF61</f>
        <v>32000000</v>
      </c>
      <c r="F63" s="29">
        <f>'SGTO POAI 2023 MARZO'!BG61</f>
        <v>16885000</v>
      </c>
      <c r="G63" s="381">
        <f t="shared" si="29"/>
        <v>0.52765625000000005</v>
      </c>
      <c r="H63" s="29">
        <f>'SGTO POAI 2023 MARZO'!BH61</f>
        <v>6200000</v>
      </c>
      <c r="I63" s="381">
        <f t="shared" si="30"/>
        <v>0.19375000000000001</v>
      </c>
    </row>
    <row r="64" spans="1:9" ht="24" customHeight="1">
      <c r="A64" s="41"/>
      <c r="B64" s="115">
        <v>45</v>
      </c>
      <c r="C64" s="105" t="s">
        <v>60</v>
      </c>
      <c r="D64" s="111"/>
      <c r="E64" s="107">
        <f>E65</f>
        <v>7370276561.1399994</v>
      </c>
      <c r="F64" s="107">
        <f t="shared" ref="F64:H64" si="35">F65</f>
        <v>937566094.35000002</v>
      </c>
      <c r="G64" s="381">
        <f t="shared" si="29"/>
        <v>0.12720907914003457</v>
      </c>
      <c r="H64" s="107">
        <f t="shared" si="35"/>
        <v>81214735.849999994</v>
      </c>
      <c r="I64" s="381">
        <f t="shared" si="30"/>
        <v>1.1019225015002434E-2</v>
      </c>
    </row>
    <row r="65" spans="1:9" ht="53.25" customHeight="1">
      <c r="A65" s="37"/>
      <c r="B65" s="22"/>
      <c r="C65" s="12">
        <v>4501</v>
      </c>
      <c r="D65" s="23" t="s">
        <v>330</v>
      </c>
      <c r="E65" s="29">
        <f>'SGTO POAI 2023 MARZO'!BF62+'SGTO POAI 2023 MARZO'!BF63</f>
        <v>7370276561.1399994</v>
      </c>
      <c r="F65" s="29">
        <f>'SGTO POAI 2023 MARZO'!BG62+'SGTO POAI 2023 MARZO'!BG63</f>
        <v>937566094.35000002</v>
      </c>
      <c r="G65" s="381">
        <f t="shared" si="29"/>
        <v>0.12720907914003457</v>
      </c>
      <c r="H65" s="29">
        <f>'SGTO POAI 2023 MARZO'!BH62+'SGTO POAI 2023 MARZO'!BH63</f>
        <v>81214735.849999994</v>
      </c>
      <c r="I65" s="381">
        <f t="shared" si="30"/>
        <v>1.1019225015002434E-2</v>
      </c>
    </row>
    <row r="66" spans="1:9" ht="24" customHeight="1">
      <c r="A66" s="98">
        <v>3</v>
      </c>
      <c r="B66" s="99" t="s">
        <v>1290</v>
      </c>
      <c r="C66" s="99"/>
      <c r="D66" s="99"/>
      <c r="E66" s="100">
        <f>E67+E69</f>
        <v>345389488</v>
      </c>
      <c r="F66" s="100">
        <f t="shared" ref="F66:H66" si="36">F67+F69</f>
        <v>161399488</v>
      </c>
      <c r="G66" s="381">
        <f t="shared" si="29"/>
        <v>0.46729704755808898</v>
      </c>
      <c r="H66" s="100">
        <f t="shared" si="36"/>
        <v>79600000</v>
      </c>
      <c r="I66" s="381">
        <f t="shared" si="30"/>
        <v>0.23046445466805868</v>
      </c>
    </row>
    <row r="67" spans="1:9" ht="24" customHeight="1">
      <c r="A67" s="13"/>
      <c r="B67" s="104">
        <v>32</v>
      </c>
      <c r="C67" s="105" t="s">
        <v>226</v>
      </c>
      <c r="D67" s="106"/>
      <c r="E67" s="107">
        <f>E68</f>
        <v>55000000</v>
      </c>
      <c r="F67" s="107">
        <f t="shared" ref="F67:H67" si="37">F68</f>
        <v>53655000</v>
      </c>
      <c r="G67" s="381">
        <f t="shared" si="29"/>
        <v>0.97554545454545449</v>
      </c>
      <c r="H67" s="107">
        <f t="shared" si="37"/>
        <v>31800000</v>
      </c>
      <c r="I67" s="381">
        <f t="shared" si="30"/>
        <v>0.57818181818181813</v>
      </c>
    </row>
    <row r="68" spans="1:9" ht="46.5" customHeight="1">
      <c r="A68" s="35"/>
      <c r="B68" s="22"/>
      <c r="C68" s="12">
        <v>3205</v>
      </c>
      <c r="D68" s="23" t="s">
        <v>227</v>
      </c>
      <c r="E68" s="29">
        <f>'SGTO POAI 2023 MARZO'!BF64</f>
        <v>55000000</v>
      </c>
      <c r="F68" s="29">
        <f>'SGTO POAI 2023 MARZO'!BG64</f>
        <v>53655000</v>
      </c>
      <c r="G68" s="381">
        <f t="shared" si="29"/>
        <v>0.97554545454545449</v>
      </c>
      <c r="H68" s="29">
        <f>'SGTO POAI 2023 MARZO'!BH64</f>
        <v>31800000</v>
      </c>
      <c r="I68" s="381">
        <f t="shared" si="30"/>
        <v>0.57818181818181813</v>
      </c>
    </row>
    <row r="69" spans="1:9" ht="24" customHeight="1">
      <c r="A69" s="40"/>
      <c r="B69" s="110">
        <v>45</v>
      </c>
      <c r="C69" s="105" t="s">
        <v>60</v>
      </c>
      <c r="D69" s="111"/>
      <c r="E69" s="107">
        <f>E70</f>
        <v>290389488</v>
      </c>
      <c r="F69" s="107">
        <f t="shared" ref="F69:H69" si="38">F70</f>
        <v>107744488</v>
      </c>
      <c r="G69" s="381">
        <f t="shared" si="29"/>
        <v>0.37103439501914753</v>
      </c>
      <c r="H69" s="107">
        <f t="shared" si="38"/>
        <v>47800000</v>
      </c>
      <c r="I69" s="381">
        <f t="shared" si="30"/>
        <v>0.16460650944775246</v>
      </c>
    </row>
    <row r="70" spans="1:9" ht="61.5" customHeight="1">
      <c r="A70" s="31"/>
      <c r="B70" s="22"/>
      <c r="C70" s="12">
        <v>4503</v>
      </c>
      <c r="D70" s="23" t="s">
        <v>1293</v>
      </c>
      <c r="E70" s="29">
        <f>'SGTO POAI 2023 MARZO'!BF65+'SGTO POAI 2023 MARZO'!BF66+'SGTO POAI 2023 MARZO'!BF67</f>
        <v>290389488</v>
      </c>
      <c r="F70" s="29">
        <f>'SGTO POAI 2023 MARZO'!BG65+'SGTO POAI 2023 MARZO'!BG66+'SGTO POAI 2023 MARZO'!BG67</f>
        <v>107744488</v>
      </c>
      <c r="G70" s="381">
        <f t="shared" si="29"/>
        <v>0.37103439501914753</v>
      </c>
      <c r="H70" s="29">
        <f>'SGTO POAI 2023 MARZO'!BH65+'SGTO POAI 2023 MARZO'!BH66+'SGTO POAI 2023 MARZO'!BH67</f>
        <v>47800000</v>
      </c>
      <c r="I70" s="381">
        <f t="shared" si="30"/>
        <v>0.16460650944775246</v>
      </c>
    </row>
    <row r="71" spans="1:9" ht="24" customHeight="1">
      <c r="A71" s="98">
        <v>4</v>
      </c>
      <c r="B71" s="99" t="s">
        <v>1280</v>
      </c>
      <c r="C71" s="99"/>
      <c r="D71" s="99"/>
      <c r="E71" s="100">
        <f>E72</f>
        <v>627000000</v>
      </c>
      <c r="F71" s="100">
        <f t="shared" ref="F71:H72" si="39">F72</f>
        <v>165477500</v>
      </c>
      <c r="G71" s="381">
        <f t="shared" si="29"/>
        <v>0.26391945773524722</v>
      </c>
      <c r="H71" s="100">
        <f t="shared" si="39"/>
        <v>61550000</v>
      </c>
      <c r="I71" s="381">
        <f t="shared" si="30"/>
        <v>9.8165869218500804E-2</v>
      </c>
    </row>
    <row r="72" spans="1:9" ht="24" customHeight="1">
      <c r="A72" s="13"/>
      <c r="B72" s="104">
        <v>45</v>
      </c>
      <c r="C72" s="105" t="s">
        <v>60</v>
      </c>
      <c r="D72" s="106"/>
      <c r="E72" s="107">
        <f>E73</f>
        <v>627000000</v>
      </c>
      <c r="F72" s="107">
        <f t="shared" si="39"/>
        <v>165477500</v>
      </c>
      <c r="G72" s="381">
        <f t="shared" si="29"/>
        <v>0.26391945773524722</v>
      </c>
      <c r="H72" s="107">
        <f t="shared" si="39"/>
        <v>61550000</v>
      </c>
      <c r="I72" s="381">
        <f t="shared" si="30"/>
        <v>9.8165869218500804E-2</v>
      </c>
    </row>
    <row r="73" spans="1:9" ht="71.25" customHeight="1">
      <c r="A73" s="31"/>
      <c r="B73" s="22"/>
      <c r="C73" s="12">
        <v>4502</v>
      </c>
      <c r="D73" s="23" t="s">
        <v>1281</v>
      </c>
      <c r="E73" s="21">
        <f>'SGTO POAI 2023 MARZO'!BF68+'SGTO POAI 2023 MARZO'!BF69+'SGTO POAI 2023 MARZO'!BF70+'SGTO POAI 2023 MARZO'!BF71+'SGTO POAI 2023 MARZO'!BF72</f>
        <v>627000000</v>
      </c>
      <c r="F73" s="21">
        <f>'SGTO POAI 2023 MARZO'!BG68+'SGTO POAI 2023 MARZO'!BG69+'SGTO POAI 2023 MARZO'!BG70+'SGTO POAI 2023 MARZO'!BG71+'SGTO POAI 2023 MARZO'!BG72</f>
        <v>165477500</v>
      </c>
      <c r="G73" s="381">
        <f t="shared" si="29"/>
        <v>0.26391945773524722</v>
      </c>
      <c r="H73" s="21">
        <f>'SGTO POAI 2023 MARZO'!BH68+'SGTO POAI 2023 MARZO'!BH69+'SGTO POAI 2023 MARZO'!BH70+'SGTO POAI 2023 MARZO'!BH71+'SGTO POAI 2023 MARZO'!BH72</f>
        <v>61550000</v>
      </c>
      <c r="I73" s="381">
        <f t="shared" si="30"/>
        <v>9.8165869218500804E-2</v>
      </c>
    </row>
    <row r="74" spans="1:9" s="39" customFormat="1">
      <c r="A74" s="5"/>
      <c r="B74" s="5"/>
      <c r="C74" s="5"/>
      <c r="D74" s="6"/>
      <c r="E74" s="38"/>
      <c r="F74" s="38"/>
      <c r="G74" s="38"/>
      <c r="H74" s="38"/>
    </row>
    <row r="75" spans="1:9" ht="24" customHeight="1">
      <c r="A75" s="56" t="s">
        <v>1294</v>
      </c>
      <c r="B75" s="62"/>
      <c r="C75" s="62"/>
      <c r="D75" s="63"/>
      <c r="E75" s="64">
        <f>E76</f>
        <v>3959930987.3400002</v>
      </c>
      <c r="F75" s="64">
        <f t="shared" ref="F75:H76" si="40">F76</f>
        <v>581014999.67000008</v>
      </c>
      <c r="G75" s="381">
        <f t="shared" ref="G75:G79" si="41">F75/E75</f>
        <v>0.14672351652781823</v>
      </c>
      <c r="H75" s="64">
        <f t="shared" si="40"/>
        <v>216539999.67000002</v>
      </c>
      <c r="I75" s="381">
        <f t="shared" ref="I75:I79" si="42">H75/E75</f>
        <v>5.4682771079163722E-2</v>
      </c>
    </row>
    <row r="76" spans="1:9" ht="24" customHeight="1">
      <c r="A76" s="98">
        <v>1</v>
      </c>
      <c r="B76" s="99" t="s">
        <v>1286</v>
      </c>
      <c r="C76" s="99"/>
      <c r="D76" s="99"/>
      <c r="E76" s="100">
        <f>E77</f>
        <v>3959930987.3400002</v>
      </c>
      <c r="F76" s="100">
        <f t="shared" si="40"/>
        <v>581014999.67000008</v>
      </c>
      <c r="G76" s="381">
        <f t="shared" si="41"/>
        <v>0.14672351652781823</v>
      </c>
      <c r="H76" s="100">
        <f t="shared" si="40"/>
        <v>216539999.67000002</v>
      </c>
      <c r="I76" s="381">
        <f t="shared" si="42"/>
        <v>5.4682771079163722E-2</v>
      </c>
    </row>
    <row r="77" spans="1:9" ht="24" customHeight="1">
      <c r="A77" s="13"/>
      <c r="B77" s="104">
        <v>33</v>
      </c>
      <c r="C77" s="114" t="s">
        <v>170</v>
      </c>
      <c r="D77" s="106"/>
      <c r="E77" s="107">
        <f>SUM(E78:E79)</f>
        <v>3959930987.3400002</v>
      </c>
      <c r="F77" s="107">
        <f t="shared" ref="F77:H77" si="43">SUM(F78:F79)</f>
        <v>581014999.67000008</v>
      </c>
      <c r="G77" s="381">
        <f t="shared" si="41"/>
        <v>0.14672351652781823</v>
      </c>
      <c r="H77" s="107">
        <f t="shared" si="43"/>
        <v>216539999.67000002</v>
      </c>
      <c r="I77" s="381">
        <f t="shared" si="42"/>
        <v>5.4682771079163722E-2</v>
      </c>
    </row>
    <row r="78" spans="1:9" ht="46.5" customHeight="1">
      <c r="A78" s="26"/>
      <c r="B78" s="27"/>
      <c r="C78" s="22">
        <v>3301</v>
      </c>
      <c r="D78" s="23" t="s">
        <v>171</v>
      </c>
      <c r="E78" s="29">
        <f>'SGTO POAI 2023 MARZO'!BF73+'SGTO POAI 2023 MARZO'!BF74+'SGTO POAI 2023 MARZO'!BF75+'SGTO POAI 2023 MARZO'!BF76+'SGTO POAI 2023 MARZO'!BF77+'SGTO POAI 2023 MARZO'!BF78+'SGTO POAI 2023 MARZO'!BF79+'SGTO POAI 2023 MARZO'!BF80</f>
        <v>3699212143.04</v>
      </c>
      <c r="F78" s="29">
        <f>'SGTO POAI 2023 MARZO'!BG73+'SGTO POAI 2023 MARZO'!BG74+'SGTO POAI 2023 MARZO'!BG75+'SGTO POAI 2023 MARZO'!BG76+'SGTO POAI 2023 MARZO'!BG77+'SGTO POAI 2023 MARZO'!BG78+'SGTO POAI 2023 MARZO'!BG79+'SGTO POAI 2023 MARZO'!BG80</f>
        <v>521104999.67000002</v>
      </c>
      <c r="G78" s="381">
        <f t="shared" si="41"/>
        <v>0.14086918498319961</v>
      </c>
      <c r="H78" s="29">
        <f>'SGTO POAI 2023 MARZO'!BH73+'SGTO POAI 2023 MARZO'!BH74+'SGTO POAI 2023 MARZO'!BH75+'SGTO POAI 2023 MARZO'!BH76+'SGTO POAI 2023 MARZO'!BH77+'SGTO POAI 2023 MARZO'!BH78+'SGTO POAI 2023 MARZO'!BH79+'SGTO POAI 2023 MARZO'!BH80</f>
        <v>189769999.67000002</v>
      </c>
      <c r="I78" s="381">
        <f t="shared" si="42"/>
        <v>5.1300112654271209E-2</v>
      </c>
    </row>
    <row r="79" spans="1:9" ht="51" customHeight="1">
      <c r="A79" s="30"/>
      <c r="B79" s="31"/>
      <c r="C79" s="22">
        <v>3302</v>
      </c>
      <c r="D79" s="23" t="s">
        <v>406</v>
      </c>
      <c r="E79" s="21">
        <f>'SGTO POAI 2023 MARZO'!BF81+'SGTO POAI 2023 MARZO'!BF82</f>
        <v>260718844.30000001</v>
      </c>
      <c r="F79" s="21">
        <f>'SGTO POAI 2023 MARZO'!BG81+'SGTO POAI 2023 MARZO'!BG82</f>
        <v>59910000</v>
      </c>
      <c r="G79" s="381">
        <f t="shared" si="41"/>
        <v>0.22978776298602976</v>
      </c>
      <c r="H79" s="21">
        <f>'SGTO POAI 2023 MARZO'!BH81+'SGTO POAI 2023 MARZO'!BH82</f>
        <v>26770000</v>
      </c>
      <c r="I79" s="381">
        <f t="shared" si="42"/>
        <v>0.102677656737373</v>
      </c>
    </row>
    <row r="80" spans="1:9" s="39" customFormat="1">
      <c r="A80" s="5"/>
      <c r="B80" s="5"/>
      <c r="C80" s="5"/>
      <c r="D80" s="6"/>
      <c r="E80" s="38"/>
      <c r="F80" s="38"/>
      <c r="G80" s="38"/>
      <c r="H80" s="38"/>
    </row>
    <row r="81" spans="1:9" ht="24" customHeight="1">
      <c r="A81" s="56" t="s">
        <v>1295</v>
      </c>
      <c r="B81" s="62"/>
      <c r="C81" s="62"/>
      <c r="D81" s="63"/>
      <c r="E81" s="64">
        <f>E82</f>
        <v>2740910173.9000001</v>
      </c>
      <c r="F81" s="64">
        <f t="shared" ref="F81:H81" si="44">F82</f>
        <v>981947000</v>
      </c>
      <c r="G81" s="381">
        <f t="shared" ref="G81:G86" si="45">F81/E81</f>
        <v>0.35825581201108914</v>
      </c>
      <c r="H81" s="64">
        <f t="shared" si="44"/>
        <v>356901999.00999999</v>
      </c>
      <c r="I81" s="381">
        <f t="shared" ref="I81:I86" si="46">H81/E81</f>
        <v>0.13021294984730181</v>
      </c>
    </row>
    <row r="82" spans="1:9" ht="24" customHeight="1">
      <c r="A82" s="98">
        <v>2</v>
      </c>
      <c r="B82" s="99" t="s">
        <v>1288</v>
      </c>
      <c r="C82" s="99"/>
      <c r="D82" s="99"/>
      <c r="E82" s="100">
        <f>E83+E85</f>
        <v>2740910173.9000001</v>
      </c>
      <c r="F82" s="100">
        <f t="shared" ref="F82:H82" si="47">F83+F85</f>
        <v>981947000</v>
      </c>
      <c r="G82" s="381">
        <f t="shared" si="45"/>
        <v>0.35825581201108914</v>
      </c>
      <c r="H82" s="100">
        <f t="shared" si="47"/>
        <v>356901999.00999999</v>
      </c>
      <c r="I82" s="381">
        <f t="shared" si="46"/>
        <v>0.13021294984730181</v>
      </c>
    </row>
    <row r="83" spans="1:9" ht="24" customHeight="1">
      <c r="A83" s="13"/>
      <c r="B83" s="104">
        <v>35</v>
      </c>
      <c r="C83" s="105" t="s">
        <v>417</v>
      </c>
      <c r="D83" s="106"/>
      <c r="E83" s="107">
        <f>E84</f>
        <v>2192305173.9000001</v>
      </c>
      <c r="F83" s="107">
        <f t="shared" ref="F83:H83" si="48">F84</f>
        <v>742342000</v>
      </c>
      <c r="G83" s="381">
        <f t="shared" si="45"/>
        <v>0.33861252933112918</v>
      </c>
      <c r="H83" s="107">
        <f t="shared" si="48"/>
        <v>340611999.00999999</v>
      </c>
      <c r="I83" s="381">
        <f t="shared" si="46"/>
        <v>0.15536705521889932</v>
      </c>
    </row>
    <row r="84" spans="1:9" ht="53.25" customHeight="1">
      <c r="A84" s="35"/>
      <c r="B84" s="22"/>
      <c r="C84" s="14">
        <v>3502</v>
      </c>
      <c r="D84" s="23" t="s">
        <v>1296</v>
      </c>
      <c r="E84" s="29">
        <f>'SGTO POAI 2023 MARZO'!BF83+'SGTO POAI 2023 MARZO'!BF84+'SGTO POAI 2023 MARZO'!BF85+'SGTO POAI 2023 MARZO'!BF86+'SGTO POAI 2023 MARZO'!BF87+'SGTO POAI 2023 MARZO'!BF88</f>
        <v>2192305173.9000001</v>
      </c>
      <c r="F84" s="29">
        <f>'SGTO POAI 2023 MARZO'!BG83+'SGTO POAI 2023 MARZO'!BG84+'SGTO POAI 2023 MARZO'!BG85+'SGTO POAI 2023 MARZO'!BG86+'SGTO POAI 2023 MARZO'!BG87+'SGTO POAI 2023 MARZO'!BG88</f>
        <v>742342000</v>
      </c>
      <c r="G84" s="381">
        <f t="shared" si="45"/>
        <v>0.33861252933112918</v>
      </c>
      <c r="H84" s="29">
        <f>'SGTO POAI 2023 MARZO'!BH83+'SGTO POAI 2023 MARZO'!BH84+'SGTO POAI 2023 MARZO'!BH85+'SGTO POAI 2023 MARZO'!BH86+'SGTO POAI 2023 MARZO'!BH87+'SGTO POAI 2023 MARZO'!BH88</f>
        <v>340611999.00999999</v>
      </c>
      <c r="I84" s="381">
        <f t="shared" si="46"/>
        <v>0.15536705521889932</v>
      </c>
    </row>
    <row r="85" spans="1:9" ht="24" customHeight="1">
      <c r="A85" s="40"/>
      <c r="B85" s="110">
        <v>36</v>
      </c>
      <c r="C85" s="112" t="s">
        <v>445</v>
      </c>
      <c r="D85" s="106"/>
      <c r="E85" s="107">
        <f>E86</f>
        <v>548605000</v>
      </c>
      <c r="F85" s="107">
        <f t="shared" ref="F85:H85" si="49">F86</f>
        <v>239605000</v>
      </c>
      <c r="G85" s="381">
        <f t="shared" si="45"/>
        <v>0.436753219529534</v>
      </c>
      <c r="H85" s="107">
        <f t="shared" si="49"/>
        <v>16290000</v>
      </c>
      <c r="I85" s="381">
        <f t="shared" si="46"/>
        <v>2.9693495319947867E-2</v>
      </c>
    </row>
    <row r="86" spans="1:9" ht="53.25" customHeight="1">
      <c r="A86" s="31"/>
      <c r="B86" s="22"/>
      <c r="C86" s="14">
        <v>3602</v>
      </c>
      <c r="D86" s="23" t="s">
        <v>446</v>
      </c>
      <c r="E86" s="29">
        <f>'SGTO POAI 2023 MARZO'!BF89+'SGTO POAI 2023 MARZO'!BF90+'SGTO POAI 2023 MARZO'!BF91+'SGTO POAI 2023 MARZO'!BF92+'SGTO POAI 2023 MARZO'!BF93</f>
        <v>548605000</v>
      </c>
      <c r="F86" s="29">
        <f>'SGTO POAI 2023 MARZO'!BG89+'SGTO POAI 2023 MARZO'!BG90+'SGTO POAI 2023 MARZO'!BG91+'SGTO POAI 2023 MARZO'!BG92+'SGTO POAI 2023 MARZO'!BG93</f>
        <v>239605000</v>
      </c>
      <c r="G86" s="381">
        <f t="shared" si="45"/>
        <v>0.436753219529534</v>
      </c>
      <c r="H86" s="29">
        <f>'SGTO POAI 2023 MARZO'!BH89+'SGTO POAI 2023 MARZO'!BH90+'SGTO POAI 2023 MARZO'!BH91+'SGTO POAI 2023 MARZO'!BH92+'SGTO POAI 2023 MARZO'!BH93</f>
        <v>16290000</v>
      </c>
      <c r="I86" s="381">
        <f t="shared" si="46"/>
        <v>2.9693495319947867E-2</v>
      </c>
    </row>
    <row r="87" spans="1:9" s="39" customFormat="1">
      <c r="A87" s="5"/>
      <c r="B87" s="5"/>
      <c r="C87" s="5"/>
      <c r="D87" s="6"/>
      <c r="E87" s="38"/>
      <c r="F87" s="38"/>
      <c r="G87" s="38"/>
      <c r="H87" s="38"/>
    </row>
    <row r="88" spans="1:9" ht="24" customHeight="1">
      <c r="A88" s="56" t="s">
        <v>1297</v>
      </c>
      <c r="B88" s="62"/>
      <c r="C88" s="62"/>
      <c r="D88" s="63"/>
      <c r="E88" s="64">
        <f>E89+E100</f>
        <v>4551806900</v>
      </c>
      <c r="F88" s="64">
        <f t="shared" ref="F88:H88" si="50">F89+F100</f>
        <v>590241617</v>
      </c>
      <c r="G88" s="381">
        <f t="shared" ref="G88:G106" si="51">F88/E88</f>
        <v>0.12967193687412354</v>
      </c>
      <c r="H88" s="64">
        <f t="shared" si="50"/>
        <v>203196666</v>
      </c>
      <c r="I88" s="381">
        <f t="shared" ref="I88:I106" si="52">H88/E88</f>
        <v>4.4640880086543211E-2</v>
      </c>
    </row>
    <row r="89" spans="1:9" ht="24" customHeight="1">
      <c r="A89" s="98">
        <v>2</v>
      </c>
      <c r="B89" s="99" t="s">
        <v>1288</v>
      </c>
      <c r="C89" s="99"/>
      <c r="D89" s="99"/>
      <c r="E89" s="100">
        <f>E90+E98</f>
        <v>1487814248</v>
      </c>
      <c r="F89" s="100">
        <f t="shared" ref="F89:H89" si="53">F90+F98</f>
        <v>342341617</v>
      </c>
      <c r="G89" s="381">
        <f t="shared" si="51"/>
        <v>0.2300970147719677</v>
      </c>
      <c r="H89" s="100">
        <f t="shared" si="53"/>
        <v>128296666</v>
      </c>
      <c r="I89" s="381">
        <f t="shared" si="52"/>
        <v>8.6231642271515599E-2</v>
      </c>
    </row>
    <row r="90" spans="1:9" ht="24" customHeight="1">
      <c r="A90" s="13"/>
      <c r="B90" s="104">
        <v>17</v>
      </c>
      <c r="C90" s="105" t="s">
        <v>200</v>
      </c>
      <c r="D90" s="106"/>
      <c r="E90" s="107">
        <f>SUM(E91:E97)</f>
        <v>1451814248</v>
      </c>
      <c r="F90" s="107">
        <f t="shared" ref="F90:H90" si="54">SUM(F91:F97)</f>
        <v>306541617</v>
      </c>
      <c r="G90" s="381">
        <f t="shared" si="51"/>
        <v>0.21114382740236062</v>
      </c>
      <c r="H90" s="107">
        <f t="shared" si="54"/>
        <v>125096666</v>
      </c>
      <c r="I90" s="381">
        <f t="shared" si="52"/>
        <v>8.616575169470303E-2</v>
      </c>
    </row>
    <row r="91" spans="1:9" ht="57.75" customHeight="1">
      <c r="A91" s="35"/>
      <c r="B91" s="36"/>
      <c r="C91" s="22">
        <v>1702</v>
      </c>
      <c r="D91" s="23" t="s">
        <v>463</v>
      </c>
      <c r="E91" s="29">
        <f>SUM('SGTO POAI 2023 MARZO'!AT94:AT104)</f>
        <v>1039929712</v>
      </c>
      <c r="F91" s="29">
        <f>SUM('SGTO POAI 2023 MARZO'!AU94:AU104)</f>
        <v>199646666</v>
      </c>
      <c r="G91" s="381">
        <f t="shared" si="51"/>
        <v>0.19198092303376749</v>
      </c>
      <c r="H91" s="29">
        <f>SUM('SGTO POAI 2023 MARZO'!AV94:AV104)</f>
        <v>96096666</v>
      </c>
      <c r="I91" s="381">
        <f t="shared" si="52"/>
        <v>9.2406885668442171E-2</v>
      </c>
    </row>
    <row r="92" spans="1:9" ht="54" customHeight="1">
      <c r="A92" s="35"/>
      <c r="B92" s="42"/>
      <c r="C92" s="22">
        <v>1703</v>
      </c>
      <c r="D92" s="23" t="s">
        <v>506</v>
      </c>
      <c r="E92" s="29">
        <f>'SGTO POAI 2023 MARZO'!BF105</f>
        <v>36307909</v>
      </c>
      <c r="F92" s="29">
        <f>'SGTO POAI 2023 MARZO'!BG105</f>
        <v>6400000</v>
      </c>
      <c r="G92" s="381">
        <f t="shared" si="51"/>
        <v>0.17627013442167655</v>
      </c>
      <c r="H92" s="29">
        <f>'SGTO POAI 2023 MARZO'!BH105</f>
        <v>0</v>
      </c>
      <c r="I92" s="381">
        <f t="shared" si="52"/>
        <v>0</v>
      </c>
    </row>
    <row r="93" spans="1:9" ht="62.25" customHeight="1">
      <c r="A93" s="35"/>
      <c r="B93" s="42"/>
      <c r="C93" s="22">
        <v>1704</v>
      </c>
      <c r="D93" s="23" t="s">
        <v>513</v>
      </c>
      <c r="E93" s="29">
        <f>'SGTO POAI 2023 MARZO'!BF106+'SGTO POAI 2023 MARZO'!BF107</f>
        <v>97000000</v>
      </c>
      <c r="F93" s="29">
        <f>'SGTO POAI 2023 MARZO'!BG106+'SGTO POAI 2023 MARZO'!BG107</f>
        <v>30300000</v>
      </c>
      <c r="G93" s="381">
        <f t="shared" si="51"/>
        <v>0.31237113402061856</v>
      </c>
      <c r="H93" s="29">
        <f>'SGTO POAI 2023 MARZO'!BH106+'SGTO POAI 2023 MARZO'!BH107</f>
        <v>17800000</v>
      </c>
      <c r="I93" s="381">
        <f t="shared" si="52"/>
        <v>0.18350515463917524</v>
      </c>
    </row>
    <row r="94" spans="1:9" ht="42" customHeight="1">
      <c r="A94" s="35"/>
      <c r="B94" s="42"/>
      <c r="C94" s="22">
        <v>1706</v>
      </c>
      <c r="D94" s="23" t="s">
        <v>522</v>
      </c>
      <c r="E94" s="29">
        <f>'SGTO POAI 2023 MARZO'!BF108</f>
        <v>20000000</v>
      </c>
      <c r="F94" s="29">
        <f>'SGTO POAI 2023 MARZO'!BG108</f>
        <v>0</v>
      </c>
      <c r="G94" s="381">
        <f t="shared" si="51"/>
        <v>0</v>
      </c>
      <c r="H94" s="29">
        <f>'SGTO POAI 2023 MARZO'!BH108</f>
        <v>0</v>
      </c>
      <c r="I94" s="381">
        <f t="shared" si="52"/>
        <v>0</v>
      </c>
    </row>
    <row r="95" spans="1:9" ht="57" customHeight="1">
      <c r="A95" s="35"/>
      <c r="B95" s="42"/>
      <c r="C95" s="22">
        <v>1707</v>
      </c>
      <c r="D95" s="23" t="s">
        <v>529</v>
      </c>
      <c r="E95" s="29">
        <f>'SGTO POAI 2023 MARZO'!BF109</f>
        <v>59900000</v>
      </c>
      <c r="F95" s="29">
        <f>'SGTO POAI 2023 MARZO'!BG109</f>
        <v>20150000</v>
      </c>
      <c r="G95" s="381">
        <f t="shared" si="51"/>
        <v>0.3363939899833055</v>
      </c>
      <c r="H95" s="29">
        <f>'SGTO POAI 2023 MARZO'!BH109</f>
        <v>6400000</v>
      </c>
      <c r="I95" s="381">
        <f t="shared" si="52"/>
        <v>0.10684474123539232</v>
      </c>
    </row>
    <row r="96" spans="1:9" ht="60.75" customHeight="1">
      <c r="A96" s="35"/>
      <c r="B96" s="42"/>
      <c r="C96" s="22">
        <v>1708</v>
      </c>
      <c r="D96" s="23" t="s">
        <v>536</v>
      </c>
      <c r="E96" s="29">
        <f>'SGTO POAI 2023 MARZO'!BF110+'SGTO POAI 2023 MARZO'!BF111</f>
        <v>56000000</v>
      </c>
      <c r="F96" s="29">
        <f>'SGTO POAI 2023 MARZO'!BG110+'SGTO POAI 2023 MARZO'!BG111</f>
        <v>18850000</v>
      </c>
      <c r="G96" s="381">
        <f t="shared" si="51"/>
        <v>0.33660714285714288</v>
      </c>
      <c r="H96" s="29">
        <f>'SGTO POAI 2023 MARZO'!BH110+'SGTO POAI 2023 MARZO'!BH111</f>
        <v>4800000</v>
      </c>
      <c r="I96" s="381">
        <f t="shared" si="52"/>
        <v>8.5714285714285715E-2</v>
      </c>
    </row>
    <row r="97" spans="1:9" ht="42" customHeight="1">
      <c r="A97" s="35"/>
      <c r="B97" s="37"/>
      <c r="C97" s="22">
        <v>1709</v>
      </c>
      <c r="D97" s="23" t="s">
        <v>201</v>
      </c>
      <c r="E97" s="29">
        <f>'SGTO POAI 2023 MARZO'!BF112+'SGTO POAI 2023 MARZO'!BF113+'SGTO POAI 2023 MARZO'!BF114</f>
        <v>142676627</v>
      </c>
      <c r="F97" s="29">
        <f>'SGTO POAI 2023 MARZO'!BG112+'SGTO POAI 2023 MARZO'!BG113+'SGTO POAI 2023 MARZO'!BG114</f>
        <v>31194951</v>
      </c>
      <c r="G97" s="381">
        <f t="shared" si="51"/>
        <v>0.21864093408936561</v>
      </c>
      <c r="H97" s="29">
        <f>'SGTO POAI 2023 MARZO'!BH112+'SGTO POAI 2023 MARZO'!BH113+'SGTO POAI 2023 MARZO'!BH114</f>
        <v>0</v>
      </c>
      <c r="I97" s="381">
        <f t="shared" si="52"/>
        <v>0</v>
      </c>
    </row>
    <row r="98" spans="1:9" ht="24" customHeight="1">
      <c r="A98" s="40"/>
      <c r="B98" s="115">
        <v>35</v>
      </c>
      <c r="C98" s="105" t="s">
        <v>417</v>
      </c>
      <c r="D98" s="111"/>
      <c r="E98" s="107">
        <f>E99</f>
        <v>36000000</v>
      </c>
      <c r="F98" s="107">
        <f t="shared" ref="F98:H98" si="55">F99</f>
        <v>35800000</v>
      </c>
      <c r="G98" s="381">
        <f t="shared" si="51"/>
        <v>0.99444444444444446</v>
      </c>
      <c r="H98" s="107">
        <f t="shared" si="55"/>
        <v>3200000</v>
      </c>
      <c r="I98" s="381">
        <f t="shared" si="52"/>
        <v>8.8888888888888892E-2</v>
      </c>
    </row>
    <row r="99" spans="1:9" ht="73.5" customHeight="1">
      <c r="A99" s="31"/>
      <c r="B99" s="22"/>
      <c r="C99" s="12">
        <v>3502</v>
      </c>
      <c r="D99" s="23" t="s">
        <v>1296</v>
      </c>
      <c r="E99" s="29">
        <f>'SGTO POAI 2023 MARZO'!BF115+'SGTO POAI 2023 MARZO'!BF116</f>
        <v>36000000</v>
      </c>
      <c r="F99" s="29">
        <f>'SGTO POAI 2023 MARZO'!BG115+'SGTO POAI 2023 MARZO'!BG116</f>
        <v>35800000</v>
      </c>
      <c r="G99" s="381">
        <f t="shared" si="51"/>
        <v>0.99444444444444446</v>
      </c>
      <c r="H99" s="29">
        <f>'SGTO POAI 2023 MARZO'!BH115+'SGTO POAI 2023 MARZO'!BH116</f>
        <v>3200000</v>
      </c>
      <c r="I99" s="381">
        <f t="shared" si="52"/>
        <v>8.8888888888888892E-2</v>
      </c>
    </row>
    <row r="100" spans="1:9" ht="24" customHeight="1">
      <c r="A100" s="98">
        <v>3</v>
      </c>
      <c r="B100" s="99" t="s">
        <v>1290</v>
      </c>
      <c r="C100" s="99"/>
      <c r="D100" s="99"/>
      <c r="E100" s="100">
        <f>E101</f>
        <v>3063992652</v>
      </c>
      <c r="F100" s="100">
        <f t="shared" ref="F100:H100" si="56">F101</f>
        <v>247900000</v>
      </c>
      <c r="G100" s="381">
        <f t="shared" si="51"/>
        <v>8.0907504735099472E-2</v>
      </c>
      <c r="H100" s="100">
        <f t="shared" si="56"/>
        <v>74900000</v>
      </c>
      <c r="I100" s="381">
        <f t="shared" si="52"/>
        <v>2.444522833666378E-2</v>
      </c>
    </row>
    <row r="101" spans="1:9" ht="24" customHeight="1">
      <c r="A101" s="13"/>
      <c r="B101" s="104">
        <v>32</v>
      </c>
      <c r="C101" s="105" t="s">
        <v>226</v>
      </c>
      <c r="D101" s="106"/>
      <c r="E101" s="107">
        <f>SUM(E102:E106)</f>
        <v>3063992652</v>
      </c>
      <c r="F101" s="107">
        <f t="shared" ref="F101:H101" si="57">SUM(F102:F106)</f>
        <v>247900000</v>
      </c>
      <c r="G101" s="381">
        <f t="shared" si="51"/>
        <v>8.0907504735099472E-2</v>
      </c>
      <c r="H101" s="107">
        <f t="shared" si="57"/>
        <v>74900000</v>
      </c>
      <c r="I101" s="381">
        <f t="shared" si="52"/>
        <v>2.444522833666378E-2</v>
      </c>
    </row>
    <row r="102" spans="1:9" ht="52.5" customHeight="1">
      <c r="A102" s="26"/>
      <c r="B102" s="27"/>
      <c r="C102" s="22" t="s">
        <v>560</v>
      </c>
      <c r="D102" s="23" t="s">
        <v>561</v>
      </c>
      <c r="E102" s="29">
        <f>'SGTO POAI 2023 MARZO'!BF117+'SGTO POAI 2023 MARZO'!BF118</f>
        <v>162600000</v>
      </c>
      <c r="F102" s="29">
        <f>'SGTO POAI 2023 MARZO'!BG117+'SGTO POAI 2023 MARZO'!BG118</f>
        <v>16100000</v>
      </c>
      <c r="G102" s="381">
        <f t="shared" si="51"/>
        <v>9.9015990159901604E-2</v>
      </c>
      <c r="H102" s="29">
        <f>'SGTO POAI 2023 MARZO'!BH117+'SGTO POAI 2023 MARZO'!BH118</f>
        <v>8100000</v>
      </c>
      <c r="I102" s="381">
        <f t="shared" si="52"/>
        <v>4.9815498154981548E-2</v>
      </c>
    </row>
    <row r="103" spans="1:9" ht="52.5" customHeight="1">
      <c r="A103" s="26"/>
      <c r="B103" s="35"/>
      <c r="C103" s="22">
        <v>3202</v>
      </c>
      <c r="D103" s="23" t="s">
        <v>571</v>
      </c>
      <c r="E103" s="29">
        <f>SUM('SGTO POAI 2023 MARZO'!AT119:AT123)</f>
        <v>2525892652</v>
      </c>
      <c r="F103" s="29">
        <f>SUM('SGTO POAI 2023 MARZO'!AU119:AU123)</f>
        <v>200250000</v>
      </c>
      <c r="G103" s="381">
        <f t="shared" si="51"/>
        <v>7.9278903575511095E-2</v>
      </c>
      <c r="H103" s="29">
        <f>SUM('SGTO POAI 2023 MARZO'!AV119:AV123)</f>
        <v>56400000</v>
      </c>
      <c r="I103" s="381">
        <f t="shared" si="52"/>
        <v>2.2328739883439828E-2</v>
      </c>
    </row>
    <row r="104" spans="1:9" ht="52.5" customHeight="1">
      <c r="A104" s="26"/>
      <c r="B104" s="35"/>
      <c r="C104" s="22" t="s">
        <v>596</v>
      </c>
      <c r="D104" s="23" t="s">
        <v>597</v>
      </c>
      <c r="E104" s="29">
        <f>'SGTO POAI 2023 MARZO'!BF124</f>
        <v>168000000</v>
      </c>
      <c r="F104" s="29">
        <f>'SGTO POAI 2023 MARZO'!BG124</f>
        <v>16900000</v>
      </c>
      <c r="G104" s="381">
        <f t="shared" si="51"/>
        <v>0.1005952380952381</v>
      </c>
      <c r="H104" s="29">
        <f>'SGTO POAI 2023 MARZO'!BH124</f>
        <v>7200000</v>
      </c>
      <c r="I104" s="381">
        <f t="shared" si="52"/>
        <v>4.2857142857142858E-2</v>
      </c>
    </row>
    <row r="105" spans="1:9" ht="52.5" customHeight="1">
      <c r="A105" s="26"/>
      <c r="B105" s="35"/>
      <c r="C105" s="22">
        <v>3205</v>
      </c>
      <c r="D105" s="23" t="s">
        <v>227</v>
      </c>
      <c r="E105" s="29">
        <f>SUM('SGTO POAI 2023 MARZO'!AT125:AT127)</f>
        <v>82000000</v>
      </c>
      <c r="F105" s="29">
        <f>SUM('SGTO POAI 2023 MARZO'!AU125:AU127)</f>
        <v>2450000</v>
      </c>
      <c r="G105" s="381">
        <f t="shared" si="51"/>
        <v>2.9878048780487804E-2</v>
      </c>
      <c r="H105" s="29">
        <f>SUM('SGTO POAI 2023 MARZO'!AV125:AV127)</f>
        <v>0</v>
      </c>
      <c r="I105" s="381">
        <f t="shared" si="52"/>
        <v>0</v>
      </c>
    </row>
    <row r="106" spans="1:9" ht="52.5" customHeight="1">
      <c r="A106" s="30"/>
      <c r="B106" s="31"/>
      <c r="C106" s="22" t="s">
        <v>614</v>
      </c>
      <c r="D106" s="23" t="s">
        <v>615</v>
      </c>
      <c r="E106" s="29">
        <f>SUM('SGTO POAI 2023 MARZO'!AT128:AT130)</f>
        <v>125500000</v>
      </c>
      <c r="F106" s="29">
        <f>SUM('SGTO POAI 2023 MARZO'!AU128:AU130)</f>
        <v>12200000</v>
      </c>
      <c r="G106" s="381">
        <f t="shared" si="51"/>
        <v>9.7211155378486055E-2</v>
      </c>
      <c r="H106" s="29">
        <f>SUM('SGTO POAI 2023 MARZO'!AV128:AV130)</f>
        <v>3200000</v>
      </c>
      <c r="I106" s="381">
        <f t="shared" si="52"/>
        <v>2.5498007968127491E-2</v>
      </c>
    </row>
    <row r="107" spans="1:9" s="39" customFormat="1">
      <c r="A107" s="5"/>
      <c r="B107" s="5"/>
      <c r="C107" s="5"/>
      <c r="D107" s="6"/>
      <c r="E107" s="38"/>
      <c r="F107" s="38"/>
      <c r="G107" s="38"/>
      <c r="H107" s="38"/>
    </row>
    <row r="108" spans="1:9" ht="24" customHeight="1">
      <c r="A108" s="122" t="s">
        <v>1420</v>
      </c>
      <c r="B108" s="123"/>
      <c r="C108" s="123"/>
      <c r="D108" s="124"/>
      <c r="E108" s="64">
        <f>E109</f>
        <v>3343243430</v>
      </c>
      <c r="F108" s="64">
        <f t="shared" ref="F108:H109" si="58">F109</f>
        <v>1018928000</v>
      </c>
      <c r="G108" s="381">
        <f t="shared" ref="G108:G112" si="59">F108/E108</f>
        <v>0.30477230310447362</v>
      </c>
      <c r="H108" s="64">
        <f t="shared" si="58"/>
        <v>235130000</v>
      </c>
      <c r="I108" s="381">
        <f t="shared" ref="I108:I112" si="60">H108/E108</f>
        <v>7.0329907146486195E-2</v>
      </c>
    </row>
    <row r="109" spans="1:9" ht="24" customHeight="1">
      <c r="A109" s="98">
        <v>4</v>
      </c>
      <c r="B109" s="99" t="s">
        <v>1280</v>
      </c>
      <c r="C109" s="99"/>
      <c r="D109" s="99"/>
      <c r="E109" s="100">
        <f>E110</f>
        <v>3343243430</v>
      </c>
      <c r="F109" s="100">
        <f t="shared" si="58"/>
        <v>1018928000</v>
      </c>
      <c r="G109" s="381">
        <f t="shared" si="59"/>
        <v>0.30477230310447362</v>
      </c>
      <c r="H109" s="100">
        <f t="shared" si="58"/>
        <v>235130000</v>
      </c>
      <c r="I109" s="381">
        <f t="shared" si="60"/>
        <v>7.0329907146486195E-2</v>
      </c>
    </row>
    <row r="110" spans="1:9" ht="24" customHeight="1">
      <c r="A110" s="13"/>
      <c r="B110" s="104">
        <v>45</v>
      </c>
      <c r="C110" s="105" t="s">
        <v>60</v>
      </c>
      <c r="D110" s="106"/>
      <c r="E110" s="107">
        <f>SUM(E111:E112)</f>
        <v>3343243430</v>
      </c>
      <c r="F110" s="107">
        <f t="shared" ref="F110:H110" si="61">SUM(F111:F112)</f>
        <v>1018928000</v>
      </c>
      <c r="G110" s="381">
        <f t="shared" si="59"/>
        <v>0.30477230310447362</v>
      </c>
      <c r="H110" s="107">
        <f t="shared" si="61"/>
        <v>235130000</v>
      </c>
      <c r="I110" s="381">
        <f t="shared" si="60"/>
        <v>7.0329907146486195E-2</v>
      </c>
    </row>
    <row r="111" spans="1:9" s="18" customFormat="1" ht="74.25" customHeight="1">
      <c r="A111" s="26"/>
      <c r="B111" s="27"/>
      <c r="C111" s="22">
        <v>4502</v>
      </c>
      <c r="D111" s="23" t="s">
        <v>1281</v>
      </c>
      <c r="E111" s="29">
        <f>'SGTO POAI 2023 MARZO'!BF133</f>
        <v>490000000</v>
      </c>
      <c r="F111" s="29">
        <f>'SGTO POAI 2023 MARZO'!BG133</f>
        <v>174381570</v>
      </c>
      <c r="G111" s="381">
        <f t="shared" si="59"/>
        <v>0.35588075510204081</v>
      </c>
      <c r="H111" s="29">
        <f>'SGTO POAI 2023 MARZO'!BH133</f>
        <v>51250000</v>
      </c>
      <c r="I111" s="381">
        <f t="shared" si="60"/>
        <v>0.10459183673469388</v>
      </c>
    </row>
    <row r="112" spans="1:9" ht="67.5" customHeight="1">
      <c r="A112" s="30"/>
      <c r="B112" s="31"/>
      <c r="C112" s="22">
        <v>4599</v>
      </c>
      <c r="D112" s="23" t="s">
        <v>1298</v>
      </c>
      <c r="E112" s="21">
        <f>'SGTO POAI 2023 MARZO'!AT131+'SGTO POAI 2023 MARZO'!AT132+'SGTO POAI 2023 MARZO'!AT134</f>
        <v>2853243430</v>
      </c>
      <c r="F112" s="21">
        <f>'SGTO POAI 2023 MARZO'!AU131+'SGTO POAI 2023 MARZO'!AU132+'SGTO POAI 2023 MARZO'!AU134</f>
        <v>844546430</v>
      </c>
      <c r="G112" s="381">
        <f t="shared" si="59"/>
        <v>0.29599522463458366</v>
      </c>
      <c r="H112" s="21">
        <f>'SGTO POAI 2023 MARZO'!AV131+'SGTO POAI 2023 MARZO'!AV132+'SGTO POAI 2023 MARZO'!AV134</f>
        <v>183880000</v>
      </c>
      <c r="I112" s="381">
        <f t="shared" si="60"/>
        <v>6.4445955808264135E-2</v>
      </c>
    </row>
    <row r="113" spans="1:9" s="39" customFormat="1">
      <c r="A113" s="5"/>
      <c r="B113" s="57"/>
      <c r="C113" s="58"/>
      <c r="D113" s="59"/>
      <c r="E113" s="60"/>
      <c r="F113" s="60"/>
      <c r="G113" s="60"/>
      <c r="H113" s="60"/>
    </row>
    <row r="114" spans="1:9" ht="24" customHeight="1">
      <c r="A114" s="56" t="s">
        <v>1299</v>
      </c>
      <c r="B114" s="62"/>
      <c r="C114" s="62"/>
      <c r="D114" s="63"/>
      <c r="E114" s="64">
        <f>E115+E119</f>
        <v>213645814849.25</v>
      </c>
      <c r="F114" s="64">
        <f t="shared" ref="F114:H114" si="62">F115+F119</f>
        <v>58593949470.360001</v>
      </c>
      <c r="G114" s="381">
        <f t="shared" ref="G114:G121" si="63">F114/E114</f>
        <v>0.27425741764098821</v>
      </c>
      <c r="H114" s="64">
        <f t="shared" si="62"/>
        <v>40947479903.300003</v>
      </c>
      <c r="I114" s="381">
        <f t="shared" ref="I114:I121" si="64">H114/E114</f>
        <v>0.19166057585632013</v>
      </c>
    </row>
    <row r="115" spans="1:9" ht="24" customHeight="1">
      <c r="A115" s="98">
        <v>1</v>
      </c>
      <c r="B115" s="99" t="s">
        <v>1286</v>
      </c>
      <c r="C115" s="99"/>
      <c r="D115" s="99"/>
      <c r="E115" s="100">
        <f>E116</f>
        <v>213613300171.25</v>
      </c>
      <c r="F115" s="100">
        <f t="shared" ref="F115:H115" si="65">F116</f>
        <v>58593949470.360001</v>
      </c>
      <c r="G115" s="381">
        <f t="shared" si="63"/>
        <v>0.27429916312975955</v>
      </c>
      <c r="H115" s="100">
        <f t="shared" si="65"/>
        <v>40947479903.300003</v>
      </c>
      <c r="I115" s="381">
        <f t="shared" si="64"/>
        <v>0.19168974904873964</v>
      </c>
    </row>
    <row r="116" spans="1:9" ht="24" customHeight="1">
      <c r="A116" s="13"/>
      <c r="B116" s="104">
        <v>22</v>
      </c>
      <c r="C116" s="105" t="s">
        <v>160</v>
      </c>
      <c r="D116" s="106"/>
      <c r="E116" s="107">
        <f>SUM(E117:E118)</f>
        <v>213613300171.25</v>
      </c>
      <c r="F116" s="107">
        <f t="shared" ref="F116:H116" si="66">SUM(F117:F118)</f>
        <v>58593949470.360001</v>
      </c>
      <c r="G116" s="381">
        <f t="shared" si="63"/>
        <v>0.27429916312975955</v>
      </c>
      <c r="H116" s="107">
        <f t="shared" si="66"/>
        <v>40947479903.300003</v>
      </c>
      <c r="I116" s="381">
        <f t="shared" si="64"/>
        <v>0.19168974904873964</v>
      </c>
    </row>
    <row r="117" spans="1:9" ht="70.5" customHeight="1">
      <c r="A117" s="35"/>
      <c r="B117" s="36"/>
      <c r="C117" s="28">
        <v>2201</v>
      </c>
      <c r="D117" s="23" t="s">
        <v>297</v>
      </c>
      <c r="E117" s="21">
        <f>SUM('SGTO POAI 2023 MARZO'!BF135:BF168)</f>
        <v>213443300171.25</v>
      </c>
      <c r="F117" s="21">
        <f>SUM('SGTO POAI 2023 MARZO'!BG135:BG168)</f>
        <v>58533751861.360001</v>
      </c>
      <c r="G117" s="381">
        <f t="shared" si="63"/>
        <v>0.27423560174714856</v>
      </c>
      <c r="H117" s="21">
        <f>SUM('SGTO POAI 2023 MARZO'!BH135:BH168)</f>
        <v>40887282294.300003</v>
      </c>
      <c r="I117" s="381">
        <f t="shared" si="64"/>
        <v>0.19156039220483981</v>
      </c>
    </row>
    <row r="118" spans="1:9" ht="55.5" customHeight="1">
      <c r="A118" s="31"/>
      <c r="B118" s="37"/>
      <c r="C118" s="22">
        <v>2202</v>
      </c>
      <c r="D118" s="23" t="s">
        <v>1300</v>
      </c>
      <c r="E118" s="29">
        <f>'SGTO POAI 2023 MARZO'!BF169</f>
        <v>170000000</v>
      </c>
      <c r="F118" s="29">
        <f>'SGTO POAI 2023 MARZO'!BG169</f>
        <v>60197609</v>
      </c>
      <c r="G118" s="381">
        <f t="shared" si="63"/>
        <v>0.3541035823529412</v>
      </c>
      <c r="H118" s="29">
        <f>'SGTO POAI 2023 MARZO'!BH169</f>
        <v>60197609</v>
      </c>
      <c r="I118" s="381">
        <f t="shared" si="64"/>
        <v>0.3541035823529412</v>
      </c>
    </row>
    <row r="119" spans="1:9" ht="24" customHeight="1">
      <c r="A119" s="98">
        <v>2</v>
      </c>
      <c r="B119" s="99" t="s">
        <v>1288</v>
      </c>
      <c r="C119" s="99"/>
      <c r="D119" s="99"/>
      <c r="E119" s="100">
        <f>E120</f>
        <v>32514678</v>
      </c>
      <c r="F119" s="100">
        <f t="shared" ref="F119:H120" si="67">F120</f>
        <v>0</v>
      </c>
      <c r="G119" s="381">
        <f t="shared" si="63"/>
        <v>0</v>
      </c>
      <c r="H119" s="100">
        <f t="shared" si="67"/>
        <v>0</v>
      </c>
      <c r="I119" s="381">
        <f t="shared" si="64"/>
        <v>0</v>
      </c>
    </row>
    <row r="120" spans="1:9" ht="24" customHeight="1">
      <c r="A120" s="13"/>
      <c r="B120" s="104">
        <v>39</v>
      </c>
      <c r="C120" s="105" t="s">
        <v>745</v>
      </c>
      <c r="D120" s="106"/>
      <c r="E120" s="107">
        <f>E121</f>
        <v>32514678</v>
      </c>
      <c r="F120" s="107">
        <f t="shared" si="67"/>
        <v>0</v>
      </c>
      <c r="G120" s="381">
        <f t="shared" si="63"/>
        <v>0</v>
      </c>
      <c r="H120" s="107">
        <f t="shared" si="67"/>
        <v>0</v>
      </c>
      <c r="I120" s="381">
        <f t="shared" si="64"/>
        <v>0</v>
      </c>
    </row>
    <row r="121" spans="1:9" ht="39.75" customHeight="1">
      <c r="A121" s="31"/>
      <c r="B121" s="22"/>
      <c r="C121" s="12">
        <v>3904</v>
      </c>
      <c r="D121" s="23" t="s">
        <v>1178</v>
      </c>
      <c r="E121" s="29">
        <f>'SGTO POAI 2023 MARZO'!BF170</f>
        <v>32514678</v>
      </c>
      <c r="F121" s="29">
        <f>'SGTO POAI 2023 MARZO'!BG170</f>
        <v>0</v>
      </c>
      <c r="G121" s="381">
        <f t="shared" si="63"/>
        <v>0</v>
      </c>
      <c r="H121" s="29">
        <f>'SGTO POAI 2023 MARZO'!BH170</f>
        <v>0</v>
      </c>
      <c r="I121" s="381">
        <f t="shared" si="64"/>
        <v>0</v>
      </c>
    </row>
    <row r="122" spans="1:9" s="39" customFormat="1">
      <c r="A122" s="5"/>
      <c r="B122" s="5"/>
      <c r="C122" s="5"/>
      <c r="D122" s="6"/>
      <c r="E122" s="38"/>
      <c r="F122" s="38"/>
      <c r="G122" s="38"/>
      <c r="H122" s="38"/>
    </row>
    <row r="123" spans="1:9" s="39" customFormat="1" ht="24" customHeight="1">
      <c r="A123" s="56" t="s">
        <v>1301</v>
      </c>
      <c r="B123" s="125"/>
      <c r="C123" s="123"/>
      <c r="D123" s="124"/>
      <c r="E123" s="64">
        <f>E124+E133+E138</f>
        <v>7537461518.4300003</v>
      </c>
      <c r="F123" s="64">
        <f t="shared" ref="F123:H123" si="68">F124+F133+F138</f>
        <v>1710985106.4300001</v>
      </c>
      <c r="G123" s="381">
        <f t="shared" ref="G123:G140" si="69">F123/E123</f>
        <v>0.22699752459716518</v>
      </c>
      <c r="H123" s="64">
        <f t="shared" si="68"/>
        <v>1241735106.4300001</v>
      </c>
      <c r="I123" s="381">
        <f t="shared" ref="I123:I140" si="70">H123/E123</f>
        <v>0.16474181704195881</v>
      </c>
    </row>
    <row r="124" spans="1:9" s="39" customFormat="1" ht="24" customHeight="1">
      <c r="A124" s="98">
        <v>1</v>
      </c>
      <c r="B124" s="99" t="s">
        <v>1286</v>
      </c>
      <c r="C124" s="99"/>
      <c r="D124" s="99"/>
      <c r="E124" s="100">
        <f>E125+E127+E129</f>
        <v>7124488546.4300003</v>
      </c>
      <c r="F124" s="100">
        <f t="shared" ref="F124:H124" si="71">F125+F127+F129</f>
        <v>1559652134.4300001</v>
      </c>
      <c r="G124" s="381">
        <f t="shared" si="69"/>
        <v>0.21891425949607624</v>
      </c>
      <c r="H124" s="100">
        <f t="shared" si="71"/>
        <v>1177125106.4300001</v>
      </c>
      <c r="I124" s="381">
        <f t="shared" si="70"/>
        <v>0.16522240140590078</v>
      </c>
    </row>
    <row r="125" spans="1:9" ht="24" customHeight="1">
      <c r="A125" s="13"/>
      <c r="B125" s="104">
        <v>19</v>
      </c>
      <c r="C125" s="105" t="s">
        <v>755</v>
      </c>
      <c r="D125" s="106"/>
      <c r="E125" s="107">
        <f>E126</f>
        <v>130000000</v>
      </c>
      <c r="F125" s="107">
        <f t="shared" ref="F125:H125" si="72">F126</f>
        <v>74100000</v>
      </c>
      <c r="G125" s="381">
        <f t="shared" si="69"/>
        <v>0.56999999999999995</v>
      </c>
      <c r="H125" s="107">
        <f t="shared" si="72"/>
        <v>34350000</v>
      </c>
      <c r="I125" s="381">
        <f t="shared" si="70"/>
        <v>0.26423076923076921</v>
      </c>
    </row>
    <row r="126" spans="1:9" s="39" customFormat="1" ht="51" customHeight="1">
      <c r="A126" s="35"/>
      <c r="B126" s="22"/>
      <c r="C126" s="12">
        <v>1905</v>
      </c>
      <c r="D126" s="15" t="s">
        <v>756</v>
      </c>
      <c r="E126" s="29">
        <f>'SGTO POAI 2023 MARZO'!BF171+'SGTO POAI 2023 MARZO'!BF172</f>
        <v>130000000</v>
      </c>
      <c r="F126" s="29">
        <f>'SGTO POAI 2023 MARZO'!BG171+'SGTO POAI 2023 MARZO'!BG172</f>
        <v>74100000</v>
      </c>
      <c r="G126" s="381">
        <f t="shared" si="69"/>
        <v>0.56999999999999995</v>
      </c>
      <c r="H126" s="29">
        <f>'SGTO POAI 2023 MARZO'!BH171+'SGTO POAI 2023 MARZO'!BH172</f>
        <v>34350000</v>
      </c>
      <c r="I126" s="381">
        <f t="shared" si="70"/>
        <v>0.26423076923076921</v>
      </c>
    </row>
    <row r="127" spans="1:9" ht="24" customHeight="1">
      <c r="A127" s="40"/>
      <c r="B127" s="110">
        <v>33</v>
      </c>
      <c r="C127" s="112" t="s">
        <v>170</v>
      </c>
      <c r="D127" s="106"/>
      <c r="E127" s="107">
        <f>E128</f>
        <v>18900000</v>
      </c>
      <c r="F127" s="107">
        <f t="shared" ref="F127:H127" si="73">F128</f>
        <v>9600000</v>
      </c>
      <c r="G127" s="381">
        <f t="shared" si="69"/>
        <v>0.50793650793650791</v>
      </c>
      <c r="H127" s="107">
        <f t="shared" si="73"/>
        <v>3200000</v>
      </c>
      <c r="I127" s="381">
        <f t="shared" si="70"/>
        <v>0.1693121693121693</v>
      </c>
    </row>
    <row r="128" spans="1:9" s="39" customFormat="1" ht="51.75" customHeight="1">
      <c r="A128" s="35"/>
      <c r="B128" s="22"/>
      <c r="C128" s="12">
        <v>3301</v>
      </c>
      <c r="D128" s="23" t="s">
        <v>171</v>
      </c>
      <c r="E128" s="29">
        <f>'SGTO POAI 2023 MARZO'!BF173</f>
        <v>18900000</v>
      </c>
      <c r="F128" s="29">
        <f>'SGTO POAI 2023 MARZO'!BG173</f>
        <v>9600000</v>
      </c>
      <c r="G128" s="381">
        <f t="shared" si="69"/>
        <v>0.50793650793650791</v>
      </c>
      <c r="H128" s="29">
        <f>'SGTO POAI 2023 MARZO'!BH173</f>
        <v>3200000</v>
      </c>
      <c r="I128" s="381">
        <f t="shared" si="70"/>
        <v>0.1693121693121693</v>
      </c>
    </row>
    <row r="129" spans="1:9" ht="24" customHeight="1">
      <c r="A129" s="40"/>
      <c r="B129" s="113">
        <v>41</v>
      </c>
      <c r="C129" s="105" t="s">
        <v>771</v>
      </c>
      <c r="D129" s="111"/>
      <c r="E129" s="107">
        <f>SUM(E130:E132)</f>
        <v>6975588546.4300003</v>
      </c>
      <c r="F129" s="107">
        <f t="shared" ref="F129:H129" si="74">SUM(F130:F132)</f>
        <v>1475952134.4300001</v>
      </c>
      <c r="G129" s="381">
        <f t="shared" si="69"/>
        <v>0.21158818709073227</v>
      </c>
      <c r="H129" s="107">
        <f t="shared" si="74"/>
        <v>1139575106.4300001</v>
      </c>
      <c r="I129" s="381">
        <f t="shared" si="70"/>
        <v>0.16336615883303743</v>
      </c>
    </row>
    <row r="130" spans="1:9" s="39" customFormat="1" ht="53.25" customHeight="1">
      <c r="A130" s="26"/>
      <c r="B130" s="27"/>
      <c r="C130" s="22">
        <v>4102</v>
      </c>
      <c r="D130" s="23" t="s">
        <v>772</v>
      </c>
      <c r="E130" s="29">
        <f>SUM('SGTO POAI 2023 MARZO'!BF174:BF182)</f>
        <v>862600000</v>
      </c>
      <c r="F130" s="29">
        <f>SUM('SGTO POAI 2023 MARZO'!BG174:BG182)</f>
        <v>323127028</v>
      </c>
      <c r="G130" s="381">
        <f t="shared" si="69"/>
        <v>0.37459660097380015</v>
      </c>
      <c r="H130" s="29">
        <f>SUM('SGTO POAI 2023 MARZO'!BH174:BH182)</f>
        <v>116050000</v>
      </c>
      <c r="I130" s="381">
        <f t="shared" si="70"/>
        <v>0.13453512636216092</v>
      </c>
    </row>
    <row r="131" spans="1:9" s="39" customFormat="1" ht="48.75" customHeight="1">
      <c r="A131" s="26"/>
      <c r="B131" s="35"/>
      <c r="C131" s="22">
        <v>4103</v>
      </c>
      <c r="D131" s="23" t="s">
        <v>321</v>
      </c>
      <c r="E131" s="29">
        <f>SUM('SGTO POAI 2023 MARZO'!BF183:BF189)</f>
        <v>298800000</v>
      </c>
      <c r="F131" s="29">
        <f>SUM('SGTO POAI 2023 MARZO'!BG183:BG189)</f>
        <v>63100000</v>
      </c>
      <c r="G131" s="381">
        <f t="shared" si="69"/>
        <v>0.2111780455153949</v>
      </c>
      <c r="H131" s="29">
        <f>SUM('SGTO POAI 2023 MARZO'!BH183:BH189)</f>
        <v>26600000</v>
      </c>
      <c r="I131" s="381">
        <f t="shared" si="70"/>
        <v>8.9022757697456489E-2</v>
      </c>
    </row>
    <row r="132" spans="1:9" s="39" customFormat="1" ht="51.75" customHeight="1">
      <c r="A132" s="30"/>
      <c r="B132" s="31"/>
      <c r="C132" s="22">
        <v>4104</v>
      </c>
      <c r="D132" s="23" t="s">
        <v>865</v>
      </c>
      <c r="E132" s="29">
        <f>SUM('SGTO POAI 2023 MARZO'!BF190:BF194)</f>
        <v>5814188546.4300003</v>
      </c>
      <c r="F132" s="29">
        <f>SUM('SGTO POAI 2023 MARZO'!BG190:BG194)</f>
        <v>1089725106.4300001</v>
      </c>
      <c r="G132" s="381">
        <f t="shared" si="69"/>
        <v>0.18742514071015254</v>
      </c>
      <c r="H132" s="29">
        <f>SUM('SGTO POAI 2023 MARZO'!BH190:BH194)</f>
        <v>996925106.43000007</v>
      </c>
      <c r="I132" s="381">
        <f t="shared" si="70"/>
        <v>0.17146418601132693</v>
      </c>
    </row>
    <row r="133" spans="1:9" s="39" customFormat="1" ht="24" customHeight="1">
      <c r="A133" s="98">
        <v>2</v>
      </c>
      <c r="B133" s="99" t="s">
        <v>1288</v>
      </c>
      <c r="C133" s="99"/>
      <c r="D133" s="99"/>
      <c r="E133" s="100">
        <f>E134+E136</f>
        <v>38400000</v>
      </c>
      <c r="F133" s="100">
        <f t="shared" ref="F133:H133" si="75">F134+F136</f>
        <v>18200000</v>
      </c>
      <c r="G133" s="381">
        <f t="shared" si="69"/>
        <v>0.47395833333333331</v>
      </c>
      <c r="H133" s="100">
        <f t="shared" si="75"/>
        <v>10400000</v>
      </c>
      <c r="I133" s="381">
        <f t="shared" si="70"/>
        <v>0.27083333333333331</v>
      </c>
    </row>
    <row r="134" spans="1:9" ht="24" customHeight="1">
      <c r="A134" s="13"/>
      <c r="B134" s="104">
        <v>17</v>
      </c>
      <c r="C134" s="105" t="s">
        <v>200</v>
      </c>
      <c r="D134" s="106"/>
      <c r="E134" s="107">
        <f>E135</f>
        <v>23400000</v>
      </c>
      <c r="F134" s="107">
        <f t="shared" ref="F134:H134" si="76">F135</f>
        <v>10400000</v>
      </c>
      <c r="G134" s="381">
        <f t="shared" si="69"/>
        <v>0.44444444444444442</v>
      </c>
      <c r="H134" s="107">
        <f t="shared" si="76"/>
        <v>7200000</v>
      </c>
      <c r="I134" s="381">
        <f t="shared" si="70"/>
        <v>0.30769230769230771</v>
      </c>
    </row>
    <row r="135" spans="1:9" s="39" customFormat="1" ht="51.75" customHeight="1">
      <c r="A135" s="35"/>
      <c r="B135" s="22"/>
      <c r="C135" s="12">
        <v>1702</v>
      </c>
      <c r="D135" s="23" t="s">
        <v>463</v>
      </c>
      <c r="E135" s="29">
        <f>'SGTO POAI 2023 MARZO'!BF195</f>
        <v>23400000</v>
      </c>
      <c r="F135" s="29">
        <f>'SGTO POAI 2023 MARZO'!BG195</f>
        <v>10400000</v>
      </c>
      <c r="G135" s="381">
        <f t="shared" si="69"/>
        <v>0.44444444444444442</v>
      </c>
      <c r="H135" s="29">
        <f>'SGTO POAI 2023 MARZO'!BH195</f>
        <v>7200000</v>
      </c>
      <c r="I135" s="381">
        <f t="shared" si="70"/>
        <v>0.30769230769230771</v>
      </c>
    </row>
    <row r="136" spans="1:9" ht="25.5" customHeight="1">
      <c r="A136" s="40"/>
      <c r="B136" s="110">
        <v>36</v>
      </c>
      <c r="C136" s="112" t="s">
        <v>445</v>
      </c>
      <c r="D136" s="106"/>
      <c r="E136" s="107">
        <f>E137</f>
        <v>15000000</v>
      </c>
      <c r="F136" s="107">
        <f t="shared" ref="F136:H136" si="77">F137</f>
        <v>7800000</v>
      </c>
      <c r="G136" s="381">
        <f t="shared" si="69"/>
        <v>0.52</v>
      </c>
      <c r="H136" s="107">
        <f t="shared" si="77"/>
        <v>3200000</v>
      </c>
      <c r="I136" s="381">
        <f t="shared" si="70"/>
        <v>0.21333333333333335</v>
      </c>
    </row>
    <row r="137" spans="1:9" s="39" customFormat="1" ht="51" customHeight="1">
      <c r="A137" s="31"/>
      <c r="B137" s="22"/>
      <c r="C137" s="12">
        <v>3604</v>
      </c>
      <c r="D137" s="23" t="s">
        <v>900</v>
      </c>
      <c r="E137" s="29">
        <f>'SGTO POAI 2023 MARZO'!BF196</f>
        <v>15000000</v>
      </c>
      <c r="F137" s="29">
        <f>'SGTO POAI 2023 MARZO'!BG196</f>
        <v>7800000</v>
      </c>
      <c r="G137" s="381">
        <f t="shared" si="69"/>
        <v>0.52</v>
      </c>
      <c r="H137" s="29">
        <f>'SGTO POAI 2023 MARZO'!BH196</f>
        <v>3200000</v>
      </c>
      <c r="I137" s="381">
        <f t="shared" si="70"/>
        <v>0.21333333333333335</v>
      </c>
    </row>
    <row r="138" spans="1:9" s="39" customFormat="1" ht="24" customHeight="1">
      <c r="A138" s="98">
        <v>4</v>
      </c>
      <c r="B138" s="99" t="s">
        <v>1280</v>
      </c>
      <c r="C138" s="99"/>
      <c r="D138" s="99"/>
      <c r="E138" s="100">
        <f>E139</f>
        <v>374572972</v>
      </c>
      <c r="F138" s="100">
        <f t="shared" ref="F138:H138" si="78">F139</f>
        <v>133132972</v>
      </c>
      <c r="G138" s="381">
        <f t="shared" si="69"/>
        <v>0.35542599694032384</v>
      </c>
      <c r="H138" s="100">
        <f t="shared" si="78"/>
        <v>54210000</v>
      </c>
      <c r="I138" s="381">
        <f t="shared" si="70"/>
        <v>0.14472480411640593</v>
      </c>
    </row>
    <row r="139" spans="1:9" ht="24" customHeight="1">
      <c r="A139" s="25"/>
      <c r="B139" s="108">
        <v>45</v>
      </c>
      <c r="C139" s="105" t="s">
        <v>906</v>
      </c>
      <c r="D139" s="106"/>
      <c r="E139" s="107">
        <f>SUM(E140:E140)</f>
        <v>374572972</v>
      </c>
      <c r="F139" s="107">
        <f t="shared" ref="F139:H139" si="79">SUM(F140:F140)</f>
        <v>133132972</v>
      </c>
      <c r="G139" s="381">
        <f t="shared" si="69"/>
        <v>0.35542599694032384</v>
      </c>
      <c r="H139" s="107">
        <f t="shared" si="79"/>
        <v>54210000</v>
      </c>
      <c r="I139" s="381">
        <f t="shared" si="70"/>
        <v>0.14472480411640593</v>
      </c>
    </row>
    <row r="140" spans="1:9" ht="50.25" customHeight="1">
      <c r="A140" s="31"/>
      <c r="B140" s="43"/>
      <c r="C140" s="16">
        <v>4502</v>
      </c>
      <c r="D140" s="17" t="s">
        <v>1281</v>
      </c>
      <c r="E140" s="44">
        <f>'SGTO POAI 2023 MARZO'!BF197+'SGTO POAI 2023 MARZO'!BF198+'SGTO POAI 2023 MARZO'!BF199+'SGTO POAI 2023 MARZO'!BF200+'SGTO POAI 2023 MARZO'!BF201</f>
        <v>374572972</v>
      </c>
      <c r="F140" s="44">
        <f>'SGTO POAI 2023 MARZO'!BG197+'SGTO POAI 2023 MARZO'!BG198+'SGTO POAI 2023 MARZO'!BG199+'SGTO POAI 2023 MARZO'!BG200+'SGTO POAI 2023 MARZO'!BG201</f>
        <v>133132972</v>
      </c>
      <c r="G140" s="381">
        <f t="shared" si="69"/>
        <v>0.35542599694032384</v>
      </c>
      <c r="H140" s="44">
        <f>'SGTO POAI 2023 MARZO'!BH197+'SGTO POAI 2023 MARZO'!BH198+'SGTO POAI 2023 MARZO'!BH199+'SGTO POAI 2023 MARZO'!BH200+'SGTO POAI 2023 MARZO'!BH201</f>
        <v>54210000</v>
      </c>
      <c r="I140" s="381">
        <f t="shared" si="70"/>
        <v>0.14472480411640593</v>
      </c>
    </row>
    <row r="141" spans="1:9" s="39" customFormat="1">
      <c r="A141" s="5"/>
      <c r="B141" s="5"/>
      <c r="C141" s="5"/>
      <c r="D141" s="6"/>
      <c r="E141" s="38"/>
      <c r="F141" s="38"/>
      <c r="G141" s="38"/>
      <c r="H141" s="38"/>
    </row>
    <row r="142" spans="1:9" ht="24" customHeight="1">
      <c r="A142" s="56" t="s">
        <v>1302</v>
      </c>
      <c r="B142" s="62"/>
      <c r="C142" s="125"/>
      <c r="D142" s="124"/>
      <c r="E142" s="64">
        <f>E143</f>
        <v>53313292857.790001</v>
      </c>
      <c r="F142" s="64">
        <f t="shared" ref="F142:H143" si="80">F143</f>
        <v>39176601827.099998</v>
      </c>
      <c r="G142" s="381">
        <f t="shared" ref="G142:G147" si="81">F142/E142</f>
        <v>0.73483740596554836</v>
      </c>
      <c r="H142" s="64">
        <f t="shared" si="80"/>
        <v>8534465634.1400003</v>
      </c>
      <c r="I142" s="381">
        <f t="shared" ref="I142:I147" si="82">H142/E142</f>
        <v>0.16008138264701027</v>
      </c>
    </row>
    <row r="143" spans="1:9" ht="24" customHeight="1">
      <c r="A143" s="98">
        <v>1</v>
      </c>
      <c r="B143" s="99" t="s">
        <v>1286</v>
      </c>
      <c r="C143" s="99"/>
      <c r="D143" s="99"/>
      <c r="E143" s="100">
        <f>E144</f>
        <v>53313292857.790001</v>
      </c>
      <c r="F143" s="100">
        <f t="shared" si="80"/>
        <v>39176601827.099998</v>
      </c>
      <c r="G143" s="381">
        <f t="shared" si="81"/>
        <v>0.73483740596554836</v>
      </c>
      <c r="H143" s="100">
        <f t="shared" si="80"/>
        <v>8534465634.1400003</v>
      </c>
      <c r="I143" s="381">
        <f t="shared" si="82"/>
        <v>0.16008138264701027</v>
      </c>
    </row>
    <row r="144" spans="1:9" ht="24" customHeight="1">
      <c r="A144" s="13"/>
      <c r="B144" s="104">
        <v>19</v>
      </c>
      <c r="C144" s="105" t="s">
        <v>755</v>
      </c>
      <c r="D144" s="106"/>
      <c r="E144" s="107">
        <f>SUM(E145:E147)</f>
        <v>53313292857.790001</v>
      </c>
      <c r="F144" s="107">
        <f t="shared" ref="F144:H144" si="83">SUM(F145:F147)</f>
        <v>39176601827.099998</v>
      </c>
      <c r="G144" s="381">
        <f t="shared" si="81"/>
        <v>0.73483740596554836</v>
      </c>
      <c r="H144" s="107">
        <f t="shared" si="83"/>
        <v>8534465634.1400003</v>
      </c>
      <c r="I144" s="381">
        <f t="shared" si="82"/>
        <v>0.16008138264701027</v>
      </c>
    </row>
    <row r="145" spans="1:9" ht="35.25" customHeight="1">
      <c r="A145" s="35"/>
      <c r="B145" s="36"/>
      <c r="C145" s="22">
        <v>1903</v>
      </c>
      <c r="D145" s="23" t="s">
        <v>933</v>
      </c>
      <c r="E145" s="29">
        <f>SUM('SGTO POAI 2023 MARZO'!BF202:BF222)+'SGTO POAI 2023 MARZO'!BF253</f>
        <v>3567304972.6500001</v>
      </c>
      <c r="F145" s="29">
        <f>SUM('SGTO POAI 2023 MARZO'!BG202:BG222)+'SGTO POAI 2023 MARZO'!BG253</f>
        <v>1023996654</v>
      </c>
      <c r="G145" s="381">
        <f t="shared" si="81"/>
        <v>0.28705049381839537</v>
      </c>
      <c r="H145" s="29">
        <f>SUM('SGTO POAI 2023 MARZO'!BH202:BH222)+'SGTO POAI 2023 MARZO'!BH253</f>
        <v>270473629</v>
      </c>
      <c r="I145" s="381">
        <f t="shared" si="82"/>
        <v>7.5820158655814776E-2</v>
      </c>
    </row>
    <row r="146" spans="1:9" ht="31.5" customHeight="1">
      <c r="A146" s="35"/>
      <c r="B146" s="42"/>
      <c r="C146" s="22">
        <v>1905</v>
      </c>
      <c r="D146" s="23" t="s">
        <v>756</v>
      </c>
      <c r="E146" s="29">
        <f>'SGTO POAI 2023 MARZO'!BF223+'SGTO POAI 2023 MARZO'!BF224+'SGTO POAI 2023 MARZO'!BF225+'SGTO POAI 2023 MARZO'!BF226+'SGTO POAI 2023 MARZO'!BF227+'SGTO POAI 2023 MARZO'!BF228+'SGTO POAI 2023 MARZO'!BF229+'SGTO POAI 2023 MARZO'!BF230+'SGTO POAI 2023 MARZO'!BF231+'SGTO POAI 2023 MARZO'!BF232+'SGTO POAI 2023 MARZO'!BF233+'SGTO POAI 2023 MARZO'!BF234+'SGTO POAI 2023 MARZO'!BF235+'SGTO POAI 2023 MARZO'!BF236+'SGTO POAI 2023 MARZO'!BF237+'SGTO POAI 2023 MARZO'!BF238+'SGTO POAI 2023 MARZO'!BF239+'SGTO POAI 2023 MARZO'!BF240+'SGTO POAI 2023 MARZO'!BF241+'SGTO POAI 2023 MARZO'!BF242+'SGTO POAI 2023 MARZO'!BF243+'SGTO POAI 2023 MARZO'!BF244+'SGTO POAI 2023 MARZO'!BF254+'SGTO POAI 2023 MARZO'!BF255+'SGTO POAI 2023 MARZO'!BF256+'SGTO POAI 2023 MARZO'!BF257+'SGTO POAI 2023 MARZO'!BF258+'SGTO POAI 2023 MARZO'!BF259+'SGTO POAI 2023 MARZO'!BF260</f>
        <v>4976660526.29</v>
      </c>
      <c r="F146" s="29">
        <f>'SGTO POAI 2023 MARZO'!BG223+'SGTO POAI 2023 MARZO'!BG224+'SGTO POAI 2023 MARZO'!BG225+'SGTO POAI 2023 MARZO'!BG226+'SGTO POAI 2023 MARZO'!BG227+'SGTO POAI 2023 MARZO'!BG228+'SGTO POAI 2023 MARZO'!BG229+'SGTO POAI 2023 MARZO'!BG230+'SGTO POAI 2023 MARZO'!BG231+'SGTO POAI 2023 MARZO'!BG232+'SGTO POAI 2023 MARZO'!BG233+'SGTO POAI 2023 MARZO'!BG234+'SGTO POAI 2023 MARZO'!BG235+'SGTO POAI 2023 MARZO'!BG236+'SGTO POAI 2023 MARZO'!BG237+'SGTO POAI 2023 MARZO'!BG238+'SGTO POAI 2023 MARZO'!BG239+'SGTO POAI 2023 MARZO'!BG240+'SGTO POAI 2023 MARZO'!BG241+'SGTO POAI 2023 MARZO'!BG242+'SGTO POAI 2023 MARZO'!BG243+'SGTO POAI 2023 MARZO'!BG244+'SGTO POAI 2023 MARZO'!BG254+'SGTO POAI 2023 MARZO'!BG255+'SGTO POAI 2023 MARZO'!BG256+'SGTO POAI 2023 MARZO'!BG257+'SGTO POAI 2023 MARZO'!BG258+'SGTO POAI 2023 MARZO'!BG259+'SGTO POAI 2023 MARZO'!BG260</f>
        <v>955958160</v>
      </c>
      <c r="G146" s="381">
        <f t="shared" si="81"/>
        <v>0.19208827987161253</v>
      </c>
      <c r="H146" s="29">
        <f>'SGTO POAI 2023 MARZO'!BH223+'SGTO POAI 2023 MARZO'!BH224+'SGTO POAI 2023 MARZO'!BH225+'SGTO POAI 2023 MARZO'!BH226+'SGTO POAI 2023 MARZO'!BH227+'SGTO POAI 2023 MARZO'!BH228+'SGTO POAI 2023 MARZO'!BH229+'SGTO POAI 2023 MARZO'!BH230+'SGTO POAI 2023 MARZO'!BH231+'SGTO POAI 2023 MARZO'!BH232+'SGTO POAI 2023 MARZO'!BH233+'SGTO POAI 2023 MARZO'!BH234+'SGTO POAI 2023 MARZO'!BH235+'SGTO POAI 2023 MARZO'!BH236+'SGTO POAI 2023 MARZO'!BH237+'SGTO POAI 2023 MARZO'!BH238+'SGTO POAI 2023 MARZO'!BH239+'SGTO POAI 2023 MARZO'!BH240+'SGTO POAI 2023 MARZO'!BH241+'SGTO POAI 2023 MARZO'!BH242+'SGTO POAI 2023 MARZO'!BH243+'SGTO POAI 2023 MARZO'!BH244+'SGTO POAI 2023 MARZO'!BH254+'SGTO POAI 2023 MARZO'!BH255+'SGTO POAI 2023 MARZO'!BH256+'SGTO POAI 2023 MARZO'!BH257+'SGTO POAI 2023 MARZO'!BH258+'SGTO POAI 2023 MARZO'!BH259+'SGTO POAI 2023 MARZO'!BH260</f>
        <v>367230174</v>
      </c>
      <c r="I146" s="381">
        <f t="shared" si="82"/>
        <v>7.3790480998261437E-2</v>
      </c>
    </row>
    <row r="147" spans="1:9" ht="57.75" customHeight="1">
      <c r="A147" s="31"/>
      <c r="B147" s="37"/>
      <c r="C147" s="22">
        <v>1906</v>
      </c>
      <c r="D147" s="23" t="s">
        <v>1303</v>
      </c>
      <c r="E147" s="29">
        <f>SUM('SGTO POAI 2023 MARZO'!BF245:BF252)</f>
        <v>44769327358.849998</v>
      </c>
      <c r="F147" s="29">
        <f>SUM('SGTO POAI 2023 MARZO'!BG245:BG252)</f>
        <v>37196647013.099998</v>
      </c>
      <c r="G147" s="381">
        <f t="shared" si="81"/>
        <v>0.83085114759373235</v>
      </c>
      <c r="H147" s="29">
        <f>SUM('SGTO POAI 2023 MARZO'!BH245:BH252)</f>
        <v>7896761831.1400003</v>
      </c>
      <c r="I147" s="381">
        <f t="shared" si="82"/>
        <v>0.17638777031075872</v>
      </c>
    </row>
    <row r="148" spans="1:9" s="39" customFormat="1">
      <c r="A148" s="5"/>
      <c r="B148" s="5"/>
      <c r="C148" s="5"/>
      <c r="D148" s="6"/>
      <c r="E148" s="38"/>
      <c r="F148" s="38"/>
      <c r="G148" s="38"/>
      <c r="H148" s="38"/>
    </row>
    <row r="149" spans="1:9" s="4" customFormat="1" ht="24" customHeight="1">
      <c r="A149" s="56" t="s">
        <v>1304</v>
      </c>
      <c r="B149" s="62"/>
      <c r="C149" s="62"/>
      <c r="D149" s="63"/>
      <c r="E149" s="64">
        <f>E150+E154+E158</f>
        <v>1266894018</v>
      </c>
      <c r="F149" s="64">
        <f t="shared" ref="F149:H149" si="84">F150+F154+F158</f>
        <v>579300000</v>
      </c>
      <c r="G149" s="381">
        <f t="shared" ref="G149:G160" si="85">F149/E149</f>
        <v>0.45726003262255516</v>
      </c>
      <c r="H149" s="64">
        <f t="shared" si="84"/>
        <v>242300000</v>
      </c>
      <c r="I149" s="381">
        <f t="shared" ref="I149:I160" si="86">H149/E149</f>
        <v>0.19125514570075111</v>
      </c>
    </row>
    <row r="150" spans="1:9" s="4" customFormat="1" ht="24" customHeight="1">
      <c r="A150" s="98">
        <v>1</v>
      </c>
      <c r="B150" s="99" t="s">
        <v>1286</v>
      </c>
      <c r="C150" s="99"/>
      <c r="D150" s="99"/>
      <c r="E150" s="100">
        <f>E151</f>
        <v>824774500</v>
      </c>
      <c r="F150" s="100">
        <f t="shared" ref="F150:H150" si="87">F151</f>
        <v>452103654</v>
      </c>
      <c r="G150" s="381">
        <f t="shared" si="85"/>
        <v>0.54815425792140759</v>
      </c>
      <c r="H150" s="100">
        <f t="shared" si="87"/>
        <v>196000000</v>
      </c>
      <c r="I150" s="381">
        <f t="shared" si="86"/>
        <v>0.23764071270389664</v>
      </c>
    </row>
    <row r="151" spans="1:9" ht="24" customHeight="1">
      <c r="A151" s="13"/>
      <c r="B151" s="104">
        <v>23</v>
      </c>
      <c r="C151" s="105" t="s">
        <v>1126</v>
      </c>
      <c r="D151" s="106"/>
      <c r="E151" s="107">
        <f>SUM(E152:E153)</f>
        <v>824774500</v>
      </c>
      <c r="F151" s="107">
        <f t="shared" ref="F151:H151" si="88">SUM(F152:F153)</f>
        <v>452103654</v>
      </c>
      <c r="G151" s="381">
        <f t="shared" si="85"/>
        <v>0.54815425792140759</v>
      </c>
      <c r="H151" s="107">
        <f t="shared" si="88"/>
        <v>196000000</v>
      </c>
      <c r="I151" s="381">
        <f t="shared" si="86"/>
        <v>0.23764071270389664</v>
      </c>
    </row>
    <row r="152" spans="1:9" s="18" customFormat="1" ht="75.75" customHeight="1">
      <c r="A152" s="35"/>
      <c r="B152" s="36"/>
      <c r="C152" s="28">
        <v>2301</v>
      </c>
      <c r="D152" s="23" t="s">
        <v>1305</v>
      </c>
      <c r="E152" s="29">
        <f>'SGTO POAI 2023 MARZO'!BF261+'SGTO POAI 2023 MARZO'!BF262+'SGTO POAI 2023 MARZO'!BF263+'SGTO POAI 2023 MARZO'!BF264+'SGTO POAI 2023 MARZO'!BF265+'SGTO POAI 2023 MARZO'!BF266+'SGTO POAI 2023 MARZO'!BF267+'SGTO POAI 2023 MARZO'!BF268+'SGTO POAI 2023 MARZO'!BF269</f>
        <v>615374500</v>
      </c>
      <c r="F152" s="29">
        <f>'SGTO POAI 2023 MARZO'!BG261+'SGTO POAI 2023 MARZO'!BG262+'SGTO POAI 2023 MARZO'!BG263+'SGTO POAI 2023 MARZO'!BG264+'SGTO POAI 2023 MARZO'!BG265+'SGTO POAI 2023 MARZO'!BG266+'SGTO POAI 2023 MARZO'!BG267+'SGTO POAI 2023 MARZO'!BG268+'SGTO POAI 2023 MARZO'!BG269</f>
        <v>315603655</v>
      </c>
      <c r="G152" s="381">
        <f t="shared" si="85"/>
        <v>0.51286436958307502</v>
      </c>
      <c r="H152" s="29">
        <f>'SGTO POAI 2023 MARZO'!BH261+'SGTO POAI 2023 MARZO'!BH262+'SGTO POAI 2023 MARZO'!BH263+'SGTO POAI 2023 MARZO'!BH264+'SGTO POAI 2023 MARZO'!BH265+'SGTO POAI 2023 MARZO'!BH266+'SGTO POAI 2023 MARZO'!BH267+'SGTO POAI 2023 MARZO'!BH268+'SGTO POAI 2023 MARZO'!BH269</f>
        <v>135750000</v>
      </c>
      <c r="I152" s="381">
        <f t="shared" si="86"/>
        <v>0.22059737606936913</v>
      </c>
    </row>
    <row r="153" spans="1:9" s="18" customFormat="1" ht="117.75" customHeight="1">
      <c r="A153" s="31"/>
      <c r="B153" s="37"/>
      <c r="C153" s="28">
        <v>2302</v>
      </c>
      <c r="D153" s="23" t="s">
        <v>1152</v>
      </c>
      <c r="E153" s="29">
        <f>'SGTO POAI 2023 MARZO'!BF270+'SGTO POAI 2023 MARZO'!BF271+'SGTO POAI 2023 MARZO'!BF272+'SGTO POAI 2023 MARZO'!BF273</f>
        <v>209400000</v>
      </c>
      <c r="F153" s="29">
        <f>'SGTO POAI 2023 MARZO'!BG270+'SGTO POAI 2023 MARZO'!BG271+'SGTO POAI 2023 MARZO'!BG272+'SGTO POAI 2023 MARZO'!BG273</f>
        <v>136499999</v>
      </c>
      <c r="G153" s="381">
        <f t="shared" si="85"/>
        <v>0.65186245940783194</v>
      </c>
      <c r="H153" s="29">
        <f>'SGTO POAI 2023 MARZO'!BH270+'SGTO POAI 2023 MARZO'!BH271+'SGTO POAI 2023 MARZO'!BH272+'SGTO POAI 2023 MARZO'!BH273</f>
        <v>60250000</v>
      </c>
      <c r="I153" s="381">
        <f t="shared" si="86"/>
        <v>0.28772683858643744</v>
      </c>
    </row>
    <row r="154" spans="1:9" s="4" customFormat="1" ht="24" customHeight="1">
      <c r="A154" s="98">
        <v>2</v>
      </c>
      <c r="B154" s="99" t="s">
        <v>1288</v>
      </c>
      <c r="C154" s="99"/>
      <c r="D154" s="99"/>
      <c r="E154" s="100">
        <f>E155</f>
        <v>75119518</v>
      </c>
      <c r="F154" s="100">
        <f t="shared" ref="F154:H154" si="89">F155</f>
        <v>32646346</v>
      </c>
      <c r="G154" s="381">
        <f t="shared" si="85"/>
        <v>0.4345920590172051</v>
      </c>
      <c r="H154" s="100">
        <f t="shared" si="89"/>
        <v>3900000</v>
      </c>
      <c r="I154" s="381">
        <f t="shared" si="86"/>
        <v>5.1917266029316109E-2</v>
      </c>
    </row>
    <row r="155" spans="1:9" ht="24" customHeight="1">
      <c r="A155" s="13"/>
      <c r="B155" s="104">
        <v>39</v>
      </c>
      <c r="C155" s="105" t="s">
        <v>745</v>
      </c>
      <c r="D155" s="106"/>
      <c r="E155" s="107">
        <f>SUM(E156:E157)</f>
        <v>75119518</v>
      </c>
      <c r="F155" s="107">
        <f t="shared" ref="F155:H155" si="90">SUM(F156:F157)</f>
        <v>32646346</v>
      </c>
      <c r="G155" s="381">
        <f t="shared" si="85"/>
        <v>0.4345920590172051</v>
      </c>
      <c r="H155" s="107">
        <f t="shared" si="90"/>
        <v>3900000</v>
      </c>
      <c r="I155" s="381">
        <f t="shared" si="86"/>
        <v>5.1917266029316109E-2</v>
      </c>
    </row>
    <row r="156" spans="1:9" s="18" customFormat="1" ht="44.25" customHeight="1">
      <c r="A156" s="35"/>
      <c r="B156" s="7"/>
      <c r="C156" s="45" t="s">
        <v>1165</v>
      </c>
      <c r="D156" s="20" t="s">
        <v>1166</v>
      </c>
      <c r="E156" s="29">
        <f>'SGTO POAI 2023 MARZO'!BF274+'SGTO POAI 2023 MARZO'!BF275+'SGTO POAI 2023 MARZO'!BF276</f>
        <v>46719518</v>
      </c>
      <c r="F156" s="29">
        <f>'SGTO POAI 2023 MARZO'!BG274+'SGTO POAI 2023 MARZO'!BG275+'SGTO POAI 2023 MARZO'!BG276</f>
        <v>22746346</v>
      </c>
      <c r="G156" s="381">
        <f t="shared" si="85"/>
        <v>0.48687030546847682</v>
      </c>
      <c r="H156" s="29">
        <f>'SGTO POAI 2023 MARZO'!BH274+'SGTO POAI 2023 MARZO'!BH275+'SGTO POAI 2023 MARZO'!BH276</f>
        <v>3900000</v>
      </c>
      <c r="I156" s="381">
        <f t="shared" si="86"/>
        <v>8.3476888610023753E-2</v>
      </c>
    </row>
    <row r="157" spans="1:9" s="18" customFormat="1" ht="57.75" customHeight="1">
      <c r="A157" s="31"/>
      <c r="B157" s="7"/>
      <c r="C157" s="45">
        <v>3904</v>
      </c>
      <c r="D157" s="20" t="s">
        <v>1178</v>
      </c>
      <c r="E157" s="29">
        <f>'SGTO POAI 2023 MARZO'!BF277</f>
        <v>28400000</v>
      </c>
      <c r="F157" s="29">
        <f>'SGTO POAI 2023 MARZO'!BG277</f>
        <v>9900000</v>
      </c>
      <c r="G157" s="381">
        <f t="shared" si="85"/>
        <v>0.34859154929577463</v>
      </c>
      <c r="H157" s="29">
        <f>'SGTO POAI 2023 MARZO'!BH277</f>
        <v>0</v>
      </c>
      <c r="I157" s="381">
        <f t="shared" si="86"/>
        <v>0</v>
      </c>
    </row>
    <row r="158" spans="1:9" s="4" customFormat="1" ht="24" customHeight="1">
      <c r="A158" s="98">
        <v>4</v>
      </c>
      <c r="B158" s="99" t="s">
        <v>1280</v>
      </c>
      <c r="C158" s="99"/>
      <c r="D158" s="99"/>
      <c r="E158" s="100">
        <f>E159</f>
        <v>367000000</v>
      </c>
      <c r="F158" s="100">
        <f t="shared" ref="F158:H159" si="91">F159</f>
        <v>94550000</v>
      </c>
      <c r="G158" s="381">
        <f t="shared" si="85"/>
        <v>0.25762942779291553</v>
      </c>
      <c r="H158" s="100">
        <f t="shared" si="91"/>
        <v>42400000</v>
      </c>
      <c r="I158" s="381">
        <f t="shared" si="86"/>
        <v>0.11553133514986376</v>
      </c>
    </row>
    <row r="159" spans="1:9" ht="24" customHeight="1">
      <c r="A159" s="13"/>
      <c r="B159" s="104">
        <v>23</v>
      </c>
      <c r="C159" s="105" t="s">
        <v>1126</v>
      </c>
      <c r="D159" s="106"/>
      <c r="E159" s="107">
        <f>E160</f>
        <v>367000000</v>
      </c>
      <c r="F159" s="107">
        <f t="shared" si="91"/>
        <v>94550000</v>
      </c>
      <c r="G159" s="381">
        <f t="shared" si="85"/>
        <v>0.25762942779291553</v>
      </c>
      <c r="H159" s="107">
        <f t="shared" si="91"/>
        <v>42400000</v>
      </c>
      <c r="I159" s="381">
        <f t="shared" si="86"/>
        <v>0.11553133514986376</v>
      </c>
    </row>
    <row r="160" spans="1:9" s="18" customFormat="1" ht="99.75" customHeight="1">
      <c r="A160" s="31"/>
      <c r="B160" s="22"/>
      <c r="C160" s="14">
        <v>2302</v>
      </c>
      <c r="D160" s="23" t="s">
        <v>1152</v>
      </c>
      <c r="E160" s="29">
        <f>'SGTO POAI 2023 MARZO'!BF278+'SGTO POAI 2023 MARZO'!BF279+'SGTO POAI 2023 MARZO'!BF280+'SGTO POAI 2023 MARZO'!BF281+'SGTO POAI 2023 MARZO'!BF282+'SGTO POAI 2023 MARZO'!BF283</f>
        <v>367000000</v>
      </c>
      <c r="F160" s="29">
        <f>'SGTO POAI 2023 MARZO'!BG278+'SGTO POAI 2023 MARZO'!BG279+'SGTO POAI 2023 MARZO'!BG280+'SGTO POAI 2023 MARZO'!BG281+'SGTO POAI 2023 MARZO'!BG282+'SGTO POAI 2023 MARZO'!BG283</f>
        <v>94550000</v>
      </c>
      <c r="G160" s="381">
        <f t="shared" si="85"/>
        <v>0.25762942779291553</v>
      </c>
      <c r="H160" s="29">
        <f>'SGTO POAI 2023 MARZO'!BH278+'SGTO POAI 2023 MARZO'!BH279+'SGTO POAI 2023 MARZO'!BH280+'SGTO POAI 2023 MARZO'!BH281+'SGTO POAI 2023 MARZO'!BH282+'SGTO POAI 2023 MARZO'!BH283</f>
        <v>42400000</v>
      </c>
      <c r="I160" s="381">
        <f t="shared" si="86"/>
        <v>0.11553133514986376</v>
      </c>
    </row>
    <row r="161" spans="1:9" s="39" customFormat="1" ht="18.75" customHeight="1">
      <c r="A161" s="5"/>
      <c r="B161" s="5"/>
      <c r="C161" s="5"/>
      <c r="D161" s="6"/>
      <c r="E161" s="38"/>
      <c r="F161" s="38"/>
      <c r="G161" s="38"/>
      <c r="H161" s="38"/>
    </row>
    <row r="162" spans="1:9" s="9" customFormat="1" ht="30" customHeight="1">
      <c r="A162" s="78" t="s">
        <v>1306</v>
      </c>
      <c r="B162" s="80"/>
      <c r="C162" s="78"/>
      <c r="D162" s="81"/>
      <c r="E162" s="82">
        <f>E6+E12+E18+E23+E53+E75+E81+E88+E108+E114+E123+E142+E149</f>
        <v>406043234113.46997</v>
      </c>
      <c r="F162" s="82">
        <f t="shared" ref="F162:H162" si="92">F6+F12+F18+F23+F53+F75+F81+F88+F108+F114+F123+F142+F149</f>
        <v>116985631153.91</v>
      </c>
      <c r="G162" s="381">
        <f>F162/E162</f>
        <v>0.28811126827252592</v>
      </c>
      <c r="H162" s="82">
        <f t="shared" si="92"/>
        <v>53381739244.400002</v>
      </c>
      <c r="I162" s="381">
        <f>H162/E162</f>
        <v>0.13146811659342245</v>
      </c>
    </row>
    <row r="163" spans="1:9" s="39" customFormat="1" ht="29.25" customHeight="1">
      <c r="A163" s="5"/>
      <c r="B163" s="5"/>
      <c r="C163" s="5"/>
      <c r="D163" s="6"/>
      <c r="E163" s="38"/>
      <c r="F163" s="38"/>
      <c r="G163" s="38"/>
      <c r="H163" s="38"/>
    </row>
    <row r="164" spans="1:9" ht="24" customHeight="1">
      <c r="A164" s="56" t="s">
        <v>1307</v>
      </c>
      <c r="B164" s="62"/>
      <c r="C164" s="125"/>
      <c r="D164" s="124"/>
      <c r="E164" s="64">
        <f>E165</f>
        <v>9310061302.6199989</v>
      </c>
      <c r="F164" s="64">
        <f t="shared" ref="F164:H165" si="93">F165</f>
        <v>2357978628</v>
      </c>
      <c r="G164" s="381">
        <f t="shared" ref="G164:G168" si="94">F164/E164</f>
        <v>0.2532720839696756</v>
      </c>
      <c r="H164" s="64">
        <f t="shared" si="93"/>
        <v>436643218</v>
      </c>
      <c r="I164" s="381">
        <f t="shared" ref="I164:I168" si="95">H164/E164</f>
        <v>4.6900144242564938E-2</v>
      </c>
    </row>
    <row r="165" spans="1:9" ht="24" customHeight="1">
      <c r="A165" s="98">
        <v>1</v>
      </c>
      <c r="B165" s="99" t="s">
        <v>1286</v>
      </c>
      <c r="C165" s="99"/>
      <c r="D165" s="99"/>
      <c r="E165" s="100">
        <f>E166</f>
        <v>9310061302.6199989</v>
      </c>
      <c r="F165" s="100">
        <f t="shared" si="93"/>
        <v>2357978628</v>
      </c>
      <c r="G165" s="381">
        <f t="shared" si="94"/>
        <v>0.2532720839696756</v>
      </c>
      <c r="H165" s="100">
        <f t="shared" si="93"/>
        <v>436643218</v>
      </c>
      <c r="I165" s="381">
        <f t="shared" si="95"/>
        <v>4.6900144242564938E-2</v>
      </c>
    </row>
    <row r="166" spans="1:9" ht="24" customHeight="1">
      <c r="A166" s="13"/>
      <c r="B166" s="104">
        <v>43</v>
      </c>
      <c r="C166" s="105" t="s">
        <v>189</v>
      </c>
      <c r="D166" s="106"/>
      <c r="E166" s="107">
        <f>SUM(E167:E168)</f>
        <v>9310061302.6199989</v>
      </c>
      <c r="F166" s="107">
        <f t="shared" ref="F166:H166" si="96">SUM(F167:F168)</f>
        <v>2357978628</v>
      </c>
      <c r="G166" s="381">
        <f t="shared" si="94"/>
        <v>0.2532720839696756</v>
      </c>
      <c r="H166" s="107">
        <f t="shared" si="96"/>
        <v>436643218</v>
      </c>
      <c r="I166" s="381">
        <f t="shared" si="95"/>
        <v>4.6900144242564938E-2</v>
      </c>
    </row>
    <row r="167" spans="1:9" ht="76.5" customHeight="1">
      <c r="A167" s="26"/>
      <c r="B167" s="27"/>
      <c r="C167" s="22">
        <v>4301</v>
      </c>
      <c r="D167" s="46" t="s">
        <v>1287</v>
      </c>
      <c r="E167" s="29">
        <f>SUM('SGTO POAI 2023 MARZO'!BF284:BF287)</f>
        <v>3201224324.0799999</v>
      </c>
      <c r="F167" s="29">
        <f>SUM('SGTO POAI 2023 MARZO'!BG284:BG287)</f>
        <v>536975000</v>
      </c>
      <c r="G167" s="381">
        <f t="shared" si="94"/>
        <v>0.16774050976709395</v>
      </c>
      <c r="H167" s="29">
        <f>SUM('SGTO POAI 2023 MARZO'!BH284:BH287)</f>
        <v>168200000</v>
      </c>
      <c r="I167" s="381">
        <f t="shared" si="95"/>
        <v>5.25423972118352E-2</v>
      </c>
    </row>
    <row r="168" spans="1:9" ht="37.5" customHeight="1">
      <c r="A168" s="30"/>
      <c r="B168" s="31"/>
      <c r="C168" s="22">
        <v>4302</v>
      </c>
      <c r="D168" s="46" t="s">
        <v>1211</v>
      </c>
      <c r="E168" s="29">
        <f>SUM('SGTO POAI 2023 MARZO'!BF288:BF289)</f>
        <v>6108836978.539999</v>
      </c>
      <c r="F168" s="29">
        <f>SUM('SGTO POAI 2023 MARZO'!BG288:BG289)</f>
        <v>1821003628</v>
      </c>
      <c r="G168" s="381">
        <f t="shared" si="94"/>
        <v>0.2980933415635551</v>
      </c>
      <c r="H168" s="29">
        <f>SUM('SGTO POAI 2023 MARZO'!BH288:BH289)</f>
        <v>268443218</v>
      </c>
      <c r="I168" s="381">
        <f t="shared" si="95"/>
        <v>4.3943424737478823E-2</v>
      </c>
    </row>
    <row r="169" spans="1:9" s="39" customFormat="1" ht="18.75" customHeight="1">
      <c r="A169" s="5"/>
      <c r="B169" s="5"/>
      <c r="C169" s="5"/>
      <c r="D169" s="6"/>
      <c r="E169" s="38"/>
      <c r="F169" s="38"/>
      <c r="G169" s="38"/>
      <c r="H169" s="38"/>
    </row>
    <row r="170" spans="1:9" s="39" customFormat="1" ht="24" customHeight="1">
      <c r="A170" s="56" t="s">
        <v>1308</v>
      </c>
      <c r="B170" s="62"/>
      <c r="C170" s="62"/>
      <c r="D170" s="63"/>
      <c r="E170" s="64">
        <f>E171+E176+E182</f>
        <v>4454923248</v>
      </c>
      <c r="F170" s="64">
        <f t="shared" ref="F170:H170" si="97">F171+F176+F182</f>
        <v>778829000</v>
      </c>
      <c r="G170" s="381">
        <f t="shared" ref="G170:G184" si="98">F170/E170</f>
        <v>0.17482433627776836</v>
      </c>
      <c r="H170" s="64">
        <f t="shared" si="97"/>
        <v>198298500</v>
      </c>
      <c r="I170" s="381">
        <f t="shared" ref="I170:I184" si="99">H170/E170</f>
        <v>4.4512214680471639E-2</v>
      </c>
    </row>
    <row r="171" spans="1:9" s="39" customFormat="1" ht="24" customHeight="1">
      <c r="A171" s="98">
        <v>1</v>
      </c>
      <c r="B171" s="99" t="s">
        <v>1286</v>
      </c>
      <c r="C171" s="99"/>
      <c r="D171" s="99"/>
      <c r="E171" s="100">
        <f>E172+E174</f>
        <v>2508923248</v>
      </c>
      <c r="F171" s="100">
        <f t="shared" ref="F171:H171" si="100">F172+F174</f>
        <v>478409000</v>
      </c>
      <c r="G171" s="381">
        <f t="shared" si="98"/>
        <v>0.19068299533728902</v>
      </c>
      <c r="H171" s="100">
        <f t="shared" si="100"/>
        <v>124080750</v>
      </c>
      <c r="I171" s="381">
        <f t="shared" si="99"/>
        <v>4.9455777532816741E-2</v>
      </c>
    </row>
    <row r="172" spans="1:9" ht="24" customHeight="1">
      <c r="A172" s="13"/>
      <c r="B172" s="104">
        <v>43</v>
      </c>
      <c r="C172" s="105" t="s">
        <v>189</v>
      </c>
      <c r="D172" s="106"/>
      <c r="E172" s="107">
        <f>E173</f>
        <v>1370000000</v>
      </c>
      <c r="F172" s="107">
        <f t="shared" ref="F172:H172" si="101">F173</f>
        <v>228365000</v>
      </c>
      <c r="G172" s="381">
        <f t="shared" si="98"/>
        <v>0.1666897810218978</v>
      </c>
      <c r="H172" s="107">
        <f t="shared" si="101"/>
        <v>62293958</v>
      </c>
      <c r="I172" s="381">
        <f t="shared" si="99"/>
        <v>4.5470042335766424E-2</v>
      </c>
    </row>
    <row r="173" spans="1:9" s="39" customFormat="1" ht="76.5" customHeight="1">
      <c r="A173" s="47"/>
      <c r="B173" s="28"/>
      <c r="C173" s="12">
        <v>4301</v>
      </c>
      <c r="D173" s="23" t="s">
        <v>1287</v>
      </c>
      <c r="E173" s="29">
        <f>'SGTO POAI 2023 MARZO'!BF290</f>
        <v>1370000000</v>
      </c>
      <c r="F173" s="29">
        <f>'SGTO POAI 2023 MARZO'!BG290</f>
        <v>228365000</v>
      </c>
      <c r="G173" s="381">
        <f t="shared" si="98"/>
        <v>0.1666897810218978</v>
      </c>
      <c r="H173" s="29">
        <f>'SGTO POAI 2023 MARZO'!BH290</f>
        <v>62293958</v>
      </c>
      <c r="I173" s="381">
        <f t="shared" si="99"/>
        <v>4.5470042335766424E-2</v>
      </c>
    </row>
    <row r="174" spans="1:9" ht="24" customHeight="1">
      <c r="A174" s="40"/>
      <c r="B174" s="108">
        <v>22</v>
      </c>
      <c r="C174" s="110" t="s">
        <v>160</v>
      </c>
      <c r="D174" s="111"/>
      <c r="E174" s="107">
        <f>E175</f>
        <v>1138923248</v>
      </c>
      <c r="F174" s="107">
        <f t="shared" ref="F174:H174" si="102">F175</f>
        <v>250044000</v>
      </c>
      <c r="G174" s="381">
        <f t="shared" si="98"/>
        <v>0.21954420584450129</v>
      </c>
      <c r="H174" s="107">
        <f t="shared" si="102"/>
        <v>61786792</v>
      </c>
      <c r="I174" s="381">
        <f t="shared" si="99"/>
        <v>5.4250180693475494E-2</v>
      </c>
    </row>
    <row r="175" spans="1:9" s="39" customFormat="1" ht="53.25" customHeight="1">
      <c r="A175" s="48"/>
      <c r="B175" s="28"/>
      <c r="C175" s="12">
        <v>2201</v>
      </c>
      <c r="D175" s="23" t="s">
        <v>297</v>
      </c>
      <c r="E175" s="29">
        <f>'SGTO POAI 2023 MARZO'!BF291</f>
        <v>1138923248</v>
      </c>
      <c r="F175" s="29">
        <f>'SGTO POAI 2023 MARZO'!BG291</f>
        <v>250044000</v>
      </c>
      <c r="G175" s="381">
        <f t="shared" si="98"/>
        <v>0.21954420584450129</v>
      </c>
      <c r="H175" s="29">
        <f>'SGTO POAI 2023 MARZO'!BH291</f>
        <v>61786792</v>
      </c>
      <c r="I175" s="381">
        <f t="shared" si="99"/>
        <v>5.4250180693475494E-2</v>
      </c>
    </row>
    <row r="176" spans="1:9" s="39" customFormat="1" ht="24" customHeight="1">
      <c r="A176" s="98">
        <v>3</v>
      </c>
      <c r="B176" s="99" t="s">
        <v>1290</v>
      </c>
      <c r="C176" s="99"/>
      <c r="D176" s="99"/>
      <c r="E176" s="100">
        <f>E177+E179</f>
        <v>1560000000</v>
      </c>
      <c r="F176" s="100">
        <f t="shared" ref="F176:H176" si="103">F177+F179</f>
        <v>237405000</v>
      </c>
      <c r="G176" s="381">
        <f t="shared" si="98"/>
        <v>0.1521826923076923</v>
      </c>
      <c r="H176" s="100">
        <f t="shared" si="103"/>
        <v>56025750</v>
      </c>
      <c r="I176" s="381">
        <f t="shared" si="99"/>
        <v>3.5913942307692306E-2</v>
      </c>
    </row>
    <row r="177" spans="1:9" ht="24" customHeight="1">
      <c r="A177" s="13"/>
      <c r="B177" s="104">
        <v>24</v>
      </c>
      <c r="C177" s="105" t="s">
        <v>212</v>
      </c>
      <c r="D177" s="106"/>
      <c r="E177" s="107">
        <f>E178</f>
        <v>520000000</v>
      </c>
      <c r="F177" s="107">
        <f t="shared" ref="F177:H177" si="104">F178</f>
        <v>88475000</v>
      </c>
      <c r="G177" s="381">
        <f t="shared" si="98"/>
        <v>0.17014423076923077</v>
      </c>
      <c r="H177" s="107">
        <f t="shared" si="104"/>
        <v>23837000</v>
      </c>
      <c r="I177" s="381">
        <f t="shared" si="99"/>
        <v>4.5840384615384616E-2</v>
      </c>
    </row>
    <row r="178" spans="1:9" s="39" customFormat="1" ht="42" customHeight="1">
      <c r="A178" s="47"/>
      <c r="B178" s="28"/>
      <c r="C178" s="12">
        <v>2402</v>
      </c>
      <c r="D178" s="24" t="s">
        <v>213</v>
      </c>
      <c r="E178" s="49">
        <f>'SGTO POAI 2023 MARZO'!BF292</f>
        <v>520000000</v>
      </c>
      <c r="F178" s="49">
        <f>'SGTO POAI 2023 MARZO'!BG292</f>
        <v>88475000</v>
      </c>
      <c r="G178" s="381">
        <f t="shared" si="98"/>
        <v>0.17014423076923077</v>
      </c>
      <c r="H178" s="49">
        <f>'SGTO POAI 2023 MARZO'!BH292</f>
        <v>23837000</v>
      </c>
      <c r="I178" s="381">
        <f t="shared" si="99"/>
        <v>4.5840384615384616E-2</v>
      </c>
    </row>
    <row r="179" spans="1:9" ht="24" customHeight="1">
      <c r="A179" s="40"/>
      <c r="B179" s="108">
        <v>40</v>
      </c>
      <c r="C179" s="109" t="s">
        <v>1291</v>
      </c>
      <c r="D179" s="106"/>
      <c r="E179" s="107">
        <f>E180+E181</f>
        <v>1040000000</v>
      </c>
      <c r="F179" s="107">
        <f>F180+F181</f>
        <v>148930000</v>
      </c>
      <c r="G179" s="381">
        <f t="shared" si="98"/>
        <v>0.14320192307692309</v>
      </c>
      <c r="H179" s="107">
        <f>H180+H181</f>
        <v>32188750</v>
      </c>
      <c r="I179" s="381">
        <f t="shared" si="99"/>
        <v>3.0950721153846155E-2</v>
      </c>
    </row>
    <row r="180" spans="1:9" s="39" customFormat="1" ht="44.25" customHeight="1">
      <c r="A180" s="48"/>
      <c r="B180" s="28"/>
      <c r="C180" s="12">
        <v>4001</v>
      </c>
      <c r="D180" s="50" t="s">
        <v>241</v>
      </c>
      <c r="E180" s="49">
        <f>'SGTO POAI 2023 MARZO'!BF293+'SGTO POAI 2023 MARZO'!BF294+'SGTO POAI 2023 MARZO'!BF295+'SGTO POAI 2023 MARZO'!BF296+'SGTO POAI 2023 MARZO'!BF297+'SGTO POAI 2023 MARZO'!BF298+'SGTO POAI 2023 MARZO'!BF299</f>
        <v>910000000</v>
      </c>
      <c r="F180" s="49">
        <f>'SGTO POAI 2023 MARZO'!BG293+'SGTO POAI 2023 MARZO'!BG294+'SGTO POAI 2023 MARZO'!BG295+'SGTO POAI 2023 MARZO'!BG296+'SGTO POAI 2023 MARZO'!BG297+'SGTO POAI 2023 MARZO'!BG298+'SGTO POAI 2023 MARZO'!BG299</f>
        <v>148930000</v>
      </c>
      <c r="G180" s="381">
        <f t="shared" si="98"/>
        <v>0.16365934065934065</v>
      </c>
      <c r="H180" s="49">
        <f>'SGTO POAI 2023 MARZO'!BH293+'SGTO POAI 2023 MARZO'!BH294+'SGTO POAI 2023 MARZO'!BH295+'SGTO POAI 2023 MARZO'!BH296+'SGTO POAI 2023 MARZO'!BH297+'SGTO POAI 2023 MARZO'!BH298+'SGTO POAI 2023 MARZO'!BH299</f>
        <v>32188750</v>
      </c>
      <c r="I180" s="381">
        <f t="shared" si="99"/>
        <v>3.5372252747252746E-2</v>
      </c>
    </row>
    <row r="181" spans="1:9" s="39" customFormat="1" ht="52.5" customHeight="1">
      <c r="A181" s="252"/>
      <c r="B181" s="28"/>
      <c r="C181" s="12">
        <v>4003</v>
      </c>
      <c r="D181" s="50" t="s">
        <v>249</v>
      </c>
      <c r="E181" s="49">
        <f>'SGTO POAI 2023 MARZO'!BF300</f>
        <v>130000000</v>
      </c>
      <c r="F181" s="49">
        <f>'SGTO POAI 2023 MARZO'!BG300</f>
        <v>0</v>
      </c>
      <c r="G181" s="381"/>
      <c r="H181" s="49">
        <f>'SGTO POAI 2023 MARZO'!BH300</f>
        <v>0</v>
      </c>
      <c r="I181" s="381"/>
    </row>
    <row r="182" spans="1:9" ht="24" customHeight="1">
      <c r="A182" s="98">
        <v>4</v>
      </c>
      <c r="B182" s="99" t="s">
        <v>1280</v>
      </c>
      <c r="C182" s="99"/>
      <c r="D182" s="99"/>
      <c r="E182" s="100">
        <f>E183</f>
        <v>386000000</v>
      </c>
      <c r="F182" s="100">
        <f t="shared" ref="F182:H182" si="105">F183</f>
        <v>63015000</v>
      </c>
      <c r="G182" s="381">
        <f t="shared" si="98"/>
        <v>0.16325129533678756</v>
      </c>
      <c r="H182" s="100">
        <f t="shared" si="105"/>
        <v>18192000</v>
      </c>
      <c r="I182" s="381">
        <f t="shared" si="99"/>
        <v>4.7129533678756476E-2</v>
      </c>
    </row>
    <row r="183" spans="1:9" ht="24" customHeight="1">
      <c r="A183" s="13"/>
      <c r="B183" s="104">
        <v>45</v>
      </c>
      <c r="C183" s="105" t="s">
        <v>60</v>
      </c>
      <c r="D183" s="106"/>
      <c r="E183" s="107">
        <f>SUM(E184:E184)</f>
        <v>386000000</v>
      </c>
      <c r="F183" s="107">
        <f t="shared" ref="F183:H183" si="106">SUM(F184:F184)</f>
        <v>63015000</v>
      </c>
      <c r="G183" s="381">
        <f t="shared" si="98"/>
        <v>0.16325129533678756</v>
      </c>
      <c r="H183" s="107">
        <f t="shared" si="106"/>
        <v>18192000</v>
      </c>
      <c r="I183" s="381">
        <f t="shared" si="99"/>
        <v>4.7129533678756476E-2</v>
      </c>
    </row>
    <row r="184" spans="1:9" ht="53.25" customHeight="1">
      <c r="A184" s="12"/>
      <c r="B184" s="12"/>
      <c r="C184" s="12">
        <v>4599</v>
      </c>
      <c r="D184" s="23" t="s">
        <v>1282</v>
      </c>
      <c r="E184" s="29">
        <f>'SGTO POAI 2023 MARZO'!BF301</f>
        <v>386000000</v>
      </c>
      <c r="F184" s="29">
        <f>'SGTO POAI 2023 MARZO'!BG301</f>
        <v>63015000</v>
      </c>
      <c r="G184" s="381">
        <f t="shared" si="98"/>
        <v>0.16325129533678756</v>
      </c>
      <c r="H184" s="29">
        <f>'SGTO POAI 2023 MARZO'!BH301</f>
        <v>18192000</v>
      </c>
      <c r="I184" s="381">
        <f t="shared" si="99"/>
        <v>4.7129533678756476E-2</v>
      </c>
    </row>
    <row r="185" spans="1:9" s="39" customFormat="1" ht="18.75" customHeight="1">
      <c r="A185" s="5"/>
      <c r="B185" s="5"/>
      <c r="C185" s="5"/>
      <c r="D185" s="6"/>
      <c r="E185" s="38"/>
      <c r="F185" s="38"/>
      <c r="G185" s="38"/>
      <c r="H185" s="38"/>
    </row>
    <row r="186" spans="1:9" ht="24" customHeight="1">
      <c r="A186" s="56" t="s">
        <v>1309</v>
      </c>
      <c r="B186" s="62"/>
      <c r="C186" s="62"/>
      <c r="D186" s="63"/>
      <c r="E186" s="64">
        <f>E187</f>
        <v>118932650</v>
      </c>
      <c r="F186" s="64">
        <f t="shared" ref="F186:H188" si="107">F187</f>
        <v>61000000</v>
      </c>
      <c r="G186" s="381">
        <f t="shared" ref="G186:G189" si="108">F186/E186</f>
        <v>0.51289532352974565</v>
      </c>
      <c r="H186" s="64">
        <f t="shared" si="107"/>
        <v>25750000</v>
      </c>
      <c r="I186" s="381">
        <f t="shared" ref="I186:I189" si="109">H186/E186</f>
        <v>0.21650909149001557</v>
      </c>
    </row>
    <row r="187" spans="1:9" ht="24" customHeight="1">
      <c r="A187" s="98">
        <v>3</v>
      </c>
      <c r="B187" s="99" t="s">
        <v>1290</v>
      </c>
      <c r="C187" s="99"/>
      <c r="D187" s="99"/>
      <c r="E187" s="100">
        <f>E188</f>
        <v>118932650</v>
      </c>
      <c r="F187" s="100">
        <f t="shared" si="107"/>
        <v>61000000</v>
      </c>
      <c r="G187" s="381">
        <f t="shared" si="108"/>
        <v>0.51289532352974565</v>
      </c>
      <c r="H187" s="100">
        <f t="shared" si="107"/>
        <v>25750000</v>
      </c>
      <c r="I187" s="381">
        <f t="shared" si="109"/>
        <v>0.21650909149001557</v>
      </c>
    </row>
    <row r="188" spans="1:9" ht="24" customHeight="1">
      <c r="A188" s="13"/>
      <c r="B188" s="104">
        <v>24</v>
      </c>
      <c r="C188" s="105" t="s">
        <v>212</v>
      </c>
      <c r="D188" s="106"/>
      <c r="E188" s="107">
        <f>E189</f>
        <v>118932650</v>
      </c>
      <c r="F188" s="107">
        <f t="shared" si="107"/>
        <v>61000000</v>
      </c>
      <c r="G188" s="381">
        <f t="shared" si="108"/>
        <v>0.51289532352974565</v>
      </c>
      <c r="H188" s="107">
        <f t="shared" si="107"/>
        <v>25750000</v>
      </c>
      <c r="I188" s="381">
        <f t="shared" si="109"/>
        <v>0.21650909149001557</v>
      </c>
    </row>
    <row r="189" spans="1:9" ht="54" customHeight="1">
      <c r="A189" s="31"/>
      <c r="B189" s="22"/>
      <c r="C189" s="12">
        <v>2409</v>
      </c>
      <c r="D189" s="23" t="s">
        <v>1257</v>
      </c>
      <c r="E189" s="29">
        <f>'SGTO POAI 2023 MARZO'!BF302+'SGTO POAI 2023 MARZO'!BF303+'SGTO POAI 2023 MARZO'!BF304+'SGTO POAI 2023 MARZO'!BF305</f>
        <v>118932650</v>
      </c>
      <c r="F189" s="29">
        <f>'SGTO POAI 2023 MARZO'!BG302+'SGTO POAI 2023 MARZO'!BG303+'SGTO POAI 2023 MARZO'!BG304+'SGTO POAI 2023 MARZO'!BG305</f>
        <v>61000000</v>
      </c>
      <c r="G189" s="381">
        <f t="shared" si="108"/>
        <v>0.51289532352974565</v>
      </c>
      <c r="H189" s="29">
        <f>'SGTO POAI 2023 MARZO'!BH302+'SGTO POAI 2023 MARZO'!BH303+'SGTO POAI 2023 MARZO'!BH304+'SGTO POAI 2023 MARZO'!BH305</f>
        <v>25750000</v>
      </c>
      <c r="I189" s="381">
        <f t="shared" si="109"/>
        <v>0.21650909149001557</v>
      </c>
    </row>
    <row r="190" spans="1:9" s="39" customFormat="1" ht="23.25" customHeight="1">
      <c r="A190" s="5"/>
      <c r="B190" s="5"/>
      <c r="C190" s="5"/>
      <c r="D190" s="6"/>
      <c r="E190" s="51"/>
      <c r="F190" s="51"/>
      <c r="G190" s="51"/>
      <c r="H190" s="51"/>
    </row>
    <row r="191" spans="1:9" s="9" customFormat="1" ht="30" customHeight="1">
      <c r="A191" s="78" t="s">
        <v>1310</v>
      </c>
      <c r="B191" s="78"/>
      <c r="C191" s="78"/>
      <c r="D191" s="78"/>
      <c r="E191" s="79">
        <f>E186+E170+E164</f>
        <v>13883917200.619999</v>
      </c>
      <c r="F191" s="79">
        <f>F186+F170+F164</f>
        <v>3197807628</v>
      </c>
      <c r="G191" s="381">
        <f>F191/E191</f>
        <v>0.23032459656682475</v>
      </c>
      <c r="H191" s="79">
        <f>H186+H170+H164</f>
        <v>660691718</v>
      </c>
      <c r="I191" s="381">
        <f>H191/E191</f>
        <v>4.7586837954528872E-2</v>
      </c>
    </row>
    <row r="192" spans="1:9" s="9" customFormat="1" ht="16.5" thickBot="1">
      <c r="A192" s="52"/>
      <c r="B192" s="52"/>
      <c r="C192" s="52"/>
      <c r="D192" s="53"/>
      <c r="E192" s="54"/>
      <c r="F192" s="54"/>
      <c r="G192" s="54"/>
      <c r="H192" s="54"/>
    </row>
    <row r="193" spans="1:9" s="9" customFormat="1" ht="30" customHeight="1" thickBot="1">
      <c r="A193" s="74" t="s">
        <v>1311</v>
      </c>
      <c r="B193" s="75"/>
      <c r="C193" s="75"/>
      <c r="D193" s="76"/>
      <c r="E193" s="77">
        <f>E162+E191</f>
        <v>419927151314.08997</v>
      </c>
      <c r="F193" s="77">
        <f>F162+F191</f>
        <v>120183438781.91</v>
      </c>
      <c r="G193" s="382">
        <f>F193/E193</f>
        <v>0.28620068601379206</v>
      </c>
      <c r="H193" s="77">
        <f>H162+H191</f>
        <v>54042430962.400002</v>
      </c>
      <c r="I193" s="382">
        <f>H193/E193</f>
        <v>0.12869477668515475</v>
      </c>
    </row>
    <row r="195" spans="1:9" ht="28.5" customHeight="1"/>
    <row r="197" spans="1:9" ht="15.75" thickBot="1"/>
    <row r="198" spans="1:9" ht="15.75">
      <c r="E198" s="518" t="s">
        <v>1508</v>
      </c>
      <c r="F198" s="519"/>
    </row>
    <row r="199" spans="1:9">
      <c r="E199" s="520" t="s">
        <v>1500</v>
      </c>
      <c r="F199" s="521"/>
    </row>
    <row r="200" spans="1:9">
      <c r="E200" s="522" t="s">
        <v>1502</v>
      </c>
      <c r="F200" s="523"/>
    </row>
    <row r="201" spans="1:9">
      <c r="E201" s="503" t="s">
        <v>1504</v>
      </c>
      <c r="F201" s="504"/>
    </row>
    <row r="202" spans="1:9">
      <c r="E202" s="505" t="s">
        <v>1506</v>
      </c>
      <c r="F202" s="506"/>
    </row>
    <row r="203" spans="1:9">
      <c r="E203" s="507" t="s">
        <v>1507</v>
      </c>
      <c r="F203" s="508"/>
    </row>
  </sheetData>
  <mergeCells count="8">
    <mergeCell ref="E201:F201"/>
    <mergeCell ref="E202:F202"/>
    <mergeCell ref="E203:F203"/>
    <mergeCell ref="C5:D5"/>
    <mergeCell ref="A1:I3"/>
    <mergeCell ref="E198:F198"/>
    <mergeCell ref="E199:F199"/>
    <mergeCell ref="E200:F200"/>
  </mergeCells>
  <conditionalFormatting sqref="G6">
    <cfRule type="cellIs" dxfId="479" priority="206" operator="between">
      <formula>0</formula>
      <formula>0.3999</formula>
    </cfRule>
    <cfRule type="cellIs" dxfId="478" priority="207" operator="between">
      <formula>0.3955</formula>
      <formula>0.5949</formula>
    </cfRule>
    <cfRule type="cellIs" dxfId="477" priority="208" operator="between">
      <formula>0.595</formula>
      <formula>0.6949</formula>
    </cfRule>
    <cfRule type="cellIs" dxfId="476" priority="209" operator="between">
      <formula>0.695</formula>
      <formula>0.7949</formula>
    </cfRule>
    <cfRule type="cellIs" dxfId="475" priority="210" operator="between">
      <formula>0.795</formula>
      <formula>1</formula>
    </cfRule>
  </conditionalFormatting>
  <conditionalFormatting sqref="G7:G10">
    <cfRule type="cellIs" dxfId="474" priority="201" operator="between">
      <formula>0</formula>
      <formula>0.3999</formula>
    </cfRule>
    <cfRule type="cellIs" dxfId="473" priority="202" operator="between">
      <formula>0.3955</formula>
      <formula>0.5949</formula>
    </cfRule>
    <cfRule type="cellIs" dxfId="472" priority="203" operator="between">
      <formula>0.595</formula>
      <formula>0.6949</formula>
    </cfRule>
    <cfRule type="cellIs" dxfId="471" priority="204" operator="between">
      <formula>0.695</formula>
      <formula>0.7949</formula>
    </cfRule>
    <cfRule type="cellIs" dxfId="470" priority="205" operator="between">
      <formula>0.795</formula>
      <formula>1</formula>
    </cfRule>
  </conditionalFormatting>
  <conditionalFormatting sqref="G12:G16">
    <cfRule type="cellIs" dxfId="469" priority="196" operator="between">
      <formula>0</formula>
      <formula>0.3999</formula>
    </cfRule>
    <cfRule type="cellIs" dxfId="468" priority="197" operator="between">
      <formula>0.3955</formula>
      <formula>0.5949</formula>
    </cfRule>
    <cfRule type="cellIs" dxfId="467" priority="198" operator="between">
      <formula>0.595</formula>
      <formula>0.6949</formula>
    </cfRule>
    <cfRule type="cellIs" dxfId="466" priority="199" operator="between">
      <formula>0.695</formula>
      <formula>0.7949</formula>
    </cfRule>
    <cfRule type="cellIs" dxfId="465" priority="200" operator="between">
      <formula>0.795</formula>
      <formula>1</formula>
    </cfRule>
  </conditionalFormatting>
  <conditionalFormatting sqref="G18:G21">
    <cfRule type="cellIs" dxfId="464" priority="191" operator="between">
      <formula>0</formula>
      <formula>0.3999</formula>
    </cfRule>
    <cfRule type="cellIs" dxfId="463" priority="192" operator="between">
      <formula>0.3955</formula>
      <formula>0.5949</formula>
    </cfRule>
    <cfRule type="cellIs" dxfId="462" priority="193" operator="between">
      <formula>0.595</formula>
      <formula>0.6949</formula>
    </cfRule>
    <cfRule type="cellIs" dxfId="461" priority="194" operator="between">
      <formula>0.695</formula>
      <formula>0.7949</formula>
    </cfRule>
    <cfRule type="cellIs" dxfId="460" priority="195" operator="between">
      <formula>0.795</formula>
      <formula>1</formula>
    </cfRule>
  </conditionalFormatting>
  <conditionalFormatting sqref="G23:G51">
    <cfRule type="cellIs" dxfId="459" priority="186" operator="between">
      <formula>0</formula>
      <formula>0.3999</formula>
    </cfRule>
    <cfRule type="cellIs" dxfId="458" priority="187" operator="between">
      <formula>0.3955</formula>
      <formula>0.5949</formula>
    </cfRule>
    <cfRule type="cellIs" dxfId="457" priority="188" operator="between">
      <formula>0.595</formula>
      <formula>0.6949</formula>
    </cfRule>
    <cfRule type="cellIs" dxfId="456" priority="189" operator="between">
      <formula>0.695</formula>
      <formula>0.7949</formula>
    </cfRule>
    <cfRule type="cellIs" dxfId="455" priority="190" operator="between">
      <formula>0.795</formula>
      <formula>1</formula>
    </cfRule>
  </conditionalFormatting>
  <conditionalFormatting sqref="G53:G73">
    <cfRule type="cellIs" dxfId="454" priority="181" operator="between">
      <formula>0</formula>
      <formula>0.3999</formula>
    </cfRule>
    <cfRule type="cellIs" dxfId="453" priority="182" operator="between">
      <formula>0.3955</formula>
      <formula>0.5949</formula>
    </cfRule>
    <cfRule type="cellIs" dxfId="452" priority="183" operator="between">
      <formula>0.595</formula>
      <formula>0.6949</formula>
    </cfRule>
    <cfRule type="cellIs" dxfId="451" priority="184" operator="between">
      <formula>0.695</formula>
      <formula>0.7949</formula>
    </cfRule>
    <cfRule type="cellIs" dxfId="450" priority="185" operator="between">
      <formula>0.795</formula>
      <formula>1</formula>
    </cfRule>
  </conditionalFormatting>
  <conditionalFormatting sqref="G75:G79">
    <cfRule type="cellIs" dxfId="449" priority="176" operator="between">
      <formula>0</formula>
      <formula>0.3999</formula>
    </cfRule>
    <cfRule type="cellIs" dxfId="448" priority="177" operator="between">
      <formula>0.3955</formula>
      <formula>0.5949</formula>
    </cfRule>
    <cfRule type="cellIs" dxfId="447" priority="178" operator="between">
      <formula>0.595</formula>
      <formula>0.6949</formula>
    </cfRule>
    <cfRule type="cellIs" dxfId="446" priority="179" operator="between">
      <formula>0.695</formula>
      <formula>0.7949</formula>
    </cfRule>
    <cfRule type="cellIs" dxfId="445" priority="180" operator="between">
      <formula>0.795</formula>
      <formula>1</formula>
    </cfRule>
  </conditionalFormatting>
  <conditionalFormatting sqref="G81:G86">
    <cfRule type="cellIs" dxfId="444" priority="171" operator="between">
      <formula>0</formula>
      <formula>0.3999</formula>
    </cfRule>
    <cfRule type="cellIs" dxfId="443" priority="172" operator="between">
      <formula>0.3955</formula>
      <formula>0.5949</formula>
    </cfRule>
    <cfRule type="cellIs" dxfId="442" priority="173" operator="between">
      <formula>0.595</formula>
      <formula>0.6949</formula>
    </cfRule>
    <cfRule type="cellIs" dxfId="441" priority="174" operator="between">
      <formula>0.695</formula>
      <formula>0.7949</formula>
    </cfRule>
    <cfRule type="cellIs" dxfId="440" priority="175" operator="between">
      <formula>0.795</formula>
      <formula>1</formula>
    </cfRule>
  </conditionalFormatting>
  <conditionalFormatting sqref="G88:G106">
    <cfRule type="cellIs" dxfId="439" priority="166" operator="between">
      <formula>0</formula>
      <formula>0.3999</formula>
    </cfRule>
    <cfRule type="cellIs" dxfId="438" priority="167" operator="between">
      <formula>0.3955</formula>
      <formula>0.5949</formula>
    </cfRule>
    <cfRule type="cellIs" dxfId="437" priority="168" operator="between">
      <formula>0.595</formula>
      <formula>0.6949</formula>
    </cfRule>
    <cfRule type="cellIs" dxfId="436" priority="169" operator="between">
      <formula>0.695</formula>
      <formula>0.7949</formula>
    </cfRule>
    <cfRule type="cellIs" dxfId="435" priority="170" operator="between">
      <formula>0.795</formula>
      <formula>1</formula>
    </cfRule>
  </conditionalFormatting>
  <conditionalFormatting sqref="G108:G112">
    <cfRule type="cellIs" dxfId="434" priority="161" operator="between">
      <formula>0</formula>
      <formula>0.3999</formula>
    </cfRule>
    <cfRule type="cellIs" dxfId="433" priority="162" operator="between">
      <formula>0.3955</formula>
      <formula>0.5949</formula>
    </cfRule>
    <cfRule type="cellIs" dxfId="432" priority="163" operator="between">
      <formula>0.595</formula>
      <formula>0.6949</formula>
    </cfRule>
    <cfRule type="cellIs" dxfId="431" priority="164" operator="between">
      <formula>0.695</formula>
      <formula>0.7949</formula>
    </cfRule>
    <cfRule type="cellIs" dxfId="430" priority="165" operator="between">
      <formula>0.795</formula>
      <formula>1</formula>
    </cfRule>
  </conditionalFormatting>
  <conditionalFormatting sqref="G114:G121">
    <cfRule type="cellIs" dxfId="429" priority="156" operator="between">
      <formula>0</formula>
      <formula>0.3999</formula>
    </cfRule>
    <cfRule type="cellIs" dxfId="428" priority="157" operator="between">
      <formula>0.3955</formula>
      <formula>0.5949</formula>
    </cfRule>
    <cfRule type="cellIs" dxfId="427" priority="158" operator="between">
      <formula>0.595</formula>
      <formula>0.6949</formula>
    </cfRule>
    <cfRule type="cellIs" dxfId="426" priority="159" operator="between">
      <formula>0.695</formula>
      <formula>0.7949</formula>
    </cfRule>
    <cfRule type="cellIs" dxfId="425" priority="160" operator="between">
      <formula>0.795</formula>
      <formula>1</formula>
    </cfRule>
  </conditionalFormatting>
  <conditionalFormatting sqref="G123:G140">
    <cfRule type="cellIs" dxfId="424" priority="151" operator="between">
      <formula>0</formula>
      <formula>0.3999</formula>
    </cfRule>
    <cfRule type="cellIs" dxfId="423" priority="152" operator="between">
      <formula>0.3955</formula>
      <formula>0.5949</formula>
    </cfRule>
    <cfRule type="cellIs" dxfId="422" priority="153" operator="between">
      <formula>0.595</formula>
      <formula>0.6949</formula>
    </cfRule>
    <cfRule type="cellIs" dxfId="421" priority="154" operator="between">
      <formula>0.695</formula>
      <formula>0.7949</formula>
    </cfRule>
    <cfRule type="cellIs" dxfId="420" priority="155" operator="between">
      <formula>0.795</formula>
      <formula>1</formula>
    </cfRule>
  </conditionalFormatting>
  <conditionalFormatting sqref="G142:G147">
    <cfRule type="cellIs" dxfId="419" priority="146" operator="between">
      <formula>0</formula>
      <formula>0.3999</formula>
    </cfRule>
    <cfRule type="cellIs" dxfId="418" priority="147" operator="between">
      <formula>0.3955</formula>
      <formula>0.5949</formula>
    </cfRule>
    <cfRule type="cellIs" dxfId="417" priority="148" operator="between">
      <formula>0.595</formula>
      <formula>0.6949</formula>
    </cfRule>
    <cfRule type="cellIs" dxfId="416" priority="149" operator="between">
      <formula>0.695</formula>
      <formula>0.7949</formula>
    </cfRule>
    <cfRule type="cellIs" dxfId="415" priority="150" operator="between">
      <formula>0.795</formula>
      <formula>1</formula>
    </cfRule>
  </conditionalFormatting>
  <conditionalFormatting sqref="G149:G160">
    <cfRule type="cellIs" dxfId="414" priority="141" operator="between">
      <formula>0</formula>
      <formula>0.3999</formula>
    </cfRule>
    <cfRule type="cellIs" dxfId="413" priority="142" operator="between">
      <formula>0.3955</formula>
      <formula>0.5949</formula>
    </cfRule>
    <cfRule type="cellIs" dxfId="412" priority="143" operator="between">
      <formula>0.595</formula>
      <formula>0.6949</formula>
    </cfRule>
    <cfRule type="cellIs" dxfId="411" priority="144" operator="between">
      <formula>0.695</formula>
      <formula>0.7949</formula>
    </cfRule>
    <cfRule type="cellIs" dxfId="410" priority="145" operator="between">
      <formula>0.795</formula>
      <formula>1</formula>
    </cfRule>
  </conditionalFormatting>
  <conditionalFormatting sqref="G162">
    <cfRule type="cellIs" dxfId="409" priority="136" operator="between">
      <formula>0</formula>
      <formula>0.3999</formula>
    </cfRule>
    <cfRule type="cellIs" dxfId="408" priority="137" operator="between">
      <formula>0.3955</formula>
      <formula>0.5949</formula>
    </cfRule>
    <cfRule type="cellIs" dxfId="407" priority="138" operator="between">
      <formula>0.595</formula>
      <formula>0.6949</formula>
    </cfRule>
    <cfRule type="cellIs" dxfId="406" priority="139" operator="between">
      <formula>0.695</formula>
      <formula>0.7949</formula>
    </cfRule>
    <cfRule type="cellIs" dxfId="405" priority="140" operator="between">
      <formula>0.795</formula>
      <formula>1</formula>
    </cfRule>
  </conditionalFormatting>
  <conditionalFormatting sqref="G164:G166">
    <cfRule type="cellIs" dxfId="404" priority="131" operator="between">
      <formula>0</formula>
      <formula>0.3999</formula>
    </cfRule>
    <cfRule type="cellIs" dxfId="403" priority="132" operator="between">
      <formula>0.3955</formula>
      <formula>0.5949</formula>
    </cfRule>
    <cfRule type="cellIs" dxfId="402" priority="133" operator="between">
      <formula>0.595</formula>
      <formula>0.6949</formula>
    </cfRule>
    <cfRule type="cellIs" dxfId="401" priority="134" operator="between">
      <formula>0.695</formula>
      <formula>0.7949</formula>
    </cfRule>
    <cfRule type="cellIs" dxfId="400" priority="135" operator="between">
      <formula>0.795</formula>
      <formula>1</formula>
    </cfRule>
  </conditionalFormatting>
  <conditionalFormatting sqref="G167:G168">
    <cfRule type="cellIs" dxfId="399" priority="126" operator="between">
      <formula>0</formula>
      <formula>0.3999</formula>
    </cfRule>
    <cfRule type="cellIs" dxfId="398" priority="127" operator="between">
      <formula>0.3955</formula>
      <formula>0.5949</formula>
    </cfRule>
    <cfRule type="cellIs" dxfId="397" priority="128" operator="between">
      <formula>0.595</formula>
      <formula>0.6949</formula>
    </cfRule>
    <cfRule type="cellIs" dxfId="396" priority="129" operator="between">
      <formula>0.695</formula>
      <formula>0.7949</formula>
    </cfRule>
    <cfRule type="cellIs" dxfId="395" priority="130" operator="between">
      <formula>0.795</formula>
      <formula>1</formula>
    </cfRule>
  </conditionalFormatting>
  <conditionalFormatting sqref="G170:G184">
    <cfRule type="cellIs" dxfId="394" priority="121" operator="between">
      <formula>0</formula>
      <formula>0.3999</formula>
    </cfRule>
    <cfRule type="cellIs" dxfId="393" priority="122" operator="between">
      <formula>0.3955</formula>
      <formula>0.5949</formula>
    </cfRule>
    <cfRule type="cellIs" dxfId="392" priority="123" operator="between">
      <formula>0.595</formula>
      <formula>0.6949</formula>
    </cfRule>
    <cfRule type="cellIs" dxfId="391" priority="124" operator="between">
      <formula>0.695</formula>
      <formula>0.7949</formula>
    </cfRule>
    <cfRule type="cellIs" dxfId="390" priority="125" operator="between">
      <formula>0.795</formula>
      <formula>1</formula>
    </cfRule>
  </conditionalFormatting>
  <conditionalFormatting sqref="G186:G189">
    <cfRule type="cellIs" dxfId="389" priority="116" operator="between">
      <formula>0</formula>
      <formula>0.3999</formula>
    </cfRule>
    <cfRule type="cellIs" dxfId="388" priority="117" operator="between">
      <formula>0.3955</formula>
      <formula>0.5949</formula>
    </cfRule>
    <cfRule type="cellIs" dxfId="387" priority="118" operator="between">
      <formula>0.595</formula>
      <formula>0.6949</formula>
    </cfRule>
    <cfRule type="cellIs" dxfId="386" priority="119" operator="between">
      <formula>0.695</formula>
      <formula>0.7949</formula>
    </cfRule>
    <cfRule type="cellIs" dxfId="385" priority="120" operator="between">
      <formula>0.795</formula>
      <formula>1</formula>
    </cfRule>
  </conditionalFormatting>
  <conditionalFormatting sqref="G191">
    <cfRule type="cellIs" dxfId="384" priority="111" operator="between">
      <formula>0</formula>
      <formula>0.3999</formula>
    </cfRule>
    <cfRule type="cellIs" dxfId="383" priority="112" operator="between">
      <formula>0.3955</formula>
      <formula>0.5949</formula>
    </cfRule>
    <cfRule type="cellIs" dxfId="382" priority="113" operator="between">
      <formula>0.595</formula>
      <formula>0.6949</formula>
    </cfRule>
    <cfRule type="cellIs" dxfId="381" priority="114" operator="between">
      <formula>0.695</formula>
      <formula>0.7949</formula>
    </cfRule>
    <cfRule type="cellIs" dxfId="380" priority="115" operator="between">
      <formula>0.795</formula>
      <formula>1</formula>
    </cfRule>
  </conditionalFormatting>
  <conditionalFormatting sqref="G193">
    <cfRule type="cellIs" dxfId="379" priority="106" operator="between">
      <formula>0</formula>
      <formula>0.3999</formula>
    </cfRule>
    <cfRule type="cellIs" dxfId="378" priority="107" operator="between">
      <formula>0.3955</formula>
      <formula>0.5949</formula>
    </cfRule>
    <cfRule type="cellIs" dxfId="377" priority="108" operator="between">
      <formula>0.595</formula>
      <formula>0.6949</formula>
    </cfRule>
    <cfRule type="cellIs" dxfId="376" priority="109" operator="between">
      <formula>0.695</formula>
      <formula>0.7949</formula>
    </cfRule>
    <cfRule type="cellIs" dxfId="375" priority="110" operator="between">
      <formula>0.795</formula>
      <formula>1</formula>
    </cfRule>
  </conditionalFormatting>
  <conditionalFormatting sqref="I6">
    <cfRule type="cellIs" dxfId="374" priority="101" operator="between">
      <formula>0</formula>
      <formula>0.3999</formula>
    </cfRule>
    <cfRule type="cellIs" dxfId="373" priority="102" operator="between">
      <formula>0.3955</formula>
      <formula>0.5949</formula>
    </cfRule>
    <cfRule type="cellIs" dxfId="372" priority="103" operator="between">
      <formula>0.595</formula>
      <formula>0.6949</formula>
    </cfRule>
    <cfRule type="cellIs" dxfId="371" priority="104" operator="between">
      <formula>0.695</formula>
      <formula>0.7949</formula>
    </cfRule>
    <cfRule type="cellIs" dxfId="370" priority="105" operator="between">
      <formula>0.795</formula>
      <formula>1</formula>
    </cfRule>
  </conditionalFormatting>
  <conditionalFormatting sqref="I193">
    <cfRule type="cellIs" dxfId="369" priority="1" operator="between">
      <formula>0</formula>
      <formula>0.3999</formula>
    </cfRule>
    <cfRule type="cellIs" dxfId="368" priority="2" operator="between">
      <formula>0.3955</formula>
      <formula>0.5949</formula>
    </cfRule>
    <cfRule type="cellIs" dxfId="367" priority="3" operator="between">
      <formula>0.595</formula>
      <formula>0.6949</formula>
    </cfRule>
    <cfRule type="cellIs" dxfId="366" priority="4" operator="between">
      <formula>0.695</formula>
      <formula>0.7949</formula>
    </cfRule>
    <cfRule type="cellIs" dxfId="365" priority="5" operator="between">
      <formula>0.795</formula>
      <formula>1</formula>
    </cfRule>
  </conditionalFormatting>
  <conditionalFormatting sqref="I7:I10">
    <cfRule type="cellIs" dxfId="364" priority="91" operator="between">
      <formula>0</formula>
      <formula>0.3999</formula>
    </cfRule>
    <cfRule type="cellIs" dxfId="363" priority="92" operator="between">
      <formula>0.3955</formula>
      <formula>0.5949</formula>
    </cfRule>
    <cfRule type="cellIs" dxfId="362" priority="93" operator="between">
      <formula>0.595</formula>
      <formula>0.6949</formula>
    </cfRule>
    <cfRule type="cellIs" dxfId="361" priority="94" operator="between">
      <formula>0.695</formula>
      <formula>0.7949</formula>
    </cfRule>
    <cfRule type="cellIs" dxfId="360" priority="95" operator="between">
      <formula>0.795</formula>
      <formula>1</formula>
    </cfRule>
  </conditionalFormatting>
  <conditionalFormatting sqref="I12:I16">
    <cfRule type="cellIs" dxfId="359" priority="86" operator="between">
      <formula>0</formula>
      <formula>0.3999</formula>
    </cfRule>
    <cfRule type="cellIs" dxfId="358" priority="87" operator="between">
      <formula>0.3955</formula>
      <formula>0.5949</formula>
    </cfRule>
    <cfRule type="cellIs" dxfId="357" priority="88" operator="between">
      <formula>0.595</formula>
      <formula>0.6949</formula>
    </cfRule>
    <cfRule type="cellIs" dxfId="356" priority="89" operator="between">
      <formula>0.695</formula>
      <formula>0.7949</formula>
    </cfRule>
    <cfRule type="cellIs" dxfId="355" priority="90" operator="between">
      <formula>0.795</formula>
      <formula>1</formula>
    </cfRule>
  </conditionalFormatting>
  <conditionalFormatting sqref="I18:I21">
    <cfRule type="cellIs" dxfId="354" priority="81" operator="between">
      <formula>0</formula>
      <formula>0.3999</formula>
    </cfRule>
    <cfRule type="cellIs" dxfId="353" priority="82" operator="between">
      <formula>0.3955</formula>
      <formula>0.5949</formula>
    </cfRule>
    <cfRule type="cellIs" dxfId="352" priority="83" operator="between">
      <formula>0.595</formula>
      <formula>0.6949</formula>
    </cfRule>
    <cfRule type="cellIs" dxfId="351" priority="84" operator="between">
      <formula>0.695</formula>
      <formula>0.7949</formula>
    </cfRule>
    <cfRule type="cellIs" dxfId="350" priority="85" operator="between">
      <formula>0.795</formula>
      <formula>1</formula>
    </cfRule>
  </conditionalFormatting>
  <conditionalFormatting sqref="I23:I51">
    <cfRule type="cellIs" dxfId="349" priority="76" operator="between">
      <formula>0</formula>
      <formula>0.3999</formula>
    </cfRule>
    <cfRule type="cellIs" dxfId="348" priority="77" operator="between">
      <formula>0.3955</formula>
      <formula>0.5949</formula>
    </cfRule>
    <cfRule type="cellIs" dxfId="347" priority="78" operator="between">
      <formula>0.595</formula>
      <formula>0.6949</formula>
    </cfRule>
    <cfRule type="cellIs" dxfId="346" priority="79" operator="between">
      <formula>0.695</formula>
      <formula>0.7949</formula>
    </cfRule>
    <cfRule type="cellIs" dxfId="345" priority="80" operator="between">
      <formula>0.795</formula>
      <formula>1</formula>
    </cfRule>
  </conditionalFormatting>
  <conditionalFormatting sqref="I53:I73">
    <cfRule type="cellIs" dxfId="344" priority="71" operator="between">
      <formula>0</formula>
      <formula>0.3999</formula>
    </cfRule>
    <cfRule type="cellIs" dxfId="343" priority="72" operator="between">
      <formula>0.3955</formula>
      <formula>0.5949</formula>
    </cfRule>
    <cfRule type="cellIs" dxfId="342" priority="73" operator="between">
      <formula>0.595</formula>
      <formula>0.6949</formula>
    </cfRule>
    <cfRule type="cellIs" dxfId="341" priority="74" operator="between">
      <formula>0.695</formula>
      <formula>0.7949</formula>
    </cfRule>
    <cfRule type="cellIs" dxfId="340" priority="75" operator="between">
      <formula>0.795</formula>
      <formula>1</formula>
    </cfRule>
  </conditionalFormatting>
  <conditionalFormatting sqref="I75:I79">
    <cfRule type="cellIs" dxfId="339" priority="66" operator="between">
      <formula>0</formula>
      <formula>0.3999</formula>
    </cfRule>
    <cfRule type="cellIs" dxfId="338" priority="67" operator="between">
      <formula>0.3955</formula>
      <formula>0.5949</formula>
    </cfRule>
    <cfRule type="cellIs" dxfId="337" priority="68" operator="between">
      <formula>0.595</formula>
      <formula>0.6949</formula>
    </cfRule>
    <cfRule type="cellIs" dxfId="336" priority="69" operator="between">
      <formula>0.695</formula>
      <formula>0.7949</formula>
    </cfRule>
    <cfRule type="cellIs" dxfId="335" priority="70" operator="between">
      <formula>0.795</formula>
      <formula>1</formula>
    </cfRule>
  </conditionalFormatting>
  <conditionalFormatting sqref="I81:I86">
    <cfRule type="cellIs" dxfId="334" priority="61" operator="between">
      <formula>0</formula>
      <formula>0.3999</formula>
    </cfRule>
    <cfRule type="cellIs" dxfId="333" priority="62" operator="between">
      <formula>0.3955</formula>
      <formula>0.5949</formula>
    </cfRule>
    <cfRule type="cellIs" dxfId="332" priority="63" operator="between">
      <formula>0.595</formula>
      <formula>0.6949</formula>
    </cfRule>
    <cfRule type="cellIs" dxfId="331" priority="64" operator="between">
      <formula>0.695</formula>
      <formula>0.7949</formula>
    </cfRule>
    <cfRule type="cellIs" dxfId="330" priority="65" operator="between">
      <formula>0.795</formula>
      <formula>1</formula>
    </cfRule>
  </conditionalFormatting>
  <conditionalFormatting sqref="I88:I106">
    <cfRule type="cellIs" dxfId="329" priority="56" operator="between">
      <formula>0</formula>
      <formula>0.3999</formula>
    </cfRule>
    <cfRule type="cellIs" dxfId="328" priority="57" operator="between">
      <formula>0.3955</formula>
      <formula>0.5949</formula>
    </cfRule>
    <cfRule type="cellIs" dxfId="327" priority="58" operator="between">
      <formula>0.595</formula>
      <formula>0.6949</formula>
    </cfRule>
    <cfRule type="cellIs" dxfId="326" priority="59" operator="between">
      <formula>0.695</formula>
      <formula>0.7949</formula>
    </cfRule>
    <cfRule type="cellIs" dxfId="325" priority="60" operator="between">
      <formula>0.795</formula>
      <formula>1</formula>
    </cfRule>
  </conditionalFormatting>
  <conditionalFormatting sqref="I108:I112">
    <cfRule type="cellIs" dxfId="324" priority="51" operator="between">
      <formula>0</formula>
      <formula>0.3999</formula>
    </cfRule>
    <cfRule type="cellIs" dxfId="323" priority="52" operator="between">
      <formula>0.3955</formula>
      <formula>0.5949</formula>
    </cfRule>
    <cfRule type="cellIs" dxfId="322" priority="53" operator="between">
      <formula>0.595</formula>
      <formula>0.6949</formula>
    </cfRule>
    <cfRule type="cellIs" dxfId="321" priority="54" operator="between">
      <formula>0.695</formula>
      <formula>0.7949</formula>
    </cfRule>
    <cfRule type="cellIs" dxfId="320" priority="55" operator="between">
      <formula>0.795</formula>
      <formula>1</formula>
    </cfRule>
  </conditionalFormatting>
  <conditionalFormatting sqref="I114:I121">
    <cfRule type="cellIs" dxfId="319" priority="46" operator="between">
      <formula>0</formula>
      <formula>0.3999</formula>
    </cfRule>
    <cfRule type="cellIs" dxfId="318" priority="47" operator="between">
      <formula>0.3955</formula>
      <formula>0.5949</formula>
    </cfRule>
    <cfRule type="cellIs" dxfId="317" priority="48" operator="between">
      <formula>0.595</formula>
      <formula>0.6949</formula>
    </cfRule>
    <cfRule type="cellIs" dxfId="316" priority="49" operator="between">
      <formula>0.695</formula>
      <formula>0.7949</formula>
    </cfRule>
    <cfRule type="cellIs" dxfId="315" priority="50" operator="between">
      <formula>0.795</formula>
      <formula>1</formula>
    </cfRule>
  </conditionalFormatting>
  <conditionalFormatting sqref="I123:I140">
    <cfRule type="cellIs" dxfId="314" priority="41" operator="between">
      <formula>0</formula>
      <formula>0.3999</formula>
    </cfRule>
    <cfRule type="cellIs" dxfId="313" priority="42" operator="between">
      <formula>0.3955</formula>
      <formula>0.5949</formula>
    </cfRule>
    <cfRule type="cellIs" dxfId="312" priority="43" operator="between">
      <formula>0.595</formula>
      <formula>0.6949</formula>
    </cfRule>
    <cfRule type="cellIs" dxfId="311" priority="44" operator="between">
      <formula>0.695</formula>
      <formula>0.7949</formula>
    </cfRule>
    <cfRule type="cellIs" dxfId="310" priority="45" operator="between">
      <formula>0.795</formula>
      <formula>1</formula>
    </cfRule>
  </conditionalFormatting>
  <conditionalFormatting sqref="I142:I147">
    <cfRule type="cellIs" dxfId="309" priority="36" operator="between">
      <formula>0</formula>
      <formula>0.3999</formula>
    </cfRule>
    <cfRule type="cellIs" dxfId="308" priority="37" operator="between">
      <formula>0.3955</formula>
      <formula>0.5949</formula>
    </cfRule>
    <cfRule type="cellIs" dxfId="307" priority="38" operator="between">
      <formula>0.595</formula>
      <formula>0.6949</formula>
    </cfRule>
    <cfRule type="cellIs" dxfId="306" priority="39" operator="between">
      <formula>0.695</formula>
      <formula>0.7949</formula>
    </cfRule>
    <cfRule type="cellIs" dxfId="305" priority="40" operator="between">
      <formula>0.795</formula>
      <formula>1</formula>
    </cfRule>
  </conditionalFormatting>
  <conditionalFormatting sqref="I149:I160">
    <cfRule type="cellIs" dxfId="304" priority="31" operator="between">
      <formula>0</formula>
      <formula>0.3999</formula>
    </cfRule>
    <cfRule type="cellIs" dxfId="303" priority="32" operator="between">
      <formula>0.3955</formula>
      <formula>0.5949</formula>
    </cfRule>
    <cfRule type="cellIs" dxfId="302" priority="33" operator="between">
      <formula>0.595</formula>
      <formula>0.6949</formula>
    </cfRule>
    <cfRule type="cellIs" dxfId="301" priority="34" operator="between">
      <formula>0.695</formula>
      <formula>0.7949</formula>
    </cfRule>
    <cfRule type="cellIs" dxfId="300" priority="35" operator="between">
      <formula>0.795</formula>
      <formula>1</formula>
    </cfRule>
  </conditionalFormatting>
  <conditionalFormatting sqref="I162">
    <cfRule type="cellIs" dxfId="299" priority="26" operator="between">
      <formula>0</formula>
      <formula>0.3999</formula>
    </cfRule>
    <cfRule type="cellIs" dxfId="298" priority="27" operator="between">
      <formula>0.3955</formula>
      <formula>0.5949</formula>
    </cfRule>
    <cfRule type="cellIs" dxfId="297" priority="28" operator="between">
      <formula>0.595</formula>
      <formula>0.6949</formula>
    </cfRule>
    <cfRule type="cellIs" dxfId="296" priority="29" operator="between">
      <formula>0.695</formula>
      <formula>0.7949</formula>
    </cfRule>
    <cfRule type="cellIs" dxfId="295" priority="30" operator="between">
      <formula>0.795</formula>
      <formula>1</formula>
    </cfRule>
  </conditionalFormatting>
  <conditionalFormatting sqref="I164:I168">
    <cfRule type="cellIs" dxfId="294" priority="21" operator="between">
      <formula>0</formula>
      <formula>0.3999</formula>
    </cfRule>
    <cfRule type="cellIs" dxfId="293" priority="22" operator="between">
      <formula>0.3955</formula>
      <formula>0.5949</formula>
    </cfRule>
    <cfRule type="cellIs" dxfId="292" priority="23" operator="between">
      <formula>0.595</formula>
      <formula>0.6949</formula>
    </cfRule>
    <cfRule type="cellIs" dxfId="291" priority="24" operator="between">
      <formula>0.695</formula>
      <formula>0.7949</formula>
    </cfRule>
    <cfRule type="cellIs" dxfId="290" priority="25" operator="between">
      <formula>0.795</formula>
      <formula>1</formula>
    </cfRule>
  </conditionalFormatting>
  <conditionalFormatting sqref="I170:I184">
    <cfRule type="cellIs" dxfId="289" priority="16" operator="between">
      <formula>0</formula>
      <formula>0.3999</formula>
    </cfRule>
    <cfRule type="cellIs" dxfId="288" priority="17" operator="between">
      <formula>0.3955</formula>
      <formula>0.5949</formula>
    </cfRule>
    <cfRule type="cellIs" dxfId="287" priority="18" operator="between">
      <formula>0.595</formula>
      <formula>0.6949</formula>
    </cfRule>
    <cfRule type="cellIs" dxfId="286" priority="19" operator="between">
      <formula>0.695</formula>
      <formula>0.7949</formula>
    </cfRule>
    <cfRule type="cellIs" dxfId="285" priority="20" operator="between">
      <formula>0.795</formula>
      <formula>1</formula>
    </cfRule>
  </conditionalFormatting>
  <conditionalFormatting sqref="I186:I189">
    <cfRule type="cellIs" dxfId="284" priority="11" operator="between">
      <formula>0</formula>
      <formula>0.3999</formula>
    </cfRule>
    <cfRule type="cellIs" dxfId="283" priority="12" operator="between">
      <formula>0.3955</formula>
      <formula>0.5949</formula>
    </cfRule>
    <cfRule type="cellIs" dxfId="282" priority="13" operator="between">
      <formula>0.595</formula>
      <formula>0.6949</formula>
    </cfRule>
    <cfRule type="cellIs" dxfId="281" priority="14" operator="between">
      <formula>0.695</formula>
      <formula>0.7949</formula>
    </cfRule>
    <cfRule type="cellIs" dxfId="280" priority="15" operator="between">
      <formula>0.795</formula>
      <formula>1</formula>
    </cfRule>
  </conditionalFormatting>
  <conditionalFormatting sqref="I191">
    <cfRule type="cellIs" dxfId="279" priority="6" operator="between">
      <formula>0</formula>
      <formula>0.3999</formula>
    </cfRule>
    <cfRule type="cellIs" dxfId="278" priority="7" operator="between">
      <formula>0.3955</formula>
      <formula>0.5949</formula>
    </cfRule>
    <cfRule type="cellIs" dxfId="277" priority="8" operator="between">
      <formula>0.595</formula>
      <formula>0.6949</formula>
    </cfRule>
    <cfRule type="cellIs" dxfId="276" priority="9" operator="between">
      <formula>0.695</formula>
      <formula>0.7949</formula>
    </cfRule>
    <cfRule type="cellIs" dxfId="275" priority="10" operator="between">
      <formula>0.795</formula>
      <formula>1</formula>
    </cfRule>
  </conditionalFormatting>
  <pageMargins left="0.7" right="0.7" top="0.75" bottom="0.75" header="0.3" footer="0.3"/>
  <pageSetup orientation="portrait"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G91"/>
  <sheetViews>
    <sheetView showGridLines="0" zoomScale="70" zoomScaleNormal="70" workbookViewId="0">
      <selection sqref="A1:G3"/>
    </sheetView>
  </sheetViews>
  <sheetFormatPr baseColWidth="10" defaultColWidth="11.42578125" defaultRowHeight="15"/>
  <cols>
    <col min="1" max="1" width="15.28515625" style="5" customWidth="1"/>
    <col min="2" max="2" width="49" style="6" customWidth="1"/>
    <col min="3" max="3" width="34.42578125" style="6" customWidth="1"/>
    <col min="4" max="4" width="29.7109375" style="1" customWidth="1"/>
    <col min="5" max="5" width="19.85546875" style="1" customWidth="1"/>
    <col min="6" max="6" width="30.42578125" style="1" customWidth="1"/>
    <col min="7" max="7" width="20.7109375" style="1" customWidth="1"/>
    <col min="8" max="16384" width="11.42578125" style="1"/>
  </cols>
  <sheetData>
    <row r="1" spans="1:7" ht="21" customHeight="1">
      <c r="A1" s="511" t="s">
        <v>1464</v>
      </c>
      <c r="B1" s="512"/>
      <c r="C1" s="512"/>
      <c r="D1" s="512"/>
      <c r="E1" s="512"/>
      <c r="F1" s="512"/>
      <c r="G1" s="513"/>
    </row>
    <row r="2" spans="1:7" ht="27" customHeight="1">
      <c r="A2" s="514"/>
      <c r="B2" s="515"/>
      <c r="C2" s="515"/>
      <c r="D2" s="515"/>
      <c r="E2" s="515"/>
      <c r="F2" s="515"/>
      <c r="G2" s="516"/>
    </row>
    <row r="3" spans="1:7" ht="21" customHeight="1">
      <c r="A3" s="488"/>
      <c r="B3" s="489"/>
      <c r="C3" s="489"/>
      <c r="D3" s="489"/>
      <c r="E3" s="489"/>
      <c r="F3" s="489"/>
      <c r="G3" s="517"/>
    </row>
    <row r="4" spans="1:7" ht="9" customHeight="1">
      <c r="A4" s="10"/>
      <c r="B4" s="11"/>
      <c r="C4" s="11"/>
    </row>
    <row r="5" spans="1:7" s="3" customFormat="1" ht="30" customHeight="1">
      <c r="A5" s="83" t="s">
        <v>1312</v>
      </c>
      <c r="B5" s="85" t="s">
        <v>1313</v>
      </c>
      <c r="C5" s="84" t="s">
        <v>1314</v>
      </c>
      <c r="D5" s="84" t="s">
        <v>1466</v>
      </c>
      <c r="E5" s="84" t="s">
        <v>1475</v>
      </c>
      <c r="F5" s="84" t="s">
        <v>1467</v>
      </c>
      <c r="G5" s="84" t="s">
        <v>1476</v>
      </c>
    </row>
    <row r="6" spans="1:7" s="4" customFormat="1" ht="30" customHeight="1">
      <c r="A6" s="65" t="s">
        <v>1279</v>
      </c>
      <c r="B6" s="61"/>
      <c r="C6" s="64">
        <f>C7+C8</f>
        <v>10549509202</v>
      </c>
      <c r="D6" s="64">
        <f t="shared" ref="D6:F6" si="0">D7+D8</f>
        <v>4687830730</v>
      </c>
      <c r="E6" s="164">
        <f>D6/C6</f>
        <v>0.44436481738043987</v>
      </c>
      <c r="F6" s="64">
        <f t="shared" si="0"/>
        <v>209642000</v>
      </c>
      <c r="G6" s="164">
        <f>F6/C6</f>
        <v>1.9872204098391192E-2</v>
      </c>
    </row>
    <row r="7" spans="1:7" ht="30" customHeight="1">
      <c r="A7" s="16"/>
      <c r="B7" s="86" t="s">
        <v>1315</v>
      </c>
      <c r="C7" s="29">
        <f>SUM('SGTO POAI 2023 MARZO'!AT8:AT11)</f>
        <v>1149509202</v>
      </c>
      <c r="D7" s="29">
        <f>SUM('SGTO POAI 2023 MARZO'!AU8:AU11)</f>
        <v>610573000</v>
      </c>
      <c r="E7" s="164">
        <f t="shared" ref="E7" si="1">D7/C7</f>
        <v>0.53115973229068592</v>
      </c>
      <c r="F7" s="29">
        <f>SUM('SGTO POAI 2023 MARZO'!AV8:AV11)</f>
        <v>209642000</v>
      </c>
      <c r="G7" s="164">
        <f t="shared" ref="G7:G69" si="2">F7/C7</f>
        <v>0.18237522556170019</v>
      </c>
    </row>
    <row r="8" spans="1:7" ht="30" customHeight="1">
      <c r="A8" s="16"/>
      <c r="B8" s="86" t="s">
        <v>1461</v>
      </c>
      <c r="C8" s="29">
        <f>'SGTO POAI 2023 MARZO'!AZ11</f>
        <v>9400000000</v>
      </c>
      <c r="D8" s="29">
        <f>'SGTO POAI 2023 MARZO'!BA11</f>
        <v>4077257730</v>
      </c>
      <c r="E8" s="164">
        <f>D8/C8</f>
        <v>0.43375082234042556</v>
      </c>
      <c r="F8" s="29">
        <f>'SGTO POAI 2023 MARZO'!BB11</f>
        <v>0</v>
      </c>
      <c r="G8" s="164">
        <f t="shared" si="2"/>
        <v>0</v>
      </c>
    </row>
    <row r="9" spans="1:7" ht="30" customHeight="1">
      <c r="A9" s="19"/>
      <c r="B9" s="126"/>
      <c r="C9" s="8"/>
      <c r="D9" s="8"/>
      <c r="E9" s="8"/>
      <c r="F9" s="8"/>
    </row>
    <row r="10" spans="1:7" s="4" customFormat="1" ht="30" customHeight="1">
      <c r="A10" s="70" t="s">
        <v>1283</v>
      </c>
      <c r="B10" s="72"/>
      <c r="C10" s="73">
        <f>C11</f>
        <v>1182099650</v>
      </c>
      <c r="D10" s="73">
        <f t="shared" ref="D10:F10" si="3">D11</f>
        <v>350060001</v>
      </c>
      <c r="E10" s="164">
        <f t="shared" ref="E10:E11" si="4">D10/C10</f>
        <v>0.29613408734195973</v>
      </c>
      <c r="F10" s="73">
        <f t="shared" si="3"/>
        <v>153550000</v>
      </c>
      <c r="G10" s="164">
        <f t="shared" si="2"/>
        <v>0.12989598634937419</v>
      </c>
    </row>
    <row r="11" spans="1:7" ht="30" customHeight="1">
      <c r="A11" s="16"/>
      <c r="B11" s="86" t="s">
        <v>1315</v>
      </c>
      <c r="C11" s="29">
        <f>SUM('SGTO POAI 2023 MARZO'!AT12:AT23)</f>
        <v>1182099650</v>
      </c>
      <c r="D11" s="29">
        <f>SUM('SGTO POAI 2023 MARZO'!AU12:AU23)</f>
        <v>350060001</v>
      </c>
      <c r="E11" s="164">
        <f t="shared" si="4"/>
        <v>0.29613408734195973</v>
      </c>
      <c r="F11" s="29">
        <f>SUM('SGTO POAI 2023 MARZO'!AV12:AV23)</f>
        <v>153550000</v>
      </c>
      <c r="G11" s="164">
        <f t="shared" si="2"/>
        <v>0.12989598634937419</v>
      </c>
    </row>
    <row r="12" spans="1:7" ht="30" customHeight="1">
      <c r="D12" s="6"/>
      <c r="E12" s="6"/>
      <c r="F12" s="6"/>
    </row>
    <row r="13" spans="1:7" ht="30" customHeight="1">
      <c r="A13" s="70" t="s">
        <v>1284</v>
      </c>
      <c r="B13" s="72"/>
      <c r="C13" s="73">
        <f>SUM(C14:C15)</f>
        <v>3041154599.1599998</v>
      </c>
      <c r="D13" s="73">
        <f t="shared" ref="D13:F13" si="5">SUM(D14:D15)</f>
        <v>1634890667</v>
      </c>
      <c r="E13" s="164">
        <f t="shared" ref="E13:E15" si="6">D13/C13</f>
        <v>0.53758880507146023</v>
      </c>
      <c r="F13" s="73">
        <f t="shared" si="5"/>
        <v>446404000</v>
      </c>
      <c r="G13" s="164">
        <f t="shared" si="2"/>
        <v>0.14678767074955731</v>
      </c>
    </row>
    <row r="14" spans="1:7" ht="30" customHeight="1">
      <c r="A14" s="31"/>
      <c r="B14" s="87" t="s">
        <v>1315</v>
      </c>
      <c r="C14" s="29">
        <f>SUM('SGTO POAI 2023 MARZO'!AT24:AT25)</f>
        <v>2343767972</v>
      </c>
      <c r="D14" s="29">
        <f>SUM('SGTO POAI 2023 MARZO'!AU24:AU25)</f>
        <v>1456120000</v>
      </c>
      <c r="E14" s="164">
        <f t="shared" si="6"/>
        <v>0.62127310271138048</v>
      </c>
      <c r="F14" s="29">
        <f>SUM('SGTO POAI 2023 MARZO'!AV24:AV25)</f>
        <v>365673333</v>
      </c>
      <c r="G14" s="164">
        <f t="shared" si="2"/>
        <v>0.15601942571472258</v>
      </c>
    </row>
    <row r="15" spans="1:7" s="39" customFormat="1" ht="30" customHeight="1">
      <c r="A15" s="31"/>
      <c r="B15" s="23" t="s">
        <v>1316</v>
      </c>
      <c r="C15" s="29">
        <f>'SGTO POAI 2023 MARZO'!BC24</f>
        <v>697386627.15999997</v>
      </c>
      <c r="D15" s="29">
        <f>'SGTO POAI 2023 MARZO'!BD24</f>
        <v>178770667</v>
      </c>
      <c r="E15" s="164">
        <f t="shared" si="6"/>
        <v>0.25634369808325136</v>
      </c>
      <c r="F15" s="29">
        <f>'SGTO POAI 2023 MARZO'!BE24</f>
        <v>80730667</v>
      </c>
      <c r="G15" s="164">
        <f t="shared" si="2"/>
        <v>0.11576170786176852</v>
      </c>
    </row>
    <row r="16" spans="1:7" ht="30" customHeight="1">
      <c r="C16" s="38"/>
      <c r="D16" s="38"/>
      <c r="E16" s="38"/>
      <c r="F16" s="38"/>
    </row>
    <row r="17" spans="1:7" ht="30" customHeight="1">
      <c r="A17" s="65" t="s">
        <v>1285</v>
      </c>
      <c r="B17" s="63"/>
      <c r="C17" s="64">
        <f>SUM(C18:C23)</f>
        <v>91905449878.460007</v>
      </c>
      <c r="D17" s="64">
        <f t="shared" ref="D17:F17" si="7">SUM(D18:D23)</f>
        <v>5560583941</v>
      </c>
      <c r="E17" s="164">
        <f t="shared" ref="E17:E23" si="8">D17/C17</f>
        <v>6.0503310177509297E-2</v>
      </c>
      <c r="F17" s="64">
        <f t="shared" si="7"/>
        <v>258300000</v>
      </c>
      <c r="G17" s="164">
        <f t="shared" si="2"/>
        <v>2.8104970961089662E-3</v>
      </c>
    </row>
    <row r="18" spans="1:7" ht="30" customHeight="1">
      <c r="A18" s="16"/>
      <c r="B18" s="20" t="s">
        <v>1317</v>
      </c>
      <c r="C18" s="29">
        <f>SUM('SGTO POAI 2023 MARZO'!AB26:AB51)</f>
        <v>10709007229.1</v>
      </c>
      <c r="D18" s="29">
        <f>SUM('SGTO POAI 2023 MARZO'!AC26:AC51)</f>
        <v>1201078155</v>
      </c>
      <c r="E18" s="164">
        <f t="shared" si="8"/>
        <v>0.11215588236193022</v>
      </c>
      <c r="F18" s="29">
        <f>SUM('SGTO POAI 2023 MARZO'!AD26:AD51)</f>
        <v>164550000</v>
      </c>
      <c r="G18" s="164">
        <f t="shared" si="2"/>
        <v>1.5365569980461112E-2</v>
      </c>
    </row>
    <row r="19" spans="1:7" ht="30" customHeight="1">
      <c r="A19" s="16"/>
      <c r="B19" s="20" t="s">
        <v>1318</v>
      </c>
      <c r="C19" s="29">
        <f>SUM('SGTO POAI 2023 MARZO'!AQ26:AQ51)</f>
        <v>3720411051.8400002</v>
      </c>
      <c r="D19" s="29">
        <f>SUM('SGTO POAI 2023 MARZO'!AR26:AR51)</f>
        <v>3701358406</v>
      </c>
      <c r="E19" s="164">
        <f t="shared" si="8"/>
        <v>0.99487888688251869</v>
      </c>
      <c r="F19" s="29">
        <f>SUM('SGTO POAI 2023 MARZO'!AS26:AS51)</f>
        <v>0</v>
      </c>
      <c r="G19" s="164">
        <f t="shared" si="2"/>
        <v>0</v>
      </c>
    </row>
    <row r="20" spans="1:7" ht="30" customHeight="1">
      <c r="A20" s="16"/>
      <c r="B20" s="86" t="s">
        <v>1315</v>
      </c>
      <c r="C20" s="29">
        <f>SUM('SGTO POAI 2023 MARZO'!AT26:AT51)</f>
        <v>4272294212</v>
      </c>
      <c r="D20" s="29">
        <f>SUM('SGTO POAI 2023 MARZO'!AU26:AU51)</f>
        <v>285833333</v>
      </c>
      <c r="E20" s="164">
        <f t="shared" si="8"/>
        <v>6.6903944067604859E-2</v>
      </c>
      <c r="F20" s="29">
        <f>SUM('SGTO POAI 2023 MARZO'!AV26:AV51)</f>
        <v>40650000</v>
      </c>
      <c r="G20" s="164">
        <f t="shared" si="2"/>
        <v>9.5147941557541769E-3</v>
      </c>
    </row>
    <row r="21" spans="1:7" ht="30" customHeight="1">
      <c r="A21" s="16"/>
      <c r="B21" s="20" t="s">
        <v>1319</v>
      </c>
      <c r="C21" s="29">
        <f>SUM('SGTO POAI 2023 MARZO'!AW32:AW51)</f>
        <v>3126038875.52</v>
      </c>
      <c r="D21" s="29">
        <f>SUM('SGTO POAI 2023 MARZO'!AX32:AX51)</f>
        <v>356564047</v>
      </c>
      <c r="E21" s="164">
        <f t="shared" si="8"/>
        <v>0.11406257605823519</v>
      </c>
      <c r="F21" s="29">
        <f>SUM('SGTO POAI 2023 MARZO'!AY32:AY51)</f>
        <v>50650000</v>
      </c>
      <c r="G21" s="164">
        <f t="shared" si="2"/>
        <v>1.6202613600438554E-2</v>
      </c>
    </row>
    <row r="22" spans="1:7" ht="30" customHeight="1">
      <c r="A22" s="27"/>
      <c r="B22" s="120" t="s">
        <v>1517</v>
      </c>
      <c r="C22" s="121">
        <f>SUM('SGTO POAI 2023 MARZO'!BC26:BC51)</f>
        <v>44727698510</v>
      </c>
      <c r="D22" s="121">
        <f>SUM('SGTO POAI 2023 MARZO'!BD26:BD51)</f>
        <v>15750000</v>
      </c>
      <c r="E22" s="164">
        <f t="shared" si="8"/>
        <v>3.5213079422091644E-4</v>
      </c>
      <c r="F22" s="121">
        <f>SUM('SGTO POAI 2023 MARZO'!BE26:BE51)</f>
        <v>2450000</v>
      </c>
      <c r="G22" s="164">
        <f t="shared" si="2"/>
        <v>5.4775901323253666E-5</v>
      </c>
    </row>
    <row r="23" spans="1:7" ht="30" customHeight="1">
      <c r="A23" s="16"/>
      <c r="B23" s="17" t="s">
        <v>1461</v>
      </c>
      <c r="C23" s="44">
        <f>SUM('SGTO POAI 2023 MARZO'!AZ26:AZ51)</f>
        <v>25350000000</v>
      </c>
      <c r="D23" s="44">
        <f>SUM('SGTO POAI 2023 MARZO'!BA26:BA51)</f>
        <v>0</v>
      </c>
      <c r="E23" s="164">
        <f t="shared" si="8"/>
        <v>0</v>
      </c>
      <c r="F23" s="44">
        <f>SUM('SGTO POAI 2023 MARZO'!BB26:BB51)</f>
        <v>0</v>
      </c>
      <c r="G23" s="164">
        <f t="shared" si="2"/>
        <v>0</v>
      </c>
    </row>
    <row r="24" spans="1:7" ht="30" customHeight="1">
      <c r="C24" s="38"/>
      <c r="D24" s="38"/>
      <c r="E24" s="38"/>
      <c r="F24" s="38"/>
    </row>
    <row r="25" spans="1:7" ht="30" customHeight="1">
      <c r="A25" s="88" t="s">
        <v>1292</v>
      </c>
      <c r="B25" s="89"/>
      <c r="C25" s="90">
        <f>SUM(C26:C27)</f>
        <v>9005666049.1399994</v>
      </c>
      <c r="D25" s="90">
        <f t="shared" ref="D25:F25" si="9">SUM(D26:D27)</f>
        <v>1519297794.3499999</v>
      </c>
      <c r="E25" s="164">
        <f t="shared" ref="E25:E27" si="10">D25/C25</f>
        <v>0.1687046561642252</v>
      </c>
      <c r="F25" s="90">
        <f t="shared" si="9"/>
        <v>336093935.85000002</v>
      </c>
      <c r="G25" s="164">
        <f t="shared" si="2"/>
        <v>3.7320275259606753E-2</v>
      </c>
    </row>
    <row r="26" spans="1:7" ht="30" customHeight="1">
      <c r="A26" s="16"/>
      <c r="B26" s="87" t="s">
        <v>1315</v>
      </c>
      <c r="C26" s="91">
        <f>SUM('SGTO POAI 2023 MARZO'!AT52:AT72)</f>
        <v>1712389488</v>
      </c>
      <c r="D26" s="91">
        <f>SUM('SGTO POAI 2023 MARZO'!AU52:AU72)</f>
        <v>618264200</v>
      </c>
      <c r="E26" s="164">
        <f t="shared" si="10"/>
        <v>0.3610534894850978</v>
      </c>
      <c r="F26" s="91">
        <f>SUM('SGTO POAI 2023 MARZO'!AV52:AV72)</f>
        <v>273729200</v>
      </c>
      <c r="G26" s="164">
        <f t="shared" si="2"/>
        <v>0.15985218428297196</v>
      </c>
    </row>
    <row r="27" spans="1:7" ht="30" customHeight="1">
      <c r="A27" s="16"/>
      <c r="B27" s="20" t="s">
        <v>1320</v>
      </c>
      <c r="C27" s="29">
        <f>SUM('SGTO POAI 2023 MARZO'!AW52:AW72)</f>
        <v>7293276561.1399994</v>
      </c>
      <c r="D27" s="29">
        <f>SUM('SGTO POAI 2023 MARZO'!AX52:AX72)</f>
        <v>901033594.35000002</v>
      </c>
      <c r="E27" s="164">
        <f t="shared" si="10"/>
        <v>0.12354304499446557</v>
      </c>
      <c r="F27" s="29">
        <f>SUM('SGTO POAI 2023 MARZO'!AY52:AY72)</f>
        <v>62364735.850000001</v>
      </c>
      <c r="G27" s="164">
        <f t="shared" si="2"/>
        <v>8.5509901245609532E-3</v>
      </c>
    </row>
    <row r="28" spans="1:7" ht="30" customHeight="1">
      <c r="C28" s="38"/>
      <c r="D28" s="38"/>
      <c r="E28" s="38"/>
      <c r="F28" s="38"/>
    </row>
    <row r="29" spans="1:7" ht="30" customHeight="1">
      <c r="A29" s="65" t="s">
        <v>1294</v>
      </c>
      <c r="B29" s="63"/>
      <c r="C29" s="64">
        <f>SUM(C30:C32)</f>
        <v>3959930987.3400002</v>
      </c>
      <c r="D29" s="64">
        <f t="shared" ref="D29:F29" si="11">SUM(D30:D32)</f>
        <v>581014999.67000008</v>
      </c>
      <c r="E29" s="164">
        <f t="shared" ref="E29:E32" si="12">D29/C29</f>
        <v>0.14672351652781823</v>
      </c>
      <c r="F29" s="64">
        <f t="shared" si="11"/>
        <v>216539999.67000002</v>
      </c>
      <c r="G29" s="164">
        <f t="shared" si="2"/>
        <v>5.4682771079163722E-2</v>
      </c>
    </row>
    <row r="30" spans="1:7" ht="30" customHeight="1">
      <c r="A30" s="16"/>
      <c r="B30" s="20" t="s">
        <v>1321</v>
      </c>
      <c r="C30" s="29">
        <f>SUM('SGTO POAI 2023 MARZO'!AB73:AB82)</f>
        <v>2648373464.04</v>
      </c>
      <c r="D30" s="29">
        <f>SUM('SGTO POAI 2023 MARZO'!AC73:AC82)</f>
        <v>233755000</v>
      </c>
      <c r="E30" s="164">
        <f t="shared" si="12"/>
        <v>8.8263609031716775E-2</v>
      </c>
      <c r="F30" s="29">
        <f>SUM('SGTO POAI 2023 MARZO'!AD73:AD82)</f>
        <v>90685000</v>
      </c>
      <c r="G30" s="164">
        <f t="shared" si="2"/>
        <v>3.424177187671381E-2</v>
      </c>
    </row>
    <row r="31" spans="1:7" ht="30" customHeight="1">
      <c r="A31" s="16"/>
      <c r="B31" s="86" t="s">
        <v>1315</v>
      </c>
      <c r="C31" s="29">
        <f>SUM('SGTO POAI 2023 MARZO'!AT73:AT82)</f>
        <v>1183838679</v>
      </c>
      <c r="D31" s="29">
        <f>SUM('SGTO POAI 2023 MARZO'!AU73:AU82)</f>
        <v>347259999.67000002</v>
      </c>
      <c r="E31" s="164">
        <f t="shared" si="12"/>
        <v>0.29333388562986801</v>
      </c>
      <c r="F31" s="29">
        <f>SUM('SGTO POAI 2023 MARZO'!AV73:AV82)</f>
        <v>125854999.67</v>
      </c>
      <c r="G31" s="164">
        <f t="shared" si="2"/>
        <v>0.10631093737899402</v>
      </c>
    </row>
    <row r="32" spans="1:7" s="39" customFormat="1" ht="30" customHeight="1">
      <c r="A32" s="16"/>
      <c r="B32" s="20" t="s">
        <v>1322</v>
      </c>
      <c r="C32" s="21">
        <f>'SGTO POAI 2023 MARZO'!AW82</f>
        <v>127718844.30000001</v>
      </c>
      <c r="D32" s="21">
        <f>'SGTO POAI 2023 MARZO'!AX82</f>
        <v>0</v>
      </c>
      <c r="E32" s="164">
        <f t="shared" si="12"/>
        <v>0</v>
      </c>
      <c r="F32" s="21">
        <f>'SGTO POAI 2023 MARZO'!AY82</f>
        <v>0</v>
      </c>
      <c r="G32" s="164">
        <f t="shared" si="2"/>
        <v>0</v>
      </c>
    </row>
    <row r="33" spans="1:7" ht="30" customHeight="1">
      <c r="C33" s="38"/>
      <c r="D33" s="38"/>
      <c r="E33" s="38"/>
      <c r="F33" s="38"/>
    </row>
    <row r="34" spans="1:7" ht="30" customHeight="1">
      <c r="A34" s="65" t="s">
        <v>1295</v>
      </c>
      <c r="B34" s="63"/>
      <c r="C34" s="64">
        <f>SUM(C35:C36)</f>
        <v>2740910173.9000001</v>
      </c>
      <c r="D34" s="64">
        <f t="shared" ref="D34:F34" si="13">SUM(D35:D36)</f>
        <v>981947000</v>
      </c>
      <c r="E34" s="164">
        <f t="shared" ref="E34:E36" si="14">D34/C34</f>
        <v>0.35825581201108914</v>
      </c>
      <c r="F34" s="64">
        <f t="shared" si="13"/>
        <v>356901999.00999999</v>
      </c>
      <c r="G34" s="164">
        <f t="shared" si="2"/>
        <v>0.13021294984730181</v>
      </c>
    </row>
    <row r="35" spans="1:7" ht="30" customHeight="1">
      <c r="A35" s="16"/>
      <c r="B35" s="86" t="s">
        <v>1315</v>
      </c>
      <c r="C35" s="29">
        <f>SUM('SGTO POAI 2023 MARZO'!AT83:AT93)</f>
        <v>1630879143</v>
      </c>
      <c r="D35" s="29">
        <f>SUM('SGTO POAI 2023 MARZO'!AU83:AU93)</f>
        <v>416805000</v>
      </c>
      <c r="E35" s="164">
        <f t="shared" si="14"/>
        <v>0.25557074648295997</v>
      </c>
      <c r="F35" s="29">
        <f>SUM('SGTO POAI 2023 MARZO'!AV83:AV93)</f>
        <v>113250000</v>
      </c>
      <c r="G35" s="164">
        <f t="shared" si="2"/>
        <v>6.9441074457348678E-2</v>
      </c>
    </row>
    <row r="36" spans="1:7" s="39" customFormat="1" ht="30" customHeight="1">
      <c r="A36" s="16"/>
      <c r="B36" s="20" t="s">
        <v>1323</v>
      </c>
      <c r="C36" s="29">
        <f>'SGTO POAI 2023 MARZO'!AW88</f>
        <v>1110031030.9000001</v>
      </c>
      <c r="D36" s="29">
        <f>'SGTO POAI 2023 MARZO'!AX88</f>
        <v>565142000</v>
      </c>
      <c r="E36" s="164">
        <f t="shared" si="14"/>
        <v>0.5091227040218772</v>
      </c>
      <c r="F36" s="29">
        <f>'SGTO POAI 2023 MARZO'!AY88</f>
        <v>243651999.00999999</v>
      </c>
      <c r="G36" s="164">
        <f t="shared" si="2"/>
        <v>0.21950016911910095</v>
      </c>
    </row>
    <row r="37" spans="1:7" ht="30" customHeight="1">
      <c r="C37" s="38"/>
      <c r="D37" s="38"/>
      <c r="E37" s="38"/>
      <c r="F37" s="38"/>
    </row>
    <row r="38" spans="1:7" ht="30" customHeight="1">
      <c r="A38" s="65" t="s">
        <v>1297</v>
      </c>
      <c r="B38" s="63"/>
      <c r="C38" s="64">
        <f>C39</f>
        <v>4551806900</v>
      </c>
      <c r="D38" s="64">
        <f t="shared" ref="D38:F38" si="15">D39</f>
        <v>590241617</v>
      </c>
      <c r="E38" s="164">
        <f t="shared" ref="E38:E39" si="16">D38/C38</f>
        <v>0.12967193687412354</v>
      </c>
      <c r="F38" s="64">
        <f t="shared" si="15"/>
        <v>203196666</v>
      </c>
      <c r="G38" s="164">
        <f t="shared" si="2"/>
        <v>4.4640880086543211E-2</v>
      </c>
    </row>
    <row r="39" spans="1:7" ht="30" customHeight="1">
      <c r="A39" s="16"/>
      <c r="B39" s="86" t="s">
        <v>1315</v>
      </c>
      <c r="C39" s="29">
        <f>SUM('SGTO POAI 2023 MARZO'!AT94:AT130)</f>
        <v>4551806900</v>
      </c>
      <c r="D39" s="29">
        <f>SUM('SGTO POAI 2023 MARZO'!AU94:AU130)</f>
        <v>590241617</v>
      </c>
      <c r="E39" s="164">
        <f t="shared" si="16"/>
        <v>0.12967193687412354</v>
      </c>
      <c r="F39" s="29">
        <f>SUM('SGTO POAI 2023 MARZO'!AV94:AV130)</f>
        <v>203196666</v>
      </c>
      <c r="G39" s="164">
        <f t="shared" si="2"/>
        <v>4.4640880086543211E-2</v>
      </c>
    </row>
    <row r="40" spans="1:7" ht="30" customHeight="1">
      <c r="C40" s="38"/>
      <c r="D40" s="38"/>
      <c r="E40" s="38"/>
      <c r="F40" s="38"/>
    </row>
    <row r="41" spans="1:7" ht="30" customHeight="1">
      <c r="A41" s="65" t="s">
        <v>1419</v>
      </c>
      <c r="B41" s="63"/>
      <c r="C41" s="64">
        <f>C42</f>
        <v>3343243430</v>
      </c>
      <c r="D41" s="64">
        <f t="shared" ref="D41:F41" si="17">D42</f>
        <v>1018928000</v>
      </c>
      <c r="E41" s="164">
        <f t="shared" ref="E41:E42" si="18">D41/C41</f>
        <v>0.30477230310447362</v>
      </c>
      <c r="F41" s="64">
        <f t="shared" si="17"/>
        <v>235130000</v>
      </c>
      <c r="G41" s="164">
        <f t="shared" si="2"/>
        <v>7.0329907146486195E-2</v>
      </c>
    </row>
    <row r="42" spans="1:7" ht="30" customHeight="1">
      <c r="A42" s="16"/>
      <c r="B42" s="86" t="s">
        <v>1315</v>
      </c>
      <c r="C42" s="29">
        <f>SUM('SGTO POAI 2023 MARZO'!AT131:AT134)</f>
        <v>3343243430</v>
      </c>
      <c r="D42" s="29">
        <f>SUM('SGTO POAI 2023 MARZO'!AU131:AU134)</f>
        <v>1018928000</v>
      </c>
      <c r="E42" s="164">
        <f t="shared" si="18"/>
        <v>0.30477230310447362</v>
      </c>
      <c r="F42" s="29">
        <f>SUM('SGTO POAI 2023 MARZO'!AV131:AV134)</f>
        <v>235130000</v>
      </c>
      <c r="G42" s="164">
        <f t="shared" si="2"/>
        <v>7.0329907146486195E-2</v>
      </c>
    </row>
    <row r="43" spans="1:7" ht="30" customHeight="1">
      <c r="B43" s="59"/>
      <c r="C43" s="60"/>
      <c r="D43" s="60"/>
      <c r="E43" s="60"/>
      <c r="F43" s="60"/>
    </row>
    <row r="44" spans="1:7" ht="30" customHeight="1">
      <c r="A44" s="65" t="s">
        <v>1374</v>
      </c>
      <c r="B44" s="63"/>
      <c r="C44" s="64">
        <f>SUM(C45:C48)</f>
        <v>213645814849.24997</v>
      </c>
      <c r="D44" s="64">
        <f t="shared" ref="D44:F44" si="19">SUM(D45:D48)</f>
        <v>58593949470.360008</v>
      </c>
      <c r="E44" s="164">
        <f t="shared" ref="E44:E48" si="20">D44/C44</f>
        <v>0.27425741764098832</v>
      </c>
      <c r="F44" s="64">
        <f t="shared" si="19"/>
        <v>40947479903.300003</v>
      </c>
      <c r="G44" s="164">
        <f t="shared" si="2"/>
        <v>0.19166057585632015</v>
      </c>
    </row>
    <row r="45" spans="1:7" ht="30" customHeight="1">
      <c r="A45" s="16"/>
      <c r="B45" s="20" t="s">
        <v>1324</v>
      </c>
      <c r="C45" s="21">
        <f>SUM('SGTO POAI 2023 MARZO'!AE135:AE170)</f>
        <v>4513641871.3699999</v>
      </c>
      <c r="D45" s="21">
        <f>SUM('SGTO POAI 2023 MARZO'!AF135:AF170)</f>
        <v>2773183027</v>
      </c>
      <c r="E45" s="164">
        <f t="shared" si="20"/>
        <v>0.6144003237364225</v>
      </c>
      <c r="F45" s="21">
        <f>SUM('SGTO POAI 2023 MARZO'!AG135:AG170)</f>
        <v>60197609</v>
      </c>
      <c r="G45" s="164">
        <f t="shared" si="2"/>
        <v>1.3336815528461181E-2</v>
      </c>
    </row>
    <row r="46" spans="1:7" ht="30" customHeight="1">
      <c r="A46" s="16"/>
      <c r="B46" s="20" t="s">
        <v>1325</v>
      </c>
      <c r="C46" s="29">
        <f>SUM('SGTO POAI 2023 MARZO'!AN135:AN170)</f>
        <v>187146608586.22998</v>
      </c>
      <c r="D46" s="29">
        <f>SUM('SGTO POAI 2023 MARZO'!AO135:AO170)</f>
        <v>41201225150.620003</v>
      </c>
      <c r="E46" s="164">
        <f t="shared" si="20"/>
        <v>0.22015480516514976</v>
      </c>
      <c r="F46" s="29">
        <f>SUM('SGTO POAI 2023 MARZO'!AP135:AP170)</f>
        <v>39850816546</v>
      </c>
      <c r="G46" s="164">
        <f t="shared" si="2"/>
        <v>0.21293902597031714</v>
      </c>
    </row>
    <row r="47" spans="1:7" ht="30" customHeight="1">
      <c r="A47" s="92"/>
      <c r="B47" s="95" t="s">
        <v>1315</v>
      </c>
      <c r="C47" s="96">
        <f>SUM('SGTO POAI 2023 MARZO'!AT135:AT170)</f>
        <v>12044728478</v>
      </c>
      <c r="D47" s="96">
        <f>SUM('SGTO POAI 2023 MARZO'!AU135:AU170)</f>
        <v>7757184281.3000002</v>
      </c>
      <c r="E47" s="164">
        <f t="shared" si="20"/>
        <v>0.64403147779285297</v>
      </c>
      <c r="F47" s="96">
        <f>SUM('SGTO POAI 2023 MARZO'!AV135:AV170)</f>
        <v>1018465748.3</v>
      </c>
      <c r="G47" s="164">
        <f t="shared" si="2"/>
        <v>8.4556970309480478E-2</v>
      </c>
    </row>
    <row r="48" spans="1:7" ht="30" customHeight="1">
      <c r="A48" s="16"/>
      <c r="B48" s="93" t="s">
        <v>1326</v>
      </c>
      <c r="C48" s="97">
        <f>'SGTO POAI 2023 MARZO'!BC140</f>
        <v>9940835913.6499996</v>
      </c>
      <c r="D48" s="97">
        <f>'SGTO POAI 2023 MARZO'!BD140</f>
        <v>6862357011.4399996</v>
      </c>
      <c r="E48" s="164">
        <f t="shared" si="20"/>
        <v>0.69031991585507746</v>
      </c>
      <c r="F48" s="97">
        <f>'SGTO POAI 2023 MARZO'!BE140</f>
        <v>18000000</v>
      </c>
      <c r="G48" s="164">
        <f t="shared" si="2"/>
        <v>1.8107129175408449E-3</v>
      </c>
    </row>
    <row r="49" spans="1:7" s="39" customFormat="1" ht="30" customHeight="1">
      <c r="A49" s="5"/>
      <c r="B49" s="6"/>
      <c r="C49" s="38"/>
      <c r="D49" s="38"/>
      <c r="E49" s="38"/>
      <c r="F49" s="38"/>
    </row>
    <row r="50" spans="1:7" s="39" customFormat="1" ht="30" customHeight="1">
      <c r="A50" s="65" t="s">
        <v>1301</v>
      </c>
      <c r="B50" s="63"/>
      <c r="C50" s="64">
        <f>SUM(C51:C52)</f>
        <v>7537461518.4300003</v>
      </c>
      <c r="D50" s="64">
        <f t="shared" ref="D50:F50" si="21">SUM(D51:D52)</f>
        <v>1710985106.4300001</v>
      </c>
      <c r="E50" s="164">
        <f t="shared" ref="E50:E52" si="22">D50/C50</f>
        <v>0.22699752459716518</v>
      </c>
      <c r="F50" s="64">
        <f t="shared" si="21"/>
        <v>1241735106.4300001</v>
      </c>
      <c r="G50" s="164">
        <f t="shared" si="2"/>
        <v>0.16474181704195881</v>
      </c>
    </row>
    <row r="51" spans="1:7" s="39" customFormat="1" ht="30" customHeight="1">
      <c r="A51" s="16"/>
      <c r="B51" s="20" t="s">
        <v>1327</v>
      </c>
      <c r="C51" s="29">
        <f>'SGTO POAI 2023 MARZO'!AB194</f>
        <v>5341788546.4300003</v>
      </c>
      <c r="D51" s="29">
        <f>'SGTO POAI 2023 MARZO'!AC194</f>
        <v>934325106.43000007</v>
      </c>
      <c r="E51" s="164">
        <f t="shared" si="22"/>
        <v>0.17490866557314852</v>
      </c>
      <c r="F51" s="29">
        <f>'SGTO POAI 2023 MARZO'!AD194</f>
        <v>934325106.43000007</v>
      </c>
      <c r="G51" s="164">
        <f t="shared" si="2"/>
        <v>0.17490866557314852</v>
      </c>
    </row>
    <row r="52" spans="1:7" s="39" customFormat="1" ht="30" customHeight="1">
      <c r="A52" s="16"/>
      <c r="B52" s="86" t="s">
        <v>1315</v>
      </c>
      <c r="C52" s="29">
        <f>SUM('SGTO POAI 2023 MARZO'!AT171:AT201)</f>
        <v>2195672972</v>
      </c>
      <c r="D52" s="29">
        <f>SUM('SGTO POAI 2023 MARZO'!AU171:AU201)</f>
        <v>776660000</v>
      </c>
      <c r="E52" s="164">
        <f t="shared" si="22"/>
        <v>0.3537229860294514</v>
      </c>
      <c r="F52" s="29">
        <f>SUM('SGTO POAI 2023 MARZO'!AV171:AV201)</f>
        <v>307410000</v>
      </c>
      <c r="G52" s="164">
        <f t="shared" si="2"/>
        <v>0.1400071886479459</v>
      </c>
    </row>
    <row r="53" spans="1:7" ht="30" customHeight="1">
      <c r="C53" s="38"/>
      <c r="D53" s="38"/>
      <c r="E53" s="38"/>
      <c r="F53" s="38"/>
    </row>
    <row r="54" spans="1:7" ht="30" customHeight="1">
      <c r="A54" s="65" t="s">
        <v>1302</v>
      </c>
      <c r="B54" s="63"/>
      <c r="C54" s="64">
        <f>SUM(C55:C59)</f>
        <v>53313292857.790001</v>
      </c>
      <c r="D54" s="64">
        <f t="shared" ref="D54:F54" si="23">SUM(D55:D59)</f>
        <v>39176601827.099998</v>
      </c>
      <c r="E54" s="164">
        <f t="shared" ref="E54:E59" si="24">D54/C54</f>
        <v>0.73483740596554836</v>
      </c>
      <c r="F54" s="64">
        <f t="shared" si="23"/>
        <v>8534465634.1400003</v>
      </c>
      <c r="G54" s="164">
        <f t="shared" si="2"/>
        <v>0.16008138264701027</v>
      </c>
    </row>
    <row r="55" spans="1:7" ht="30" customHeight="1">
      <c r="A55" s="16"/>
      <c r="B55" s="20" t="s">
        <v>1324</v>
      </c>
      <c r="C55" s="29">
        <f>SUM('SGTO POAI 2023 MARZO'!AE202:AE260)</f>
        <v>700000000</v>
      </c>
      <c r="D55" s="29">
        <f>SUM('SGTO POAI 2023 MARZO'!AF202:AF260)</f>
        <v>32878332</v>
      </c>
      <c r="E55" s="164">
        <f t="shared" si="24"/>
        <v>4.6969045714285715E-2</v>
      </c>
      <c r="F55" s="29">
        <f>SUM('SGTO POAI 2023 MARZO'!AG202:AG260)</f>
        <v>10600000</v>
      </c>
      <c r="G55" s="164">
        <f t="shared" si="2"/>
        <v>1.5142857142857144E-2</v>
      </c>
    </row>
    <row r="56" spans="1:7" ht="30" customHeight="1">
      <c r="A56" s="16"/>
      <c r="B56" s="20" t="s">
        <v>1328</v>
      </c>
      <c r="C56" s="29">
        <f>SUM('SGTO POAI 2023 MARZO'!AH202:AH260)</f>
        <v>7896965616.3899994</v>
      </c>
      <c r="D56" s="29">
        <f>SUM('SGTO POAI 2023 MARZO'!AI202:AI260)</f>
        <v>3432728191.0999999</v>
      </c>
      <c r="E56" s="164">
        <f t="shared" si="24"/>
        <v>0.43468951972836745</v>
      </c>
      <c r="F56" s="29">
        <f>SUM('SGTO POAI 2023 MARZO'!AJ202:AJ260)</f>
        <v>347136000</v>
      </c>
      <c r="G56" s="164">
        <f t="shared" si="2"/>
        <v>4.3958150112687076E-2</v>
      </c>
    </row>
    <row r="57" spans="1:7" ht="30" customHeight="1">
      <c r="A57" s="16"/>
      <c r="B57" s="20" t="s">
        <v>1329</v>
      </c>
      <c r="C57" s="29">
        <f>SUM('SGTO POAI 2023 MARZO'!AK202:AK260)</f>
        <v>40120770457.75</v>
      </c>
      <c r="D57" s="29">
        <f>SUM('SGTO POAI 2023 MARZO'!AL202:AL260)</f>
        <v>35150576446</v>
      </c>
      <c r="E57" s="164">
        <f t="shared" si="24"/>
        <v>0.87611917829484443</v>
      </c>
      <c r="F57" s="29">
        <f>SUM('SGTO POAI 2023 MARZO'!AM202:AM260)</f>
        <v>7918561831.1400003</v>
      </c>
      <c r="G57" s="164">
        <f t="shared" si="2"/>
        <v>0.19736813976388626</v>
      </c>
    </row>
    <row r="58" spans="1:7" ht="30" customHeight="1">
      <c r="A58" s="16"/>
      <c r="B58" s="20" t="s">
        <v>1315</v>
      </c>
      <c r="C58" s="29">
        <f>SUM('SGTO POAI 2023 MARZO'!AT202:AT260)</f>
        <v>1266975478</v>
      </c>
      <c r="D58" s="29">
        <f>SUM('SGTO POAI 2023 MARZO'!AU202:AU260)</f>
        <v>393806838</v>
      </c>
      <c r="E58" s="164">
        <f t="shared" si="24"/>
        <v>0.31082435677575126</v>
      </c>
      <c r="F58" s="29">
        <f>SUM('SGTO POAI 2023 MARZO'!AV202:AV260)</f>
        <v>222730174</v>
      </c>
      <c r="G58" s="164">
        <f t="shared" si="2"/>
        <v>0.17579675208204779</v>
      </c>
    </row>
    <row r="59" spans="1:7" ht="30" customHeight="1">
      <c r="A59" s="16"/>
      <c r="B59" s="20" t="s">
        <v>1330</v>
      </c>
      <c r="C59" s="29">
        <f>SUM('SGTO POAI 2023 MARZO'!BC202:BC260)</f>
        <v>3328581305.6500001</v>
      </c>
      <c r="D59" s="29">
        <f>SUM('SGTO POAI 2023 MARZO'!BD202:BD260)</f>
        <v>166612020</v>
      </c>
      <c r="E59" s="164">
        <f t="shared" si="24"/>
        <v>5.0054964773487566E-2</v>
      </c>
      <c r="F59" s="29">
        <f>SUM('SGTO POAI 2023 MARZO'!BE202:BE260)</f>
        <v>35437629</v>
      </c>
      <c r="G59" s="164">
        <f t="shared" si="2"/>
        <v>1.0646466390905778E-2</v>
      </c>
    </row>
    <row r="60" spans="1:7" s="4" customFormat="1" ht="30" customHeight="1">
      <c r="A60" s="5"/>
      <c r="B60" s="6"/>
      <c r="C60" s="38"/>
      <c r="D60" s="38"/>
      <c r="E60" s="38"/>
      <c r="F60" s="38"/>
    </row>
    <row r="61" spans="1:7" s="4" customFormat="1" ht="30" customHeight="1">
      <c r="A61" s="56" t="s">
        <v>1331</v>
      </c>
      <c r="B61" s="63"/>
      <c r="C61" s="64">
        <f>C62</f>
        <v>1266894018</v>
      </c>
      <c r="D61" s="64">
        <f t="shared" ref="D61:F61" si="25">D62</f>
        <v>579300000</v>
      </c>
      <c r="E61" s="164">
        <f t="shared" ref="E61:E62" si="26">D61/C61</f>
        <v>0.45726003262255516</v>
      </c>
      <c r="F61" s="64">
        <f t="shared" si="25"/>
        <v>242300000</v>
      </c>
      <c r="G61" s="164">
        <f t="shared" si="2"/>
        <v>0.19125514570075111</v>
      </c>
    </row>
    <row r="62" spans="1:7" s="4" customFormat="1" ht="30" customHeight="1">
      <c r="A62" s="31"/>
      <c r="B62" s="23" t="s">
        <v>1315</v>
      </c>
      <c r="C62" s="29">
        <f>'SGTO POAI 2023 MARZO'!BF261+'SGTO POAI 2023 MARZO'!BF262+'SGTO POAI 2023 MARZO'!BF263+'SGTO POAI 2023 MARZO'!BF264+'SGTO POAI 2023 MARZO'!BF265+'SGTO POAI 2023 MARZO'!BF266+'SGTO POAI 2023 MARZO'!BF267+'SGTO POAI 2023 MARZO'!BF268+'SGTO POAI 2023 MARZO'!BF269+'SGTO POAI 2023 MARZO'!BF270+'SGTO POAI 2023 MARZO'!BF271+'SGTO POAI 2023 MARZO'!BF272+'SGTO POAI 2023 MARZO'!BF273+'SGTO POAI 2023 MARZO'!BF274+'SGTO POAI 2023 MARZO'!BF275+'SGTO POAI 2023 MARZO'!BF276+'SGTO POAI 2023 MARZO'!BF277+'SGTO POAI 2023 MARZO'!BF278+'SGTO POAI 2023 MARZO'!BF279+'SGTO POAI 2023 MARZO'!BF280+'SGTO POAI 2023 MARZO'!BF281+'SGTO POAI 2023 MARZO'!BF282+'SGTO POAI 2023 MARZO'!BF283</f>
        <v>1266894018</v>
      </c>
      <c r="D62" s="29">
        <f>'SGTO POAI 2023 MARZO'!BG261+'SGTO POAI 2023 MARZO'!BG262+'SGTO POAI 2023 MARZO'!BG263+'SGTO POAI 2023 MARZO'!BG264+'SGTO POAI 2023 MARZO'!BG265+'SGTO POAI 2023 MARZO'!BG266+'SGTO POAI 2023 MARZO'!BG267+'SGTO POAI 2023 MARZO'!BG268+'SGTO POAI 2023 MARZO'!BG269+'SGTO POAI 2023 MARZO'!BG270+'SGTO POAI 2023 MARZO'!BG271+'SGTO POAI 2023 MARZO'!BG272+'SGTO POAI 2023 MARZO'!BG273+'SGTO POAI 2023 MARZO'!BG274+'SGTO POAI 2023 MARZO'!BG275+'SGTO POAI 2023 MARZO'!BG276+'SGTO POAI 2023 MARZO'!BG277+'SGTO POAI 2023 MARZO'!BG278+'SGTO POAI 2023 MARZO'!BG279+'SGTO POAI 2023 MARZO'!BG280+'SGTO POAI 2023 MARZO'!BG281+'SGTO POAI 2023 MARZO'!BG282+'SGTO POAI 2023 MARZO'!BG283</f>
        <v>579300000</v>
      </c>
      <c r="E62" s="164">
        <f t="shared" si="26"/>
        <v>0.45726003262255516</v>
      </c>
      <c r="F62" s="29">
        <f>'SGTO POAI 2023 MARZO'!BH261+'SGTO POAI 2023 MARZO'!BH262+'SGTO POAI 2023 MARZO'!BH263+'SGTO POAI 2023 MARZO'!BH264+'SGTO POAI 2023 MARZO'!BH265+'SGTO POAI 2023 MARZO'!BH266+'SGTO POAI 2023 MARZO'!BH267+'SGTO POAI 2023 MARZO'!BH268+'SGTO POAI 2023 MARZO'!BH269+'SGTO POAI 2023 MARZO'!BH270+'SGTO POAI 2023 MARZO'!BH271+'SGTO POAI 2023 MARZO'!BH272+'SGTO POAI 2023 MARZO'!BH273+'SGTO POAI 2023 MARZO'!BH274+'SGTO POAI 2023 MARZO'!BH275+'SGTO POAI 2023 MARZO'!BH276+'SGTO POAI 2023 MARZO'!BH277+'SGTO POAI 2023 MARZO'!BH278+'SGTO POAI 2023 MARZO'!BH279+'SGTO POAI 2023 MARZO'!BH280+'SGTO POAI 2023 MARZO'!BH281+'SGTO POAI 2023 MARZO'!BH282+'SGTO POAI 2023 MARZO'!BH283</f>
        <v>242300000</v>
      </c>
      <c r="G62" s="164">
        <f t="shared" si="2"/>
        <v>0.19125514570075111</v>
      </c>
    </row>
    <row r="63" spans="1:7" s="9" customFormat="1" ht="30" customHeight="1">
      <c r="A63" s="5"/>
      <c r="B63" s="6"/>
      <c r="C63" s="38"/>
      <c r="D63" s="38"/>
      <c r="E63" s="38"/>
      <c r="F63" s="38"/>
    </row>
    <row r="64" spans="1:7" s="39" customFormat="1" ht="30" customHeight="1">
      <c r="A64" s="78" t="s">
        <v>1306</v>
      </c>
      <c r="B64" s="81"/>
      <c r="C64" s="82">
        <f>C6+C10+C13+C17+C25+C29+C34+C38+C41+C44+C50+C54+C61</f>
        <v>406043234113.46997</v>
      </c>
      <c r="D64" s="82">
        <f t="shared" ref="D64:F64" si="27">D6+D10+D13+D17+D25+D29+D34+D38+D41+D44+D50+D54+D61</f>
        <v>116985631153.91</v>
      </c>
      <c r="E64" s="164">
        <f>D64/C64</f>
        <v>0.28811126827252592</v>
      </c>
      <c r="F64" s="82">
        <f t="shared" si="27"/>
        <v>53381739244.400002</v>
      </c>
      <c r="G64" s="164">
        <f t="shared" si="2"/>
        <v>0.13146811659342245</v>
      </c>
    </row>
    <row r="65" spans="1:7" ht="30" customHeight="1">
      <c r="C65" s="38"/>
      <c r="D65" s="38"/>
      <c r="E65" s="38"/>
      <c r="F65" s="38"/>
    </row>
    <row r="66" spans="1:7" ht="30" customHeight="1">
      <c r="A66" s="65" t="s">
        <v>1307</v>
      </c>
      <c r="B66" s="63"/>
      <c r="C66" s="64">
        <f>SUM(C67:C70)</f>
        <v>9310061302.6199989</v>
      </c>
      <c r="D66" s="64">
        <f>SUM(D67:D70)</f>
        <v>2357978628</v>
      </c>
      <c r="E66" s="164">
        <f t="shared" ref="E66:E70" si="28">D66/C66</f>
        <v>0.2532720839696756</v>
      </c>
      <c r="F66" s="64">
        <f>SUM(F67:F70)</f>
        <v>436643218</v>
      </c>
      <c r="G66" s="164">
        <f t="shared" si="2"/>
        <v>4.6900144242564938E-2</v>
      </c>
    </row>
    <row r="67" spans="1:7" ht="30" customHeight="1">
      <c r="A67" s="16"/>
      <c r="B67" s="94" t="s">
        <v>1521</v>
      </c>
      <c r="C67" s="29">
        <f>SUM('SGTO POAI 2023 MARZO'!AB284:AB289)</f>
        <v>5147947220.8199997</v>
      </c>
      <c r="D67" s="29">
        <f>SUM('SGTO POAI 2023 MARZO'!AC284:AC289)</f>
        <v>1523556178</v>
      </c>
      <c r="E67" s="164">
        <f t="shared" si="28"/>
        <v>0.29595411775750835</v>
      </c>
      <c r="F67" s="29">
        <f>SUM('SGTO POAI 2023 MARZO'!AD284:AD289)</f>
        <v>173641490</v>
      </c>
      <c r="G67" s="164">
        <f t="shared" si="2"/>
        <v>3.3730238977147324E-2</v>
      </c>
    </row>
    <row r="68" spans="1:7" ht="30" customHeight="1">
      <c r="A68" s="16"/>
      <c r="B68" s="94" t="s">
        <v>1332</v>
      </c>
      <c r="C68" s="29">
        <f>SUM('SGTO POAI 2023 MARZO'!AE284:AE289)</f>
        <v>944078928.96000004</v>
      </c>
      <c r="D68" s="29">
        <f>SUM('SGTO POAI 2023 MARZO'!AF284:AF289)</f>
        <v>343239692.64999998</v>
      </c>
      <c r="E68" s="164">
        <f t="shared" si="28"/>
        <v>0.36357097073240874</v>
      </c>
      <c r="F68" s="29">
        <f>SUM('SGTO POAI 2023 MARZO'!AG284:AG289)</f>
        <v>65500000</v>
      </c>
      <c r="G68" s="164">
        <f t="shared" si="2"/>
        <v>6.9379792293590301E-2</v>
      </c>
    </row>
    <row r="69" spans="1:7" ht="30" customHeight="1">
      <c r="A69" s="16"/>
      <c r="B69" s="94" t="s">
        <v>1523</v>
      </c>
      <c r="C69" s="29">
        <f>SUM('SGTO POAI 2023 MARZO'!AW284:AW289)</f>
        <v>2018035152.8399997</v>
      </c>
      <c r="D69" s="29">
        <f>SUM('SGTO POAI 2023 MARZO'!AX284:AX289)</f>
        <v>296182757.35000002</v>
      </c>
      <c r="E69" s="164">
        <f t="shared" si="28"/>
        <v>0.14676788802869925</v>
      </c>
      <c r="F69" s="29">
        <f>SUM('SGTO POAI 2023 MARZO'!AY284:AY289)</f>
        <v>104751728</v>
      </c>
      <c r="G69" s="164">
        <f t="shared" si="2"/>
        <v>5.1907781612516468E-2</v>
      </c>
    </row>
    <row r="70" spans="1:7" s="39" customFormat="1" ht="30" customHeight="1">
      <c r="A70" s="16"/>
      <c r="B70" s="94" t="s">
        <v>1333</v>
      </c>
      <c r="C70" s="29">
        <f>SUM('SGTO POAI 2023 MARZO'!BC284:BC289)</f>
        <v>1200000000</v>
      </c>
      <c r="D70" s="29">
        <f>SUM('SGTO POAI 2023 MARZO'!BD284:BD289)</f>
        <v>195000000</v>
      </c>
      <c r="E70" s="164">
        <f t="shared" si="28"/>
        <v>0.16250000000000001</v>
      </c>
      <c r="F70" s="29">
        <f>SUM('SGTO POAI 2023 MARZO'!BE284:BE289)</f>
        <v>92750000</v>
      </c>
      <c r="G70" s="164">
        <f t="shared" ref="G70" si="29">F70/C70</f>
        <v>7.7291666666666661E-2</v>
      </c>
    </row>
    <row r="71" spans="1:7" s="39" customFormat="1" ht="30" customHeight="1">
      <c r="A71" s="5"/>
      <c r="B71" s="6"/>
      <c r="C71" s="38"/>
      <c r="D71" s="38"/>
      <c r="E71" s="38"/>
      <c r="F71" s="38"/>
    </row>
    <row r="72" spans="1:7" s="39" customFormat="1" ht="30" customHeight="1">
      <c r="A72" s="65" t="s">
        <v>1308</v>
      </c>
      <c r="B72" s="63"/>
      <c r="C72" s="64">
        <f>SUM(C73:C74)</f>
        <v>4454923248</v>
      </c>
      <c r="D72" s="64">
        <f t="shared" ref="D72:F72" si="30">SUM(D73:D74)</f>
        <v>778829000</v>
      </c>
      <c r="E72" s="164">
        <f t="shared" ref="E72:E74" si="31">D72/C72</f>
        <v>0.17482433627776836</v>
      </c>
      <c r="F72" s="64">
        <f t="shared" si="30"/>
        <v>198298500</v>
      </c>
      <c r="G72" s="164">
        <f t="shared" ref="G72:G74" si="32">F72/C72</f>
        <v>4.4512214680471639E-2</v>
      </c>
    </row>
    <row r="73" spans="1:7" ht="30" customHeight="1">
      <c r="A73" s="45"/>
      <c r="B73" s="20" t="s">
        <v>1334</v>
      </c>
      <c r="C73" s="29">
        <f>SUM('SGTO POAI 2023 MARZO'!AB290:AB301)</f>
        <v>3158923248</v>
      </c>
      <c r="D73" s="29">
        <f>SUM('SGTO POAI 2023 MARZO'!AC290:AC301)</f>
        <v>558079000</v>
      </c>
      <c r="E73" s="164">
        <f t="shared" si="31"/>
        <v>0.17666747691743856</v>
      </c>
      <c r="F73" s="29">
        <f>SUM('SGTO POAI 2023 MARZO'!AD290:AD301)</f>
        <v>142399500</v>
      </c>
      <c r="G73" s="164">
        <f t="shared" si="32"/>
        <v>4.5078493151157438E-2</v>
      </c>
    </row>
    <row r="74" spans="1:7" s="39" customFormat="1" ht="30" customHeight="1">
      <c r="A74" s="45"/>
      <c r="B74" s="20" t="s">
        <v>1335</v>
      </c>
      <c r="C74" s="29">
        <f>SUM('SGTO POAI 2023 MARZO'!AW290:AW301)</f>
        <v>1296000000</v>
      </c>
      <c r="D74" s="29">
        <f>SUM('SGTO POAI 2023 MARZO'!AX290:AX301)</f>
        <v>220750000</v>
      </c>
      <c r="E74" s="164">
        <f t="shared" si="31"/>
        <v>0.17033179012345678</v>
      </c>
      <c r="F74" s="29">
        <f>SUM('SGTO POAI 2023 MARZO'!AY290:AY301)</f>
        <v>55899000</v>
      </c>
      <c r="G74" s="164">
        <f t="shared" si="32"/>
        <v>4.3131944444444445E-2</v>
      </c>
    </row>
    <row r="75" spans="1:7" ht="30" customHeight="1">
      <c r="C75" s="38"/>
      <c r="D75" s="38"/>
      <c r="E75" s="38"/>
      <c r="F75" s="38"/>
    </row>
    <row r="76" spans="1:7" ht="30" customHeight="1">
      <c r="A76" s="56" t="s">
        <v>1309</v>
      </c>
      <c r="B76" s="63"/>
      <c r="C76" s="64">
        <f>C77</f>
        <v>118932650</v>
      </c>
      <c r="D76" s="64">
        <f t="shared" ref="D76:F76" si="33">D77</f>
        <v>61000000</v>
      </c>
      <c r="E76" s="164">
        <f t="shared" ref="E76:E77" si="34">D76/C76</f>
        <v>0.51289532352974565</v>
      </c>
      <c r="F76" s="64">
        <f t="shared" si="33"/>
        <v>25750000</v>
      </c>
      <c r="G76" s="164">
        <f t="shared" ref="G76:G77" si="35">F76/C76</f>
        <v>0.21650909149001557</v>
      </c>
    </row>
    <row r="77" spans="1:7" s="39" customFormat="1" ht="30" customHeight="1">
      <c r="A77" s="31"/>
      <c r="B77" s="23" t="s">
        <v>1336</v>
      </c>
      <c r="C77" s="29">
        <f>'SGTO POAI 2023 MARZO'!BF302+'SGTO POAI 2023 MARZO'!BF303+'SGTO POAI 2023 MARZO'!BF304+'SGTO POAI 2023 MARZO'!BF305</f>
        <v>118932650</v>
      </c>
      <c r="D77" s="29">
        <f>'SGTO POAI 2023 MARZO'!BG302+'SGTO POAI 2023 MARZO'!BG303+'SGTO POAI 2023 MARZO'!BG304+'SGTO POAI 2023 MARZO'!BG305</f>
        <v>61000000</v>
      </c>
      <c r="E77" s="164">
        <f t="shared" si="34"/>
        <v>0.51289532352974565</v>
      </c>
      <c r="F77" s="29">
        <f>'SGTO POAI 2023 MARZO'!BH302+'SGTO POAI 2023 MARZO'!BH303+'SGTO POAI 2023 MARZO'!BH304+'SGTO POAI 2023 MARZO'!BH305</f>
        <v>25750000</v>
      </c>
      <c r="G77" s="164">
        <f t="shared" si="35"/>
        <v>0.21650909149001557</v>
      </c>
    </row>
    <row r="78" spans="1:7" s="9" customFormat="1" ht="30" customHeight="1">
      <c r="A78" s="5"/>
      <c r="B78" s="6"/>
      <c r="C78" s="51"/>
      <c r="D78" s="51"/>
      <c r="E78" s="51"/>
      <c r="F78" s="51"/>
    </row>
    <row r="79" spans="1:7" s="9" customFormat="1" ht="30" customHeight="1">
      <c r="A79" s="78" t="s">
        <v>1310</v>
      </c>
      <c r="B79" s="78"/>
      <c r="C79" s="79">
        <f>C76+C72+C66</f>
        <v>13883917200.619999</v>
      </c>
      <c r="D79" s="79">
        <f>D76+D72+D66</f>
        <v>3197807628</v>
      </c>
      <c r="E79" s="164">
        <f>D79/C79</f>
        <v>0.23032459656682475</v>
      </c>
      <c r="F79" s="79">
        <f>F76+F72+F66</f>
        <v>660691718</v>
      </c>
      <c r="G79" s="164">
        <f t="shared" ref="G79" si="36">F79/C79</f>
        <v>4.7586837954528872E-2</v>
      </c>
    </row>
    <row r="80" spans="1:7" s="9" customFormat="1" ht="30" customHeight="1" thickBot="1">
      <c r="A80" s="52"/>
      <c r="B80" s="53"/>
      <c r="C80" s="54"/>
      <c r="D80" s="54"/>
      <c r="E80" s="54"/>
      <c r="F80" s="54"/>
    </row>
    <row r="81" spans="1:7" ht="30" customHeight="1" thickBot="1">
      <c r="A81" s="74" t="s">
        <v>1311</v>
      </c>
      <c r="B81" s="76"/>
      <c r="C81" s="77">
        <f>C64+C79</f>
        <v>419927151314.08997</v>
      </c>
      <c r="D81" s="77">
        <f>D64+D79</f>
        <v>120183438781.91</v>
      </c>
      <c r="E81" s="165">
        <f>D81/C81</f>
        <v>0.28620068601379206</v>
      </c>
      <c r="F81" s="77">
        <f>F64+F79</f>
        <v>54042430962.400002</v>
      </c>
      <c r="G81" s="165">
        <f t="shared" ref="G81" si="37">F81/C81</f>
        <v>0.12869477668515475</v>
      </c>
    </row>
    <row r="82" spans="1:7" ht="28.5" customHeight="1"/>
    <row r="85" spans="1:7" ht="15.75" thickBot="1"/>
    <row r="86" spans="1:7" ht="15.75">
      <c r="C86" s="518" t="s">
        <v>1508</v>
      </c>
      <c r="D86" s="519"/>
    </row>
    <row r="87" spans="1:7">
      <c r="C87" s="520" t="s">
        <v>1500</v>
      </c>
      <c r="D87" s="521"/>
    </row>
    <row r="88" spans="1:7">
      <c r="C88" s="522" t="s">
        <v>1502</v>
      </c>
      <c r="D88" s="523"/>
    </row>
    <row r="89" spans="1:7">
      <c r="C89" s="503" t="s">
        <v>1504</v>
      </c>
      <c r="D89" s="504"/>
    </row>
    <row r="90" spans="1:7">
      <c r="C90" s="505" t="s">
        <v>1506</v>
      </c>
      <c r="D90" s="506"/>
    </row>
    <row r="91" spans="1:7">
      <c r="C91" s="507" t="s">
        <v>1507</v>
      </c>
      <c r="D91" s="508"/>
    </row>
  </sheetData>
  <mergeCells count="7">
    <mergeCell ref="C90:D90"/>
    <mergeCell ref="C91:D91"/>
    <mergeCell ref="A1:G3"/>
    <mergeCell ref="C86:D86"/>
    <mergeCell ref="C87:D87"/>
    <mergeCell ref="C88:D88"/>
    <mergeCell ref="C89:D89"/>
  </mergeCells>
  <conditionalFormatting sqref="E6 G66:G70 E66:E70">
    <cfRule type="cellIs" dxfId="274" priority="201" operator="between">
      <formula>0</formula>
      <formula>0.3999</formula>
    </cfRule>
    <cfRule type="cellIs" dxfId="273" priority="202" operator="between">
      <formula>0.3955</formula>
      <formula>0.5949</formula>
    </cfRule>
    <cfRule type="cellIs" dxfId="272" priority="203" operator="between">
      <formula>0.595</formula>
      <formula>0.6949</formula>
    </cfRule>
    <cfRule type="cellIs" dxfId="271" priority="204" operator="between">
      <formula>0.695</formula>
      <formula>0.7949</formula>
    </cfRule>
    <cfRule type="cellIs" dxfId="270" priority="205" operator="between">
      <formula>0.795</formula>
      <formula>1</formula>
    </cfRule>
  </conditionalFormatting>
  <conditionalFormatting sqref="E7:E8">
    <cfRule type="cellIs" dxfId="269" priority="196" operator="between">
      <formula>0</formula>
      <formula>0.3999</formula>
    </cfRule>
    <cfRule type="cellIs" dxfId="268" priority="197" operator="between">
      <formula>0.3955</formula>
      <formula>0.5949</formula>
    </cfRule>
    <cfRule type="cellIs" dxfId="267" priority="198" operator="between">
      <formula>0.595</formula>
      <formula>0.6949</formula>
    </cfRule>
    <cfRule type="cellIs" dxfId="266" priority="199" operator="between">
      <formula>0.695</formula>
      <formula>0.7949</formula>
    </cfRule>
    <cfRule type="cellIs" dxfId="265" priority="200" operator="between">
      <formula>0.795</formula>
      <formula>1</formula>
    </cfRule>
  </conditionalFormatting>
  <conditionalFormatting sqref="G6">
    <cfRule type="cellIs" dxfId="264" priority="191" operator="between">
      <formula>0</formula>
      <formula>0.3999</formula>
    </cfRule>
    <cfRule type="cellIs" dxfId="263" priority="192" operator="between">
      <formula>0.3955</formula>
      <formula>0.5949</formula>
    </cfRule>
    <cfRule type="cellIs" dxfId="262" priority="193" operator="between">
      <formula>0.595</formula>
      <formula>0.6949</formula>
    </cfRule>
    <cfRule type="cellIs" dxfId="261" priority="194" operator="between">
      <formula>0.695</formula>
      <formula>0.7949</formula>
    </cfRule>
    <cfRule type="cellIs" dxfId="260" priority="195" operator="between">
      <formula>0.795</formula>
      <formula>1</formula>
    </cfRule>
  </conditionalFormatting>
  <conditionalFormatting sqref="E81">
    <cfRule type="cellIs" dxfId="259" priority="1" operator="between">
      <formula>0</formula>
      <formula>0.3999</formula>
    </cfRule>
    <cfRule type="cellIs" dxfId="258" priority="2" operator="between">
      <formula>0.3955</formula>
      <formula>0.5949</formula>
    </cfRule>
    <cfRule type="cellIs" dxfId="257" priority="3" operator="between">
      <formula>0.595</formula>
      <formula>0.6949</formula>
    </cfRule>
    <cfRule type="cellIs" dxfId="256" priority="4" operator="between">
      <formula>0.695</formula>
      <formula>0.7949</formula>
    </cfRule>
    <cfRule type="cellIs" dxfId="255" priority="5" operator="between">
      <formula>0.795</formula>
      <formula>1</formula>
    </cfRule>
  </conditionalFormatting>
  <conditionalFormatting sqref="G7:G8">
    <cfRule type="cellIs" dxfId="254" priority="181" operator="between">
      <formula>0</formula>
      <formula>0.3999</formula>
    </cfRule>
    <cfRule type="cellIs" dxfId="253" priority="182" operator="between">
      <formula>0.3955</formula>
      <formula>0.5949</formula>
    </cfRule>
    <cfRule type="cellIs" dxfId="252" priority="183" operator="between">
      <formula>0.595</formula>
      <formula>0.6949</formula>
    </cfRule>
    <cfRule type="cellIs" dxfId="251" priority="184" operator="between">
      <formula>0.695</formula>
      <formula>0.7949</formula>
    </cfRule>
    <cfRule type="cellIs" dxfId="250" priority="185" operator="between">
      <formula>0.795</formula>
      <formula>1</formula>
    </cfRule>
  </conditionalFormatting>
  <conditionalFormatting sqref="G10:G11">
    <cfRule type="cellIs" dxfId="249" priority="176" operator="between">
      <formula>0</formula>
      <formula>0.3999</formula>
    </cfRule>
    <cfRule type="cellIs" dxfId="248" priority="177" operator="between">
      <formula>0.3955</formula>
      <formula>0.5949</formula>
    </cfRule>
    <cfRule type="cellIs" dxfId="247" priority="178" operator="between">
      <formula>0.595</formula>
      <formula>0.6949</formula>
    </cfRule>
    <cfRule type="cellIs" dxfId="246" priority="179" operator="between">
      <formula>0.695</formula>
      <formula>0.7949</formula>
    </cfRule>
    <cfRule type="cellIs" dxfId="245" priority="180" operator="between">
      <formula>0.795</formula>
      <formula>1</formula>
    </cfRule>
  </conditionalFormatting>
  <conditionalFormatting sqref="G13:G15">
    <cfRule type="cellIs" dxfId="244" priority="171" operator="between">
      <formula>0</formula>
      <formula>0.3999</formula>
    </cfRule>
    <cfRule type="cellIs" dxfId="243" priority="172" operator="between">
      <formula>0.3955</formula>
      <formula>0.5949</formula>
    </cfRule>
    <cfRule type="cellIs" dxfId="242" priority="173" operator="between">
      <formula>0.595</formula>
      <formula>0.6949</formula>
    </cfRule>
    <cfRule type="cellIs" dxfId="241" priority="174" operator="between">
      <formula>0.695</formula>
      <formula>0.7949</formula>
    </cfRule>
    <cfRule type="cellIs" dxfId="240" priority="175" operator="between">
      <formula>0.795</formula>
      <formula>1</formula>
    </cfRule>
  </conditionalFormatting>
  <conditionalFormatting sqref="G17:G23">
    <cfRule type="cellIs" dxfId="239" priority="166" operator="between">
      <formula>0</formula>
      <formula>0.3999</formula>
    </cfRule>
    <cfRule type="cellIs" dxfId="238" priority="167" operator="between">
      <formula>0.3955</formula>
      <formula>0.5949</formula>
    </cfRule>
    <cfRule type="cellIs" dxfId="237" priority="168" operator="between">
      <formula>0.595</formula>
      <formula>0.6949</formula>
    </cfRule>
    <cfRule type="cellIs" dxfId="236" priority="169" operator="between">
      <formula>0.695</formula>
      <formula>0.7949</formula>
    </cfRule>
    <cfRule type="cellIs" dxfId="235" priority="170" operator="between">
      <formula>0.795</formula>
      <formula>1</formula>
    </cfRule>
  </conditionalFormatting>
  <conditionalFormatting sqref="G25:G27">
    <cfRule type="cellIs" dxfId="234" priority="161" operator="between">
      <formula>0</formula>
      <formula>0.3999</formula>
    </cfRule>
    <cfRule type="cellIs" dxfId="233" priority="162" operator="between">
      <formula>0.3955</formula>
      <formula>0.5949</formula>
    </cfRule>
    <cfRule type="cellIs" dxfId="232" priority="163" operator="between">
      <formula>0.595</formula>
      <formula>0.6949</formula>
    </cfRule>
    <cfRule type="cellIs" dxfId="231" priority="164" operator="between">
      <formula>0.695</formula>
      <formula>0.7949</formula>
    </cfRule>
    <cfRule type="cellIs" dxfId="230" priority="165" operator="between">
      <formula>0.795</formula>
      <formula>1</formula>
    </cfRule>
  </conditionalFormatting>
  <conditionalFormatting sqref="G29:G32">
    <cfRule type="cellIs" dxfId="229" priority="156" operator="between">
      <formula>0</formula>
      <formula>0.3999</formula>
    </cfRule>
    <cfRule type="cellIs" dxfId="228" priority="157" operator="between">
      <formula>0.3955</formula>
      <formula>0.5949</formula>
    </cfRule>
    <cfRule type="cellIs" dxfId="227" priority="158" operator="between">
      <formula>0.595</formula>
      <formula>0.6949</formula>
    </cfRule>
    <cfRule type="cellIs" dxfId="226" priority="159" operator="between">
      <formula>0.695</formula>
      <formula>0.7949</formula>
    </cfRule>
    <cfRule type="cellIs" dxfId="225" priority="160" operator="between">
      <formula>0.795</formula>
      <formula>1</formula>
    </cfRule>
  </conditionalFormatting>
  <conditionalFormatting sqref="G34:G36">
    <cfRule type="cellIs" dxfId="224" priority="151" operator="between">
      <formula>0</formula>
      <formula>0.3999</formula>
    </cfRule>
    <cfRule type="cellIs" dxfId="223" priority="152" operator="between">
      <formula>0.3955</formula>
      <formula>0.5949</formula>
    </cfRule>
    <cfRule type="cellIs" dxfId="222" priority="153" operator="between">
      <formula>0.595</formula>
      <formula>0.6949</formula>
    </cfRule>
    <cfRule type="cellIs" dxfId="221" priority="154" operator="between">
      <formula>0.695</formula>
      <formula>0.7949</formula>
    </cfRule>
    <cfRule type="cellIs" dxfId="220" priority="155" operator="between">
      <formula>0.795</formula>
      <formula>1</formula>
    </cfRule>
  </conditionalFormatting>
  <conditionalFormatting sqref="G38:G39">
    <cfRule type="cellIs" dxfId="219" priority="146" operator="between">
      <formula>0</formula>
      <formula>0.3999</formula>
    </cfRule>
    <cfRule type="cellIs" dxfId="218" priority="147" operator="between">
      <formula>0.3955</formula>
      <formula>0.5949</formula>
    </cfRule>
    <cfRule type="cellIs" dxfId="217" priority="148" operator="between">
      <formula>0.595</formula>
      <formula>0.6949</formula>
    </cfRule>
    <cfRule type="cellIs" dxfId="216" priority="149" operator="between">
      <formula>0.695</formula>
      <formula>0.7949</formula>
    </cfRule>
    <cfRule type="cellIs" dxfId="215" priority="150" operator="between">
      <formula>0.795</formula>
      <formula>1</formula>
    </cfRule>
  </conditionalFormatting>
  <conditionalFormatting sqref="G41:G42">
    <cfRule type="cellIs" dxfId="214" priority="141" operator="between">
      <formula>0</formula>
      <formula>0.3999</formula>
    </cfRule>
    <cfRule type="cellIs" dxfId="213" priority="142" operator="between">
      <formula>0.3955</formula>
      <formula>0.5949</formula>
    </cfRule>
    <cfRule type="cellIs" dxfId="212" priority="143" operator="between">
      <formula>0.595</formula>
      <formula>0.6949</formula>
    </cfRule>
    <cfRule type="cellIs" dxfId="211" priority="144" operator="between">
      <formula>0.695</formula>
      <formula>0.7949</formula>
    </cfRule>
    <cfRule type="cellIs" dxfId="210" priority="145" operator="between">
      <formula>0.795</formula>
      <formula>1</formula>
    </cfRule>
  </conditionalFormatting>
  <conditionalFormatting sqref="G44:G48">
    <cfRule type="cellIs" dxfId="209" priority="136" operator="between">
      <formula>0</formula>
      <formula>0.3999</formula>
    </cfRule>
    <cfRule type="cellIs" dxfId="208" priority="137" operator="between">
      <formula>0.3955</formula>
      <formula>0.5949</formula>
    </cfRule>
    <cfRule type="cellIs" dxfId="207" priority="138" operator="between">
      <formula>0.595</formula>
      <formula>0.6949</formula>
    </cfRule>
    <cfRule type="cellIs" dxfId="206" priority="139" operator="between">
      <formula>0.695</formula>
      <formula>0.7949</formula>
    </cfRule>
    <cfRule type="cellIs" dxfId="205" priority="140" operator="between">
      <formula>0.795</formula>
      <formula>1</formula>
    </cfRule>
  </conditionalFormatting>
  <conditionalFormatting sqref="G50:G52">
    <cfRule type="cellIs" dxfId="204" priority="131" operator="between">
      <formula>0</formula>
      <formula>0.3999</formula>
    </cfRule>
    <cfRule type="cellIs" dxfId="203" priority="132" operator="between">
      <formula>0.3955</formula>
      <formula>0.5949</formula>
    </cfRule>
    <cfRule type="cellIs" dxfId="202" priority="133" operator="between">
      <formula>0.595</formula>
      <formula>0.6949</formula>
    </cfRule>
    <cfRule type="cellIs" dxfId="201" priority="134" operator="between">
      <formula>0.695</formula>
      <formula>0.7949</formula>
    </cfRule>
    <cfRule type="cellIs" dxfId="200" priority="135" operator="between">
      <formula>0.795</formula>
      <formula>1</formula>
    </cfRule>
  </conditionalFormatting>
  <conditionalFormatting sqref="G54:G59">
    <cfRule type="cellIs" dxfId="199" priority="126" operator="between">
      <formula>0</formula>
      <formula>0.3999</formula>
    </cfRule>
    <cfRule type="cellIs" dxfId="198" priority="127" operator="between">
      <formula>0.3955</formula>
      <formula>0.5949</formula>
    </cfRule>
    <cfRule type="cellIs" dxfId="197" priority="128" operator="between">
      <formula>0.595</formula>
      <formula>0.6949</formula>
    </cfRule>
    <cfRule type="cellIs" dxfId="196" priority="129" operator="between">
      <formula>0.695</formula>
      <formula>0.7949</formula>
    </cfRule>
    <cfRule type="cellIs" dxfId="195" priority="130" operator="between">
      <formula>0.795</formula>
      <formula>1</formula>
    </cfRule>
  </conditionalFormatting>
  <conditionalFormatting sqref="G61:G62">
    <cfRule type="cellIs" dxfId="194" priority="121" operator="between">
      <formula>0</formula>
      <formula>0.3999</formula>
    </cfRule>
    <cfRule type="cellIs" dxfId="193" priority="122" operator="between">
      <formula>0.3955</formula>
      <formula>0.5949</formula>
    </cfRule>
    <cfRule type="cellIs" dxfId="192" priority="123" operator="between">
      <formula>0.595</formula>
      <formula>0.6949</formula>
    </cfRule>
    <cfRule type="cellIs" dxfId="191" priority="124" operator="between">
      <formula>0.695</formula>
      <formula>0.7949</formula>
    </cfRule>
    <cfRule type="cellIs" dxfId="190" priority="125" operator="between">
      <formula>0.795</formula>
      <formula>1</formula>
    </cfRule>
  </conditionalFormatting>
  <conditionalFormatting sqref="G64">
    <cfRule type="cellIs" dxfId="189" priority="116" operator="between">
      <formula>0</formula>
      <formula>0.3999</formula>
    </cfRule>
    <cfRule type="cellIs" dxfId="188" priority="117" operator="between">
      <formula>0.3955</formula>
      <formula>0.5949</formula>
    </cfRule>
    <cfRule type="cellIs" dxfId="187" priority="118" operator="between">
      <formula>0.595</formula>
      <formula>0.6949</formula>
    </cfRule>
    <cfRule type="cellIs" dxfId="186" priority="119" operator="between">
      <formula>0.695</formula>
      <formula>0.7949</formula>
    </cfRule>
    <cfRule type="cellIs" dxfId="185" priority="120" operator="between">
      <formula>0.795</formula>
      <formula>1</formula>
    </cfRule>
  </conditionalFormatting>
  <conditionalFormatting sqref="G72:G74">
    <cfRule type="cellIs" dxfId="184" priority="106" operator="between">
      <formula>0</formula>
      <formula>0.3999</formula>
    </cfRule>
    <cfRule type="cellIs" dxfId="183" priority="107" operator="between">
      <formula>0.3955</formula>
      <formula>0.5949</formula>
    </cfRule>
    <cfRule type="cellIs" dxfId="182" priority="108" operator="between">
      <formula>0.595</formula>
      <formula>0.6949</formula>
    </cfRule>
    <cfRule type="cellIs" dxfId="181" priority="109" operator="between">
      <formula>0.695</formula>
      <formula>0.7949</formula>
    </cfRule>
    <cfRule type="cellIs" dxfId="180" priority="110" operator="between">
      <formula>0.795</formula>
      <formula>1</formula>
    </cfRule>
  </conditionalFormatting>
  <conditionalFormatting sqref="G76:G77">
    <cfRule type="cellIs" dxfId="179" priority="101" operator="between">
      <formula>0</formula>
      <formula>0.3999</formula>
    </cfRule>
    <cfRule type="cellIs" dxfId="178" priority="102" operator="between">
      <formula>0.3955</formula>
      <formula>0.5949</formula>
    </cfRule>
    <cfRule type="cellIs" dxfId="177" priority="103" operator="between">
      <formula>0.595</formula>
      <formula>0.6949</formula>
    </cfRule>
    <cfRule type="cellIs" dxfId="176" priority="104" operator="between">
      <formula>0.695</formula>
      <formula>0.7949</formula>
    </cfRule>
    <cfRule type="cellIs" dxfId="175" priority="105" operator="between">
      <formula>0.795</formula>
      <formula>1</formula>
    </cfRule>
  </conditionalFormatting>
  <conditionalFormatting sqref="G79">
    <cfRule type="cellIs" dxfId="174" priority="96" operator="between">
      <formula>0</formula>
      <formula>0.3999</formula>
    </cfRule>
    <cfRule type="cellIs" dxfId="173" priority="97" operator="between">
      <formula>0.3955</formula>
      <formula>0.5949</formula>
    </cfRule>
    <cfRule type="cellIs" dxfId="172" priority="98" operator="between">
      <formula>0.595</formula>
      <formula>0.6949</formula>
    </cfRule>
    <cfRule type="cellIs" dxfId="171" priority="99" operator="between">
      <formula>0.695</formula>
      <formula>0.7949</formula>
    </cfRule>
    <cfRule type="cellIs" dxfId="170" priority="100" operator="between">
      <formula>0.795</formula>
      <formula>1</formula>
    </cfRule>
  </conditionalFormatting>
  <conditionalFormatting sqref="G81">
    <cfRule type="cellIs" dxfId="169" priority="91" operator="between">
      <formula>0</formula>
      <formula>0.3999</formula>
    </cfRule>
    <cfRule type="cellIs" dxfId="168" priority="92" operator="between">
      <formula>0.3955</formula>
      <formula>0.5949</formula>
    </cfRule>
    <cfRule type="cellIs" dxfId="167" priority="93" operator="between">
      <formula>0.595</formula>
      <formula>0.6949</formula>
    </cfRule>
    <cfRule type="cellIs" dxfId="166" priority="94" operator="between">
      <formula>0.695</formula>
      <formula>0.7949</formula>
    </cfRule>
    <cfRule type="cellIs" dxfId="165" priority="95" operator="between">
      <formula>0.795</formula>
      <formula>1</formula>
    </cfRule>
  </conditionalFormatting>
  <conditionalFormatting sqref="E10:E11">
    <cfRule type="cellIs" dxfId="164" priority="86" operator="between">
      <formula>0</formula>
      <formula>0.3999</formula>
    </cfRule>
    <cfRule type="cellIs" dxfId="163" priority="87" operator="between">
      <formula>0.3955</formula>
      <formula>0.5949</formula>
    </cfRule>
    <cfRule type="cellIs" dxfId="162" priority="88" operator="between">
      <formula>0.595</formula>
      <formula>0.6949</formula>
    </cfRule>
    <cfRule type="cellIs" dxfId="161" priority="89" operator="between">
      <formula>0.695</formula>
      <formula>0.7949</formula>
    </cfRule>
    <cfRule type="cellIs" dxfId="160" priority="90" operator="between">
      <formula>0.795</formula>
      <formula>1</formula>
    </cfRule>
  </conditionalFormatting>
  <conditionalFormatting sqref="E13:E15">
    <cfRule type="cellIs" dxfId="159" priority="81" operator="between">
      <formula>0</formula>
      <formula>0.3999</formula>
    </cfRule>
    <cfRule type="cellIs" dxfId="158" priority="82" operator="between">
      <formula>0.3955</formula>
      <formula>0.5949</formula>
    </cfRule>
    <cfRule type="cellIs" dxfId="157" priority="83" operator="between">
      <formula>0.595</formula>
      <formula>0.6949</formula>
    </cfRule>
    <cfRule type="cellIs" dxfId="156" priority="84" operator="between">
      <formula>0.695</formula>
      <formula>0.7949</formula>
    </cfRule>
    <cfRule type="cellIs" dxfId="155" priority="85" operator="between">
      <formula>0.795</formula>
      <formula>1</formula>
    </cfRule>
  </conditionalFormatting>
  <conditionalFormatting sqref="E17:E23">
    <cfRule type="cellIs" dxfId="154" priority="76" operator="between">
      <formula>0</formula>
      <formula>0.3999</formula>
    </cfRule>
    <cfRule type="cellIs" dxfId="153" priority="77" operator="between">
      <formula>0.3955</formula>
      <formula>0.5949</formula>
    </cfRule>
    <cfRule type="cellIs" dxfId="152" priority="78" operator="between">
      <formula>0.595</formula>
      <formula>0.6949</formula>
    </cfRule>
    <cfRule type="cellIs" dxfId="151" priority="79" operator="between">
      <formula>0.695</formula>
      <formula>0.7949</formula>
    </cfRule>
    <cfRule type="cellIs" dxfId="150" priority="80" operator="between">
      <formula>0.795</formula>
      <formula>1</formula>
    </cfRule>
  </conditionalFormatting>
  <conditionalFormatting sqref="E25:E27">
    <cfRule type="cellIs" dxfId="149" priority="71" operator="between">
      <formula>0</formula>
      <formula>0.3999</formula>
    </cfRule>
    <cfRule type="cellIs" dxfId="148" priority="72" operator="between">
      <formula>0.3955</formula>
      <formula>0.5949</formula>
    </cfRule>
    <cfRule type="cellIs" dxfId="147" priority="73" operator="between">
      <formula>0.595</formula>
      <formula>0.6949</formula>
    </cfRule>
    <cfRule type="cellIs" dxfId="146" priority="74" operator="between">
      <formula>0.695</formula>
      <formula>0.7949</formula>
    </cfRule>
    <cfRule type="cellIs" dxfId="145" priority="75" operator="between">
      <formula>0.795</formula>
      <formula>1</formula>
    </cfRule>
  </conditionalFormatting>
  <conditionalFormatting sqref="E29:E32">
    <cfRule type="cellIs" dxfId="144" priority="66" operator="between">
      <formula>0</formula>
      <formula>0.3999</formula>
    </cfRule>
    <cfRule type="cellIs" dxfId="143" priority="67" operator="between">
      <formula>0.3955</formula>
      <formula>0.5949</formula>
    </cfRule>
    <cfRule type="cellIs" dxfId="142" priority="68" operator="between">
      <formula>0.595</formula>
      <formula>0.6949</formula>
    </cfRule>
    <cfRule type="cellIs" dxfId="141" priority="69" operator="between">
      <formula>0.695</formula>
      <formula>0.7949</formula>
    </cfRule>
    <cfRule type="cellIs" dxfId="140" priority="70" operator="between">
      <formula>0.795</formula>
      <formula>1</formula>
    </cfRule>
  </conditionalFormatting>
  <conditionalFormatting sqref="E34:E36">
    <cfRule type="cellIs" dxfId="139" priority="61" operator="between">
      <formula>0</formula>
      <formula>0.3999</formula>
    </cfRule>
    <cfRule type="cellIs" dxfId="138" priority="62" operator="between">
      <formula>0.3955</formula>
      <formula>0.5949</formula>
    </cfRule>
    <cfRule type="cellIs" dxfId="137" priority="63" operator="between">
      <formula>0.595</formula>
      <formula>0.6949</formula>
    </cfRule>
    <cfRule type="cellIs" dxfId="136" priority="64" operator="between">
      <formula>0.695</formula>
      <formula>0.7949</formula>
    </cfRule>
    <cfRule type="cellIs" dxfId="135" priority="65" operator="between">
      <formula>0.795</formula>
      <formula>1</formula>
    </cfRule>
  </conditionalFormatting>
  <conditionalFormatting sqref="E38:E39">
    <cfRule type="cellIs" dxfId="134" priority="56" operator="between">
      <formula>0</formula>
      <formula>0.3999</formula>
    </cfRule>
    <cfRule type="cellIs" dxfId="133" priority="57" operator="between">
      <formula>0.3955</formula>
      <formula>0.5949</formula>
    </cfRule>
    <cfRule type="cellIs" dxfId="132" priority="58" operator="between">
      <formula>0.595</formula>
      <formula>0.6949</formula>
    </cfRule>
    <cfRule type="cellIs" dxfId="131" priority="59" operator="between">
      <formula>0.695</formula>
      <formula>0.7949</formula>
    </cfRule>
    <cfRule type="cellIs" dxfId="130" priority="60" operator="between">
      <formula>0.795</formula>
      <formula>1</formula>
    </cfRule>
  </conditionalFormatting>
  <conditionalFormatting sqref="E41:E42">
    <cfRule type="cellIs" dxfId="129" priority="51" operator="between">
      <formula>0</formula>
      <formula>0.3999</formula>
    </cfRule>
    <cfRule type="cellIs" dxfId="128" priority="52" operator="between">
      <formula>0.3955</formula>
      <formula>0.5949</formula>
    </cfRule>
    <cfRule type="cellIs" dxfId="127" priority="53" operator="between">
      <formula>0.595</formula>
      <formula>0.6949</formula>
    </cfRule>
    <cfRule type="cellIs" dxfId="126" priority="54" operator="between">
      <formula>0.695</formula>
      <formula>0.7949</formula>
    </cfRule>
    <cfRule type="cellIs" dxfId="125" priority="55" operator="between">
      <formula>0.795</formula>
      <formula>1</formula>
    </cfRule>
  </conditionalFormatting>
  <conditionalFormatting sqref="E44:E48">
    <cfRule type="cellIs" dxfId="124" priority="46" operator="between">
      <formula>0</formula>
      <formula>0.3999</formula>
    </cfRule>
    <cfRule type="cellIs" dxfId="123" priority="47" operator="between">
      <formula>0.3955</formula>
      <formula>0.5949</formula>
    </cfRule>
    <cfRule type="cellIs" dxfId="122" priority="48" operator="between">
      <formula>0.595</formula>
      <formula>0.6949</formula>
    </cfRule>
    <cfRule type="cellIs" dxfId="121" priority="49" operator="between">
      <formula>0.695</formula>
      <formula>0.7949</formula>
    </cfRule>
    <cfRule type="cellIs" dxfId="120" priority="50" operator="between">
      <formula>0.795</formula>
      <formula>1</formula>
    </cfRule>
  </conditionalFormatting>
  <conditionalFormatting sqref="E50:E52">
    <cfRule type="cellIs" dxfId="119" priority="41" operator="between">
      <formula>0</formula>
      <formula>0.3999</formula>
    </cfRule>
    <cfRule type="cellIs" dxfId="118" priority="42" operator="between">
      <formula>0.3955</formula>
      <formula>0.5949</formula>
    </cfRule>
    <cfRule type="cellIs" dxfId="117" priority="43" operator="between">
      <formula>0.595</formula>
      <formula>0.6949</formula>
    </cfRule>
    <cfRule type="cellIs" dxfId="116" priority="44" operator="between">
      <formula>0.695</formula>
      <formula>0.7949</formula>
    </cfRule>
    <cfRule type="cellIs" dxfId="115" priority="45" operator="between">
      <formula>0.795</formula>
      <formula>1</formula>
    </cfRule>
  </conditionalFormatting>
  <conditionalFormatting sqref="E54:E59">
    <cfRule type="cellIs" dxfId="114" priority="36" operator="between">
      <formula>0</formula>
      <formula>0.3999</formula>
    </cfRule>
    <cfRule type="cellIs" dxfId="113" priority="37" operator="between">
      <formula>0.3955</formula>
      <formula>0.5949</formula>
    </cfRule>
    <cfRule type="cellIs" dxfId="112" priority="38" operator="between">
      <formula>0.595</formula>
      <formula>0.6949</formula>
    </cfRule>
    <cfRule type="cellIs" dxfId="111" priority="39" operator="between">
      <formula>0.695</formula>
      <formula>0.7949</formula>
    </cfRule>
    <cfRule type="cellIs" dxfId="110" priority="40" operator="between">
      <formula>0.795</formula>
      <formula>1</formula>
    </cfRule>
  </conditionalFormatting>
  <conditionalFormatting sqref="E61:E62">
    <cfRule type="cellIs" dxfId="109" priority="31" operator="between">
      <formula>0</formula>
      <formula>0.3999</formula>
    </cfRule>
    <cfRule type="cellIs" dxfId="108" priority="32" operator="between">
      <formula>0.3955</formula>
      <formula>0.5949</formula>
    </cfRule>
    <cfRule type="cellIs" dxfId="107" priority="33" operator="between">
      <formula>0.595</formula>
      <formula>0.6949</formula>
    </cfRule>
    <cfRule type="cellIs" dxfId="106" priority="34" operator="between">
      <formula>0.695</formula>
      <formula>0.7949</formula>
    </cfRule>
    <cfRule type="cellIs" dxfId="105" priority="35" operator="between">
      <formula>0.795</formula>
      <formula>1</formula>
    </cfRule>
  </conditionalFormatting>
  <conditionalFormatting sqref="E64">
    <cfRule type="cellIs" dxfId="104" priority="26" operator="between">
      <formula>0</formula>
      <formula>0.3999</formula>
    </cfRule>
    <cfRule type="cellIs" dxfId="103" priority="27" operator="between">
      <formula>0.3955</formula>
      <formula>0.5949</formula>
    </cfRule>
    <cfRule type="cellIs" dxfId="102" priority="28" operator="between">
      <formula>0.595</formula>
      <formula>0.6949</formula>
    </cfRule>
    <cfRule type="cellIs" dxfId="101" priority="29" operator="between">
      <formula>0.695</formula>
      <formula>0.7949</formula>
    </cfRule>
    <cfRule type="cellIs" dxfId="100" priority="30" operator="between">
      <formula>0.795</formula>
      <formula>1</formula>
    </cfRule>
  </conditionalFormatting>
  <conditionalFormatting sqref="E72:E74">
    <cfRule type="cellIs" dxfId="99" priority="16" operator="between">
      <formula>0</formula>
      <formula>0.3999</formula>
    </cfRule>
    <cfRule type="cellIs" dxfId="98" priority="17" operator="between">
      <formula>0.3955</formula>
      <formula>0.5949</formula>
    </cfRule>
    <cfRule type="cellIs" dxfId="97" priority="18" operator="between">
      <formula>0.595</formula>
      <formula>0.6949</formula>
    </cfRule>
    <cfRule type="cellIs" dxfId="96" priority="19" operator="between">
      <formula>0.695</formula>
      <formula>0.7949</formula>
    </cfRule>
    <cfRule type="cellIs" dxfId="95" priority="20" operator="between">
      <formula>0.795</formula>
      <formula>1</formula>
    </cfRule>
  </conditionalFormatting>
  <conditionalFormatting sqref="E76:E77">
    <cfRule type="cellIs" dxfId="94" priority="11" operator="between">
      <formula>0</formula>
      <formula>0.3999</formula>
    </cfRule>
    <cfRule type="cellIs" dxfId="93" priority="12" operator="between">
      <formula>0.3955</formula>
      <formula>0.5949</formula>
    </cfRule>
    <cfRule type="cellIs" dxfId="92" priority="13" operator="between">
      <formula>0.595</formula>
      <formula>0.6949</formula>
    </cfRule>
    <cfRule type="cellIs" dxfId="91" priority="14" operator="between">
      <formula>0.695</formula>
      <formula>0.7949</formula>
    </cfRule>
    <cfRule type="cellIs" dxfId="90" priority="15" operator="between">
      <formula>0.795</formula>
      <formula>1</formula>
    </cfRule>
  </conditionalFormatting>
  <conditionalFormatting sqref="E79">
    <cfRule type="cellIs" dxfId="89" priority="6" operator="between">
      <formula>0</formula>
      <formula>0.3999</formula>
    </cfRule>
    <cfRule type="cellIs" dxfId="88" priority="7" operator="between">
      <formula>0.3955</formula>
      <formula>0.5949</formula>
    </cfRule>
    <cfRule type="cellIs" dxfId="87" priority="8" operator="between">
      <formula>0.595</formula>
      <formula>0.6949</formula>
    </cfRule>
    <cfRule type="cellIs" dxfId="86" priority="9" operator="between">
      <formula>0.695</formula>
      <formula>0.7949</formula>
    </cfRule>
    <cfRule type="cellIs" dxfId="85" priority="10" operator="between">
      <formula>0.795</formula>
      <formula>1</formula>
    </cfRule>
  </conditionalFormatting>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G19"/>
  <sheetViews>
    <sheetView showGridLines="0" zoomScale="70" zoomScaleNormal="70" workbookViewId="0">
      <selection activeCell="B1" sqref="B1:G3"/>
    </sheetView>
  </sheetViews>
  <sheetFormatPr baseColWidth="10" defaultColWidth="11.42578125" defaultRowHeight="15"/>
  <cols>
    <col min="2" max="2" width="49.5703125" customWidth="1"/>
    <col min="3" max="6" width="28.7109375" customWidth="1"/>
    <col min="7" max="7" width="16" customWidth="1"/>
  </cols>
  <sheetData>
    <row r="1" spans="2:7" ht="15" customHeight="1">
      <c r="B1" s="528" t="s">
        <v>1477</v>
      </c>
      <c r="C1" s="529"/>
      <c r="D1" s="529"/>
      <c r="E1" s="529"/>
      <c r="F1" s="529"/>
      <c r="G1" s="530"/>
    </row>
    <row r="2" spans="2:7" ht="15" customHeight="1">
      <c r="B2" s="531"/>
      <c r="C2" s="532"/>
      <c r="D2" s="532"/>
      <c r="E2" s="532"/>
      <c r="F2" s="532"/>
      <c r="G2" s="533"/>
    </row>
    <row r="3" spans="2:7" ht="60.75" customHeight="1">
      <c r="B3" s="534"/>
      <c r="C3" s="535"/>
      <c r="D3" s="535"/>
      <c r="E3" s="535"/>
      <c r="F3" s="535"/>
      <c r="G3" s="536"/>
    </row>
    <row r="4" spans="2:7" ht="26.25" customHeight="1">
      <c r="B4" s="66" t="s">
        <v>23</v>
      </c>
      <c r="C4" s="69" t="s">
        <v>1314</v>
      </c>
      <c r="D4" s="167" t="s">
        <v>1466</v>
      </c>
      <c r="E4" s="167" t="s">
        <v>1524</v>
      </c>
      <c r="F4" s="167" t="s">
        <v>1467</v>
      </c>
      <c r="G4" s="167" t="s">
        <v>1476</v>
      </c>
    </row>
    <row r="5" spans="2:7" ht="30.75" customHeight="1">
      <c r="B5" s="55" t="s">
        <v>148</v>
      </c>
      <c r="C5" s="44">
        <f>'RESUMEN PROGRAMAS'!E24+'RESUMEN PROGRAMAS'!E54+'RESUMEN PROGRAMAS'!E76+'RESUMEN PROGRAMAS'!E115+'RESUMEN PROGRAMAS'!E124+'RESUMEN PROGRAMAS'!E143+'RESUMEN PROGRAMAS'!E150+'RESUMEN PROGRAMAS'!E165+'RESUMEN PROGRAMAS'!E171</f>
        <v>335561062838.66998</v>
      </c>
      <c r="D5" s="44">
        <f>'RESUMEN PROGRAMAS'!F24+'RESUMEN PROGRAMAS'!F54+'RESUMEN PROGRAMAS'!F76+'RESUMEN PROGRAMAS'!F115+'RESUMEN PROGRAMAS'!F124+'RESUMEN PROGRAMAS'!F143+'RESUMEN PROGRAMAS'!F150+'RESUMEN PROGRAMAS'!F165+'RESUMEN PROGRAMAS'!F171</f>
        <v>105454470519.91</v>
      </c>
      <c r="E5" s="164">
        <f>D5/C5</f>
        <v>0.31426313180623727</v>
      </c>
      <c r="F5" s="44">
        <f>'RESUMEN PROGRAMAS'!H24+'RESUMEN PROGRAMAS'!H54+'RESUMEN PROGRAMAS'!H76+'RESUMEN PROGRAMAS'!H115+'RESUMEN PROGRAMAS'!H124+'RESUMEN PROGRAMAS'!H143+'RESUMEN PROGRAMAS'!H150+'RESUMEN PROGRAMAS'!H165+'RESUMEN PROGRAMAS'!H171</f>
        <v>51999678547.389999</v>
      </c>
      <c r="G5" s="164">
        <f>F5/C5</f>
        <v>0.15496338611965313</v>
      </c>
    </row>
    <row r="6" spans="2:7" ht="30.75" customHeight="1">
      <c r="B6" s="55" t="s">
        <v>199</v>
      </c>
      <c r="C6" s="117">
        <f>'RESUMEN PROGRAMAS'!E37+'RESUMEN PROGRAMAS'!E82+'RESUMEN PROGRAMAS'!E89+'RESUMEN PROGRAMAS'!E119+'RESUMEN PROGRAMAS'!E133+'RESUMEN PROGRAMAS'!E154</f>
        <v>4415758617.8999996</v>
      </c>
      <c r="D6" s="117">
        <f>'RESUMEN PROGRAMAS'!F37+'RESUMEN PROGRAMAS'!F82+'RESUMEN PROGRAMAS'!F89+'RESUMEN PROGRAMAS'!F119+'RESUMEN PROGRAMAS'!F133+'RESUMEN PROGRAMAS'!F154</f>
        <v>1406034963</v>
      </c>
      <c r="E6" s="164">
        <f t="shared" ref="E6:E9" si="0">D6/C6</f>
        <v>0.31841300321544014</v>
      </c>
      <c r="F6" s="117">
        <f>'RESUMEN PROGRAMAS'!H37+'RESUMEN PROGRAMAS'!H82+'RESUMEN PROGRAMAS'!H89+'RESUMEN PROGRAMAS'!H119+'RESUMEN PROGRAMAS'!H133+'RESUMEN PROGRAMAS'!H154</f>
        <v>499498665.00999999</v>
      </c>
      <c r="G6" s="164">
        <f>F6/C6</f>
        <v>0.1131172938179185</v>
      </c>
    </row>
    <row r="7" spans="2:7" ht="30.75" customHeight="1">
      <c r="B7" s="55" t="s">
        <v>211</v>
      </c>
      <c r="C7" s="117">
        <f>'RESUMEN PROGRAMAS'!E40+'RESUMEN PROGRAMAS'!E66+'RESUMEN PROGRAMAS'!E100+'RESUMEN PROGRAMAS'!E176+'RESUMEN PROGRAMAS'!E187</f>
        <v>58976770618.360001</v>
      </c>
      <c r="D7" s="117">
        <f>'RESUMEN PROGRAMAS'!F40+'RESUMEN PROGRAMAS'!F66+'RESUMEN PROGRAMAS'!F100+'RESUMEN PROGRAMAS'!F176+'RESUMEN PROGRAMAS'!F187</f>
        <v>5085248429</v>
      </c>
      <c r="E7" s="164">
        <f t="shared" si="0"/>
        <v>8.6224599544569097E-2</v>
      </c>
      <c r="F7" s="117">
        <f>'RESUMEN PROGRAMAS'!H40+'RESUMEN PROGRAMAS'!H66+'RESUMEN PROGRAMAS'!H100+'RESUMEN PROGRAMAS'!H176+'RESUMEN PROGRAMAS'!H187</f>
        <v>316925750</v>
      </c>
      <c r="G7" s="164">
        <f>F7/C7</f>
        <v>5.3737386207670405E-3</v>
      </c>
    </row>
    <row r="8" spans="2:7" ht="30.75" customHeight="1">
      <c r="B8" s="55" t="s">
        <v>59</v>
      </c>
      <c r="C8" s="117">
        <f>'RESUMEN PROGRAMAS'!E7+'RESUMEN PROGRAMAS'!E13+'RESUMEN PROGRAMAS'!E19+'RESUMEN PROGRAMAS'!E48+'RESUMEN PROGRAMAS'!E71+'RESUMEN PROGRAMAS'!E109+'RESUMEN PROGRAMAS'!E138+'RESUMEN PROGRAMAS'!E158+'RESUMEN PROGRAMAS'!E182</f>
        <v>20973559239.16</v>
      </c>
      <c r="D8" s="117">
        <f>'RESUMEN PROGRAMAS'!F7+'RESUMEN PROGRAMAS'!F13+'RESUMEN PROGRAMAS'!F19+'RESUMEN PROGRAMAS'!F48+'RESUMEN PROGRAMAS'!F71+'RESUMEN PROGRAMAS'!F109+'RESUMEN PROGRAMAS'!F138+'RESUMEN PROGRAMAS'!F158+'RESUMEN PROGRAMAS'!F182</f>
        <v>8237684870</v>
      </c>
      <c r="E8" s="164">
        <f t="shared" si="0"/>
        <v>0.39276523245607803</v>
      </c>
      <c r="F8" s="117">
        <f>'RESUMEN PROGRAMAS'!H7+'RESUMEN PROGRAMAS'!H13+'RESUMEN PROGRAMAS'!H19+'RESUMEN PROGRAMAS'!H48+'RESUMEN PROGRAMAS'!H71+'RESUMEN PROGRAMAS'!H109+'RESUMEN PROGRAMAS'!H138+'RESUMEN PROGRAMAS'!H158+'RESUMEN PROGRAMAS'!H182</f>
        <v>1226328000</v>
      </c>
      <c r="G8" s="164">
        <f>F8/C8</f>
        <v>5.8470190300857823E-2</v>
      </c>
    </row>
    <row r="9" spans="2:7" s="68" customFormat="1" ht="30.75" customHeight="1">
      <c r="B9" s="67" t="s">
        <v>1337</v>
      </c>
      <c r="C9" s="118">
        <f>SUM(C5:C8)</f>
        <v>419927151314.08997</v>
      </c>
      <c r="D9" s="118">
        <f t="shared" ref="D9:F9" si="1">SUM(D5:D8)</f>
        <v>120183438781.91</v>
      </c>
      <c r="E9" s="166">
        <f t="shared" si="0"/>
        <v>0.28620068601379206</v>
      </c>
      <c r="F9" s="118">
        <f t="shared" si="1"/>
        <v>54042430962.400002</v>
      </c>
      <c r="G9" s="166">
        <f>F9/C9</f>
        <v>0.12869477668515475</v>
      </c>
    </row>
    <row r="14" spans="2:7" ht="15.75" customHeight="1">
      <c r="D14" s="537" t="s">
        <v>1508</v>
      </c>
      <c r="E14" s="538"/>
    </row>
    <row r="15" spans="2:7" ht="15" customHeight="1">
      <c r="D15" s="539" t="s">
        <v>1500</v>
      </c>
      <c r="E15" s="540"/>
    </row>
    <row r="16" spans="2:7" ht="15" customHeight="1">
      <c r="D16" s="541" t="s">
        <v>1502</v>
      </c>
      <c r="E16" s="542"/>
    </row>
    <row r="17" spans="4:5">
      <c r="D17" s="543" t="s">
        <v>1504</v>
      </c>
      <c r="E17" s="544"/>
    </row>
    <row r="18" spans="4:5">
      <c r="D18" s="524" t="s">
        <v>1506</v>
      </c>
      <c r="E18" s="525"/>
    </row>
    <row r="19" spans="4:5">
      <c r="D19" s="526" t="s">
        <v>1507</v>
      </c>
      <c r="E19" s="527"/>
    </row>
  </sheetData>
  <mergeCells count="7">
    <mergeCell ref="D18:E18"/>
    <mergeCell ref="D19:E19"/>
    <mergeCell ref="B1:G3"/>
    <mergeCell ref="D14:E14"/>
    <mergeCell ref="D15:E15"/>
    <mergeCell ref="D16:E16"/>
    <mergeCell ref="D17:E17"/>
  </mergeCells>
  <conditionalFormatting sqref="G5">
    <cfRule type="cellIs" dxfId="84" priority="31" operator="between">
      <formula>0</formula>
      <formula>0.3999</formula>
    </cfRule>
    <cfRule type="cellIs" dxfId="83" priority="32" operator="between">
      <formula>0.3955</formula>
      <formula>0.5949</formula>
    </cfRule>
    <cfRule type="cellIs" dxfId="82" priority="33" operator="between">
      <formula>0.595</formula>
      <formula>0.6949</formula>
    </cfRule>
    <cfRule type="cellIs" dxfId="81" priority="34" operator="between">
      <formula>0.695</formula>
      <formula>0.7949</formula>
    </cfRule>
    <cfRule type="cellIs" dxfId="80" priority="35" operator="between">
      <formula>0.795</formula>
      <formula>1</formula>
    </cfRule>
  </conditionalFormatting>
  <conditionalFormatting sqref="G6:G9">
    <cfRule type="cellIs" dxfId="79" priority="26" operator="between">
      <formula>0</formula>
      <formula>0.3999</formula>
    </cfRule>
    <cfRule type="cellIs" dxfId="78" priority="27" operator="between">
      <formula>0.3955</formula>
      <formula>0.5949</formula>
    </cfRule>
    <cfRule type="cellIs" dxfId="77" priority="28" operator="between">
      <formula>0.595</formula>
      <formula>0.6949</formula>
    </cfRule>
    <cfRule type="cellIs" dxfId="76" priority="29" operator="between">
      <formula>0.695</formula>
      <formula>0.7949</formula>
    </cfRule>
    <cfRule type="cellIs" dxfId="75" priority="30" operator="between">
      <formula>0.795</formula>
      <formula>1</formula>
    </cfRule>
  </conditionalFormatting>
  <conditionalFormatting sqref="E5">
    <cfRule type="cellIs" dxfId="74" priority="16" operator="between">
      <formula>0</formula>
      <formula>0.3999</formula>
    </cfRule>
    <cfRule type="cellIs" dxfId="73" priority="17" operator="between">
      <formula>0.3955</formula>
      <formula>0.5949</formula>
    </cfRule>
    <cfRule type="cellIs" dxfId="72" priority="18" operator="between">
      <formula>0.595</formula>
      <formula>0.6949</formula>
    </cfRule>
    <cfRule type="cellIs" dxfId="71" priority="19" operator="between">
      <formula>0.695</formula>
      <formula>0.7949</formula>
    </cfRule>
    <cfRule type="cellIs" dxfId="70" priority="20" operator="between">
      <formula>0.795</formula>
      <formula>1</formula>
    </cfRule>
  </conditionalFormatting>
  <conditionalFormatting sqref="E6:E8">
    <cfRule type="cellIs" dxfId="69" priority="6" operator="between">
      <formula>0</formula>
      <formula>0.3999</formula>
    </cfRule>
    <cfRule type="cellIs" dxfId="68" priority="7" operator="between">
      <formula>0.3955</formula>
      <formula>0.5949</formula>
    </cfRule>
    <cfRule type="cellIs" dxfId="67" priority="8" operator="between">
      <formula>0.595</formula>
      <formula>0.6949</formula>
    </cfRule>
    <cfRule type="cellIs" dxfId="66" priority="9" operator="between">
      <formula>0.695</formula>
      <formula>0.7949</formula>
    </cfRule>
    <cfRule type="cellIs" dxfId="65" priority="10" operator="between">
      <formula>0.795</formula>
      <formula>1</formula>
    </cfRule>
  </conditionalFormatting>
  <conditionalFormatting sqref="E9">
    <cfRule type="cellIs" dxfId="64" priority="1" operator="between">
      <formula>0</formula>
      <formula>0.3999</formula>
    </cfRule>
    <cfRule type="cellIs" dxfId="63" priority="2" operator="between">
      <formula>0.3955</formula>
      <formula>0.5949</formula>
    </cfRule>
    <cfRule type="cellIs" dxfId="62" priority="3" operator="between">
      <formula>0.595</formula>
      <formula>0.6949</formula>
    </cfRule>
    <cfRule type="cellIs" dxfId="61" priority="4" operator="between">
      <formula>0.695</formula>
      <formula>0.7949</formula>
    </cfRule>
    <cfRule type="cellIs" dxfId="60" priority="5" operator="between">
      <formula>0.795</formula>
      <formula>1</formula>
    </cfRule>
  </conditionalFormatting>
  <pageMargins left="0.7" right="0.7" top="0.75" bottom="0.75" header="0.3" footer="0.3"/>
  <pageSetup orientation="portrait"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K218"/>
  <sheetViews>
    <sheetView showGridLines="0" zoomScale="70" zoomScaleNormal="70" workbookViewId="0">
      <selection activeCell="A181" sqref="A181:C181"/>
    </sheetView>
  </sheetViews>
  <sheetFormatPr baseColWidth="10" defaultColWidth="11.42578125" defaultRowHeight="15"/>
  <cols>
    <col min="1" max="1" width="11.42578125" style="460"/>
    <col min="2" max="2" width="17.85546875" style="39" customWidth="1"/>
    <col min="3" max="3" width="66.5703125" style="39" customWidth="1"/>
    <col min="4" max="4" width="24.140625" style="39" customWidth="1"/>
    <col min="5" max="5" width="23" style="39" customWidth="1"/>
    <col min="6" max="6" width="23.85546875" style="39" customWidth="1"/>
    <col min="7" max="7" width="22.140625" style="39" customWidth="1"/>
    <col min="8" max="8" width="20.42578125" style="39" customWidth="1"/>
    <col min="9" max="16384" width="11.42578125" style="39"/>
  </cols>
  <sheetData>
    <row r="1" spans="1:8" ht="71.25" customHeight="1" thickBot="1">
      <c r="A1" s="562" t="s">
        <v>1463</v>
      </c>
      <c r="B1" s="563"/>
      <c r="C1" s="563"/>
      <c r="D1" s="563"/>
      <c r="E1" s="563"/>
      <c r="F1" s="563"/>
      <c r="G1" s="563"/>
      <c r="H1" s="563"/>
    </row>
    <row r="2" spans="1:8" ht="30" customHeight="1" thickBot="1">
      <c r="A2" s="383" t="s">
        <v>1425</v>
      </c>
      <c r="B2" s="384" t="s">
        <v>48</v>
      </c>
      <c r="C2" s="383" t="s">
        <v>49</v>
      </c>
      <c r="D2" s="385" t="s">
        <v>1314</v>
      </c>
      <c r="E2" s="383" t="s">
        <v>1466</v>
      </c>
      <c r="F2" s="386" t="s">
        <v>1475</v>
      </c>
      <c r="G2" s="387" t="s">
        <v>1467</v>
      </c>
      <c r="H2" s="386" t="s">
        <v>1476</v>
      </c>
    </row>
    <row r="3" spans="1:8" ht="30" customHeight="1" thickBot="1">
      <c r="A3" s="551" t="s">
        <v>1279</v>
      </c>
      <c r="B3" s="552"/>
      <c r="C3" s="553"/>
      <c r="D3" s="388">
        <f>D4</f>
        <v>10549509202</v>
      </c>
      <c r="E3" s="389">
        <f t="shared" ref="E3:G3" si="0">E4</f>
        <v>4687830730</v>
      </c>
      <c r="F3" s="390">
        <f>E3/D3</f>
        <v>0.44436481738043987</v>
      </c>
      <c r="G3" s="391">
        <f t="shared" si="0"/>
        <v>209642000</v>
      </c>
      <c r="H3" s="390">
        <f>G3/D3</f>
        <v>1.9872204098391192E-2</v>
      </c>
    </row>
    <row r="4" spans="1:8" ht="30" customHeight="1">
      <c r="A4" s="392">
        <v>4</v>
      </c>
      <c r="B4" s="546" t="s">
        <v>1462</v>
      </c>
      <c r="C4" s="547"/>
      <c r="D4" s="393">
        <f>SUM(D5:D8)</f>
        <v>10549509202</v>
      </c>
      <c r="E4" s="394">
        <f t="shared" ref="E4:G4" si="1">SUM(E5:E8)</f>
        <v>4687830730</v>
      </c>
      <c r="F4" s="395">
        <f t="shared" ref="F4:F67" si="2">E4/D4</f>
        <v>0.44436481738043987</v>
      </c>
      <c r="G4" s="396">
        <f t="shared" si="1"/>
        <v>209642000</v>
      </c>
      <c r="H4" s="395">
        <f t="shared" ref="H4:H67" si="3">G4/D4</f>
        <v>1.9872204098391192E-2</v>
      </c>
    </row>
    <row r="5" spans="1:8" ht="66" customHeight="1">
      <c r="A5" s="397">
        <v>1</v>
      </c>
      <c r="B5" s="398">
        <v>2020003630006</v>
      </c>
      <c r="C5" s="399" t="s">
        <v>70</v>
      </c>
      <c r="D5" s="400">
        <f>'SGTO POAI 2023 MARZO'!BF8</f>
        <v>666247000</v>
      </c>
      <c r="E5" s="401">
        <f>'SGTO POAI 2023 MARZO'!BG8</f>
        <v>347101000</v>
      </c>
      <c r="F5" s="381">
        <f t="shared" si="2"/>
        <v>0.52097945656790945</v>
      </c>
      <c r="G5" s="402">
        <f>'SGTO POAI 2023 MARZO'!BH8</f>
        <v>111685000</v>
      </c>
      <c r="H5" s="381">
        <f t="shared" si="3"/>
        <v>0.16763302498923072</v>
      </c>
    </row>
    <row r="6" spans="1:8" ht="66" customHeight="1">
      <c r="A6" s="403">
        <v>2</v>
      </c>
      <c r="B6" s="404">
        <v>2020003630007</v>
      </c>
      <c r="C6" s="405" t="s">
        <v>76</v>
      </c>
      <c r="D6" s="400">
        <f>'SGTO POAI 2023 MARZO'!BF9</f>
        <v>399814202</v>
      </c>
      <c r="E6" s="401">
        <f>'SGTO POAI 2023 MARZO'!BG9</f>
        <v>216948000</v>
      </c>
      <c r="F6" s="381">
        <f t="shared" si="2"/>
        <v>0.54262204522689772</v>
      </c>
      <c r="G6" s="402">
        <f>'SGTO POAI 2023 MARZO'!BH9</f>
        <v>72041000</v>
      </c>
      <c r="H6" s="381">
        <f t="shared" si="3"/>
        <v>0.18018619558691915</v>
      </c>
    </row>
    <row r="7" spans="1:8" ht="66" customHeight="1">
      <c r="A7" s="403">
        <v>3</v>
      </c>
      <c r="B7" s="406">
        <v>2020003630005</v>
      </c>
      <c r="C7" s="407" t="s">
        <v>85</v>
      </c>
      <c r="D7" s="400">
        <f>'SGTO POAI 2023 MARZO'!BF10</f>
        <v>83448000</v>
      </c>
      <c r="E7" s="401">
        <f>'SGTO POAI 2023 MARZO'!BG10</f>
        <v>46524000</v>
      </c>
      <c r="F7" s="381">
        <f t="shared" si="2"/>
        <v>0.55752085130859941</v>
      </c>
      <c r="G7" s="408">
        <f>'SGTO POAI 2023 MARZO'!BH10</f>
        <v>25916000</v>
      </c>
      <c r="H7" s="381">
        <f t="shared" si="3"/>
        <v>0.31056466302367941</v>
      </c>
    </row>
    <row r="8" spans="1:8" ht="66" customHeight="1" thickBot="1">
      <c r="A8" s="409">
        <v>4</v>
      </c>
      <c r="B8" s="410">
        <v>2022003630011</v>
      </c>
      <c r="C8" s="411" t="s">
        <v>1431</v>
      </c>
      <c r="D8" s="412">
        <f>'SGTO POAI 2023 MARZO'!BF11</f>
        <v>9400000000</v>
      </c>
      <c r="E8" s="413">
        <f>'SGTO POAI 2023 MARZO'!BG11</f>
        <v>4077257730</v>
      </c>
      <c r="F8" s="414">
        <f t="shared" si="2"/>
        <v>0.43375082234042556</v>
      </c>
      <c r="G8" s="415">
        <f>'SGTO POAI 2023 MARZO'!BH11</f>
        <v>0</v>
      </c>
      <c r="H8" s="414">
        <f t="shared" si="3"/>
        <v>0</v>
      </c>
    </row>
    <row r="9" spans="1:8" ht="30" customHeight="1" thickBot="1">
      <c r="A9" s="548" t="s">
        <v>1338</v>
      </c>
      <c r="B9" s="549"/>
      <c r="C9" s="550"/>
      <c r="D9" s="416">
        <f>D10</f>
        <v>1182099650</v>
      </c>
      <c r="E9" s="417">
        <f t="shared" ref="E9:G9" si="4">E10</f>
        <v>350060001</v>
      </c>
      <c r="F9" s="390">
        <f t="shared" si="2"/>
        <v>0.29613408734195973</v>
      </c>
      <c r="G9" s="418">
        <f t="shared" si="4"/>
        <v>153550000</v>
      </c>
      <c r="H9" s="390">
        <f t="shared" si="3"/>
        <v>0.12989598634937419</v>
      </c>
    </row>
    <row r="10" spans="1:8" ht="30" customHeight="1">
      <c r="A10" s="419">
        <v>4</v>
      </c>
      <c r="B10" s="546" t="s">
        <v>1462</v>
      </c>
      <c r="C10" s="547"/>
      <c r="D10" s="393">
        <f>SUM(D11:D17)</f>
        <v>1182099650</v>
      </c>
      <c r="E10" s="394">
        <f t="shared" ref="E10:G10" si="5">SUM(E11:E17)</f>
        <v>350060001</v>
      </c>
      <c r="F10" s="395">
        <f t="shared" si="2"/>
        <v>0.29613408734195973</v>
      </c>
      <c r="G10" s="396">
        <f t="shared" si="5"/>
        <v>153550000</v>
      </c>
      <c r="H10" s="395">
        <f t="shared" si="3"/>
        <v>0.12989598634937419</v>
      </c>
    </row>
    <row r="11" spans="1:8" ht="66" customHeight="1">
      <c r="A11" s="397">
        <f>A8+1</f>
        <v>5</v>
      </c>
      <c r="B11" s="420">
        <v>2020003630042</v>
      </c>
      <c r="C11" s="399" t="s">
        <v>1339</v>
      </c>
      <c r="D11" s="400">
        <f>'SGTO POAI 2023 MARZO'!BF12</f>
        <v>140000000</v>
      </c>
      <c r="E11" s="401">
        <f>'SGTO POAI 2023 MARZO'!BG12</f>
        <v>0</v>
      </c>
      <c r="F11" s="381">
        <f t="shared" si="2"/>
        <v>0</v>
      </c>
      <c r="G11" s="402">
        <f>'SGTO POAI 2023 MARZO'!BH12</f>
        <v>0</v>
      </c>
      <c r="H11" s="381">
        <f t="shared" si="3"/>
        <v>0</v>
      </c>
    </row>
    <row r="12" spans="1:8" ht="66" customHeight="1">
      <c r="A12" s="403">
        <f>A11+1</f>
        <v>6</v>
      </c>
      <c r="B12" s="406">
        <v>2020003630043</v>
      </c>
      <c r="C12" s="407" t="s">
        <v>1340</v>
      </c>
      <c r="D12" s="400">
        <f>'SGTO POAI 2023 MARZO'!BF13</f>
        <v>55000000</v>
      </c>
      <c r="E12" s="401">
        <f>'SGTO POAI 2023 MARZO'!BG13</f>
        <v>9600000</v>
      </c>
      <c r="F12" s="381">
        <f t="shared" si="2"/>
        <v>0.17454545454545456</v>
      </c>
      <c r="G12" s="402">
        <f>'SGTO POAI 2023 MARZO'!BH13</f>
        <v>6400000</v>
      </c>
      <c r="H12" s="381">
        <f t="shared" si="3"/>
        <v>0.11636363636363636</v>
      </c>
    </row>
    <row r="13" spans="1:8" ht="66" customHeight="1">
      <c r="A13" s="403">
        <f t="shared" ref="A13:A17" si="6">A12+1</f>
        <v>7</v>
      </c>
      <c r="B13" s="406">
        <v>2020003630044</v>
      </c>
      <c r="C13" s="407" t="s">
        <v>1341</v>
      </c>
      <c r="D13" s="400">
        <f>'SGTO POAI 2023 MARZO'!BF14</f>
        <v>191334750</v>
      </c>
      <c r="E13" s="401">
        <f>'SGTO POAI 2023 MARZO'!BG14</f>
        <v>49950000</v>
      </c>
      <c r="F13" s="381">
        <f t="shared" si="2"/>
        <v>0.26106078482868378</v>
      </c>
      <c r="G13" s="402">
        <f>'SGTO POAI 2023 MARZO'!BH14</f>
        <v>26300000</v>
      </c>
      <c r="H13" s="381">
        <f t="shared" si="3"/>
        <v>0.13745542824813578</v>
      </c>
    </row>
    <row r="14" spans="1:8" ht="66" customHeight="1">
      <c r="A14" s="403">
        <f t="shared" si="6"/>
        <v>8</v>
      </c>
      <c r="B14" s="406">
        <v>2020003630045</v>
      </c>
      <c r="C14" s="405" t="s">
        <v>1342</v>
      </c>
      <c r="D14" s="400">
        <f>'SGTO POAI 2023 MARZO'!BF15</f>
        <v>71317200</v>
      </c>
      <c r="E14" s="401">
        <f>'SGTO POAI 2023 MARZO'!BG15</f>
        <v>30826667</v>
      </c>
      <c r="F14" s="381">
        <f t="shared" si="2"/>
        <v>0.43224729798702138</v>
      </c>
      <c r="G14" s="402">
        <f>'SGTO POAI 2023 MARZO'!BH15</f>
        <v>19200000</v>
      </c>
      <c r="H14" s="381">
        <f t="shared" si="3"/>
        <v>0.26921976746142584</v>
      </c>
    </row>
    <row r="15" spans="1:8" ht="66" customHeight="1">
      <c r="A15" s="403">
        <f t="shared" si="6"/>
        <v>9</v>
      </c>
      <c r="B15" s="406">
        <v>2020003630046</v>
      </c>
      <c r="C15" s="405" t="s">
        <v>115</v>
      </c>
      <c r="D15" s="400">
        <f>'SGTO POAI 2023 MARZO'!BF16</f>
        <v>453230700</v>
      </c>
      <c r="E15" s="401">
        <f>'SGTO POAI 2023 MARZO'!BG16</f>
        <v>154320000</v>
      </c>
      <c r="F15" s="381">
        <f t="shared" si="2"/>
        <v>0.34048885038017063</v>
      </c>
      <c r="G15" s="402">
        <f>'SGTO POAI 2023 MARZO'!BH16</f>
        <v>55000000</v>
      </c>
      <c r="H15" s="381">
        <f t="shared" si="3"/>
        <v>0.12135100292191152</v>
      </c>
    </row>
    <row r="16" spans="1:8" ht="66" customHeight="1">
      <c r="A16" s="403">
        <f t="shared" si="6"/>
        <v>10</v>
      </c>
      <c r="B16" s="406">
        <v>2020003630047</v>
      </c>
      <c r="C16" s="407" t="s">
        <v>122</v>
      </c>
      <c r="D16" s="400">
        <f>SUM('SGTO POAI 2023 MARZO'!BF17:BF22)</f>
        <v>190035000</v>
      </c>
      <c r="E16" s="401">
        <f>SUM('SGTO POAI 2023 MARZO'!BG17:BG22)</f>
        <v>71853334</v>
      </c>
      <c r="F16" s="381">
        <f t="shared" si="2"/>
        <v>0.3781057910384929</v>
      </c>
      <c r="G16" s="402">
        <f>SUM('SGTO POAI 2023 MARZO'!BH17:BH22)</f>
        <v>29800000</v>
      </c>
      <c r="H16" s="381">
        <f t="shared" si="3"/>
        <v>0.15681321861762307</v>
      </c>
    </row>
    <row r="17" spans="1:8" ht="66" customHeight="1" thickBot="1">
      <c r="A17" s="403">
        <f t="shared" si="6"/>
        <v>11</v>
      </c>
      <c r="B17" s="421">
        <v>2020003630008</v>
      </c>
      <c r="C17" s="422" t="s">
        <v>1343</v>
      </c>
      <c r="D17" s="412">
        <f>'SGTO POAI 2023 MARZO'!BF23</f>
        <v>81182000</v>
      </c>
      <c r="E17" s="413">
        <f>'SGTO POAI 2023 MARZO'!BG23</f>
        <v>33510000</v>
      </c>
      <c r="F17" s="414">
        <f t="shared" si="2"/>
        <v>0.41277623118425266</v>
      </c>
      <c r="G17" s="402">
        <f>'SGTO POAI 2023 MARZO'!BH23</f>
        <v>16850000</v>
      </c>
      <c r="H17" s="414">
        <f t="shared" si="3"/>
        <v>0.2075583257372324</v>
      </c>
    </row>
    <row r="18" spans="1:8" ht="30" customHeight="1" thickBot="1">
      <c r="A18" s="548" t="s">
        <v>1344</v>
      </c>
      <c r="B18" s="549"/>
      <c r="C18" s="550"/>
      <c r="D18" s="417">
        <f>D19</f>
        <v>3041154599.1599998</v>
      </c>
      <c r="E18" s="417">
        <f t="shared" ref="E18:G18" si="7">E19</f>
        <v>1634890667</v>
      </c>
      <c r="F18" s="390">
        <f t="shared" si="2"/>
        <v>0.53758880507146023</v>
      </c>
      <c r="G18" s="423">
        <f t="shared" si="7"/>
        <v>446404000</v>
      </c>
      <c r="H18" s="390">
        <f t="shared" si="3"/>
        <v>0.14678767074955731</v>
      </c>
    </row>
    <row r="19" spans="1:8" ht="30" customHeight="1">
      <c r="A19" s="419">
        <v>4</v>
      </c>
      <c r="B19" s="546" t="s">
        <v>1462</v>
      </c>
      <c r="C19" s="547"/>
      <c r="D19" s="393">
        <f>SUM(D20:D21)</f>
        <v>3041154599.1599998</v>
      </c>
      <c r="E19" s="394">
        <f t="shared" ref="E19:G19" si="8">SUM(E20:E21)</f>
        <v>1634890667</v>
      </c>
      <c r="F19" s="395">
        <f t="shared" si="2"/>
        <v>0.53758880507146023</v>
      </c>
      <c r="G19" s="396">
        <f t="shared" si="8"/>
        <v>446404000</v>
      </c>
      <c r="H19" s="395">
        <f t="shared" si="3"/>
        <v>0.14678767074955731</v>
      </c>
    </row>
    <row r="20" spans="1:8" ht="66" customHeight="1">
      <c r="A20" s="397">
        <f>A17+1</f>
        <v>12</v>
      </c>
      <c r="B20" s="420">
        <v>2020003630048</v>
      </c>
      <c r="C20" s="424" t="s">
        <v>139</v>
      </c>
      <c r="D20" s="400">
        <f>'SGTO POAI 2023 MARZO'!BF24</f>
        <v>2371154599.1599998</v>
      </c>
      <c r="E20" s="401">
        <f>'SGTO POAI 2023 MARZO'!BG24</f>
        <v>1221290667</v>
      </c>
      <c r="F20" s="381">
        <f t="shared" si="2"/>
        <v>0.5150615938044073</v>
      </c>
      <c r="G20" s="402">
        <f>'SGTO POAI 2023 MARZO'!BH24</f>
        <v>283904000</v>
      </c>
      <c r="H20" s="381">
        <f t="shared" si="3"/>
        <v>0.11973238695636937</v>
      </c>
    </row>
    <row r="21" spans="1:8" ht="66" customHeight="1" thickBot="1">
      <c r="A21" s="425">
        <f>A20+1</f>
        <v>13</v>
      </c>
      <c r="B21" s="421">
        <v>2020003630049</v>
      </c>
      <c r="C21" s="426" t="s">
        <v>1345</v>
      </c>
      <c r="D21" s="412">
        <f>'SGTO POAI 2023 MARZO'!BF25</f>
        <v>670000000</v>
      </c>
      <c r="E21" s="413">
        <f>'SGTO POAI 2023 MARZO'!BG25</f>
        <v>413600000</v>
      </c>
      <c r="F21" s="414">
        <f t="shared" si="2"/>
        <v>0.61731343283582085</v>
      </c>
      <c r="G21" s="402">
        <f>'SGTO POAI 2023 MARZO'!BH25</f>
        <v>162500000</v>
      </c>
      <c r="H21" s="414">
        <f t="shared" si="3"/>
        <v>0.24253731343283583</v>
      </c>
    </row>
    <row r="22" spans="1:8" ht="30" customHeight="1" thickBot="1">
      <c r="A22" s="548" t="s">
        <v>1346</v>
      </c>
      <c r="B22" s="549"/>
      <c r="C22" s="550"/>
      <c r="D22" s="417">
        <f>D23+D31+D34+D43</f>
        <v>91905449878.459991</v>
      </c>
      <c r="E22" s="417">
        <f t="shared" ref="E22:G22" si="9">E23+E31+E34+E43</f>
        <v>5560583941</v>
      </c>
      <c r="F22" s="390">
        <f t="shared" si="2"/>
        <v>6.050331017750931E-2</v>
      </c>
      <c r="G22" s="423">
        <f t="shared" si="9"/>
        <v>258300000</v>
      </c>
      <c r="H22" s="390">
        <f t="shared" si="3"/>
        <v>2.8104970961089666E-3</v>
      </c>
    </row>
    <row r="23" spans="1:8" ht="30" customHeight="1">
      <c r="A23" s="419">
        <v>1</v>
      </c>
      <c r="B23" s="546" t="s">
        <v>148</v>
      </c>
      <c r="C23" s="547"/>
      <c r="D23" s="393">
        <f>SUM(D24:D30)</f>
        <v>36873014664.099998</v>
      </c>
      <c r="E23" s="394">
        <f t="shared" ref="E23:G23" si="10">SUM(E24:E30)</f>
        <v>1062340000</v>
      </c>
      <c r="F23" s="395">
        <f t="shared" si="2"/>
        <v>2.8810771499904148E-2</v>
      </c>
      <c r="G23" s="396">
        <f t="shared" si="10"/>
        <v>172400000</v>
      </c>
      <c r="H23" s="395">
        <f t="shared" si="3"/>
        <v>4.6755059647414906E-3</v>
      </c>
    </row>
    <row r="24" spans="1:8" ht="66" customHeight="1">
      <c r="A24" s="397">
        <f>A21+1</f>
        <v>14</v>
      </c>
      <c r="B24" s="420">
        <v>2020003630017</v>
      </c>
      <c r="C24" s="424" t="s">
        <v>158</v>
      </c>
      <c r="D24" s="427">
        <f>'SGTO POAI 2023 MARZO'!BF26</f>
        <v>74327300</v>
      </c>
      <c r="E24" s="401">
        <f>'SGTO POAI 2023 MARZO'!BG26</f>
        <v>9800000</v>
      </c>
      <c r="F24" s="381">
        <f t="shared" si="2"/>
        <v>0.13184926668935909</v>
      </c>
      <c r="G24" s="402">
        <f>'SGTO POAI 2023 MARZO'!BH26</f>
        <v>7850000</v>
      </c>
      <c r="H24" s="381">
        <f t="shared" si="3"/>
        <v>0.10561395341953764</v>
      </c>
    </row>
    <row r="25" spans="1:8" ht="66" customHeight="1">
      <c r="A25" s="403">
        <f>A24+1</f>
        <v>15</v>
      </c>
      <c r="B25" s="406">
        <v>2020003630050</v>
      </c>
      <c r="C25" s="407" t="s">
        <v>1347</v>
      </c>
      <c r="D25" s="427">
        <f>'SGTO POAI 2023 MARZO'!BF27</f>
        <v>2917024296</v>
      </c>
      <c r="E25" s="401">
        <f>'SGTO POAI 2023 MARZO'!BG27</f>
        <v>733982500</v>
      </c>
      <c r="F25" s="381">
        <f t="shared" si="2"/>
        <v>0.25162029024114785</v>
      </c>
      <c r="G25" s="402">
        <f>'SGTO POAI 2023 MARZO'!BH27</f>
        <v>149450000</v>
      </c>
      <c r="H25" s="381">
        <f t="shared" si="3"/>
        <v>5.123371793815186E-2</v>
      </c>
    </row>
    <row r="26" spans="1:8" ht="66" customHeight="1">
      <c r="A26" s="403">
        <f t="shared" ref="A26:A42" si="11">A25+1</f>
        <v>16</v>
      </c>
      <c r="B26" s="406">
        <v>2021003630001</v>
      </c>
      <c r="C26" s="407" t="s">
        <v>1348</v>
      </c>
      <c r="D26" s="427">
        <f>'SGTO POAI 2023 MARZO'!BF28</f>
        <v>73966912</v>
      </c>
      <c r="E26" s="401">
        <f>'SGTO POAI 2023 MARZO'!BG28</f>
        <v>20500000</v>
      </c>
      <c r="F26" s="381">
        <f t="shared" si="2"/>
        <v>0.27715095095493508</v>
      </c>
      <c r="G26" s="402">
        <f>'SGTO POAI 2023 MARZO'!BH28</f>
        <v>0</v>
      </c>
      <c r="H26" s="381">
        <f t="shared" si="3"/>
        <v>0</v>
      </c>
    </row>
    <row r="27" spans="1:8" ht="66" customHeight="1">
      <c r="A27" s="403">
        <f t="shared" si="11"/>
        <v>17</v>
      </c>
      <c r="B27" s="406">
        <v>2021003630017</v>
      </c>
      <c r="C27" s="407" t="s">
        <v>1349</v>
      </c>
      <c r="D27" s="427">
        <f>'SGTO POAI 2023 MARZO'!BF29</f>
        <v>3050000000</v>
      </c>
      <c r="E27" s="401">
        <f>'SGTO POAI 2023 MARZO'!BG29</f>
        <v>0</v>
      </c>
      <c r="F27" s="381">
        <f t="shared" si="2"/>
        <v>0</v>
      </c>
      <c r="G27" s="402">
        <f>'SGTO POAI 2023 MARZO'!BH29</f>
        <v>0</v>
      </c>
      <c r="H27" s="381">
        <f t="shared" si="3"/>
        <v>0</v>
      </c>
    </row>
    <row r="28" spans="1:8" ht="66" customHeight="1">
      <c r="A28" s="403">
        <f t="shared" si="11"/>
        <v>18</v>
      </c>
      <c r="B28" s="406">
        <v>2022003630007</v>
      </c>
      <c r="C28" s="407" t="s">
        <v>1455</v>
      </c>
      <c r="D28" s="427">
        <f>'SGTO POAI 2023 MARZO'!BF30</f>
        <v>3179932867</v>
      </c>
      <c r="E28" s="401">
        <f>'SGTO POAI 2023 MARZO'!BG30</f>
        <v>0</v>
      </c>
      <c r="F28" s="381">
        <f t="shared" si="2"/>
        <v>0</v>
      </c>
      <c r="G28" s="402">
        <f>'SGTO POAI 2023 MARZO'!BH30</f>
        <v>0</v>
      </c>
      <c r="H28" s="381">
        <f t="shared" si="3"/>
        <v>0</v>
      </c>
    </row>
    <row r="29" spans="1:8" ht="66" customHeight="1">
      <c r="A29" s="403">
        <f t="shared" si="11"/>
        <v>19</v>
      </c>
      <c r="B29" s="406">
        <v>2020003630052</v>
      </c>
      <c r="C29" s="407" t="s">
        <v>197</v>
      </c>
      <c r="D29" s="427">
        <f>'SGTO POAI 2023 MARZO'!BF31</f>
        <v>5965563289.1000004</v>
      </c>
      <c r="E29" s="401">
        <f>'SGTO POAI 2023 MARZO'!BG31</f>
        <v>298057500</v>
      </c>
      <c r="F29" s="381">
        <f t="shared" si="2"/>
        <v>4.9963010290176087E-2</v>
      </c>
      <c r="G29" s="402">
        <f>'SGTO POAI 2023 MARZO'!BH31</f>
        <v>15100000</v>
      </c>
      <c r="H29" s="381">
        <f t="shared" si="3"/>
        <v>2.5311943345886576E-3</v>
      </c>
    </row>
    <row r="30" spans="1:8" ht="66" customHeight="1">
      <c r="A30" s="425">
        <f t="shared" si="11"/>
        <v>20</v>
      </c>
      <c r="B30" s="421">
        <v>2022000040007</v>
      </c>
      <c r="C30" s="426" t="s">
        <v>1450</v>
      </c>
      <c r="D30" s="427">
        <f>'SGTO POAI 2023 MARZO'!BF51</f>
        <v>21612200000</v>
      </c>
      <c r="E30" s="401">
        <f>'SGTO POAI 2023 MARZO'!BG51</f>
        <v>0</v>
      </c>
      <c r="F30" s="381">
        <f t="shared" si="2"/>
        <v>0</v>
      </c>
      <c r="G30" s="415">
        <f>'SGTO POAI 2023 MARZO'!BH51</f>
        <v>0</v>
      </c>
      <c r="H30" s="381">
        <f t="shared" si="3"/>
        <v>0</v>
      </c>
    </row>
    <row r="31" spans="1:8" ht="30" customHeight="1">
      <c r="A31" s="428">
        <v>2</v>
      </c>
      <c r="B31" s="545" t="s">
        <v>199</v>
      </c>
      <c r="C31" s="545"/>
      <c r="D31" s="429">
        <f>SUM(D32:D33)</f>
        <v>41000000</v>
      </c>
      <c r="E31" s="429">
        <f t="shared" ref="E31:G31" si="12">SUM(E32:E33)</f>
        <v>30900000</v>
      </c>
      <c r="F31" s="381">
        <f t="shared" si="2"/>
        <v>0.75365853658536586</v>
      </c>
      <c r="G31" s="430">
        <f t="shared" si="12"/>
        <v>0</v>
      </c>
      <c r="H31" s="381">
        <f t="shared" si="3"/>
        <v>0</v>
      </c>
    </row>
    <row r="32" spans="1:8" ht="39.75" customHeight="1">
      <c r="A32" s="397">
        <f>A30+1</f>
        <v>21</v>
      </c>
      <c r="B32" s="420">
        <v>2021003630018</v>
      </c>
      <c r="C32" s="424" t="s">
        <v>206</v>
      </c>
      <c r="D32" s="427">
        <f>'SGTO POAI 2023 MARZO'!BF32</f>
        <v>1000000</v>
      </c>
      <c r="E32" s="401">
        <f>'SGTO POAI 2023 MARZO'!BG32</f>
        <v>0</v>
      </c>
      <c r="F32" s="381">
        <f t="shared" si="2"/>
        <v>0</v>
      </c>
      <c r="G32" s="402">
        <f>'SGTO POAI 2023 MARZO'!BH32</f>
        <v>0</v>
      </c>
      <c r="H32" s="381">
        <f t="shared" si="3"/>
        <v>0</v>
      </c>
    </row>
    <row r="33" spans="1:8" ht="66" customHeight="1">
      <c r="A33" s="397">
        <f>A32+1</f>
        <v>22</v>
      </c>
      <c r="B33" s="420">
        <v>2021003630019</v>
      </c>
      <c r="C33" s="424" t="s">
        <v>209</v>
      </c>
      <c r="D33" s="427">
        <f>'SGTO POAI 2023 MARZO'!BF33</f>
        <v>40000000</v>
      </c>
      <c r="E33" s="401">
        <f>'SGTO POAI 2023 MARZO'!BG33</f>
        <v>30900000</v>
      </c>
      <c r="F33" s="381">
        <f t="shared" si="2"/>
        <v>0.77249999999999996</v>
      </c>
      <c r="G33" s="402">
        <f>'SGTO POAI 2023 MARZO'!BH33</f>
        <v>0</v>
      </c>
      <c r="H33" s="381">
        <f t="shared" si="3"/>
        <v>0</v>
      </c>
    </row>
    <row r="34" spans="1:8" ht="28.5" customHeight="1">
      <c r="A34" s="428">
        <v>3</v>
      </c>
      <c r="B34" s="545" t="s">
        <v>211</v>
      </c>
      <c r="C34" s="545"/>
      <c r="D34" s="429">
        <f>SUM(D35:D42)</f>
        <v>53888455828.360001</v>
      </c>
      <c r="E34" s="429">
        <f t="shared" ref="E34:G34" si="13">SUM(E35:E42)</f>
        <v>4377543941</v>
      </c>
      <c r="F34" s="381">
        <f t="shared" si="2"/>
        <v>8.1233426968902303E-2</v>
      </c>
      <c r="G34" s="430">
        <f t="shared" si="13"/>
        <v>80650000</v>
      </c>
      <c r="H34" s="381">
        <f t="shared" si="3"/>
        <v>1.4966099651635618E-3</v>
      </c>
    </row>
    <row r="35" spans="1:8" ht="66" customHeight="1">
      <c r="A35" s="403">
        <f>A33+1</f>
        <v>23</v>
      </c>
      <c r="B35" s="406">
        <v>2020003630053</v>
      </c>
      <c r="C35" s="407" t="s">
        <v>220</v>
      </c>
      <c r="D35" s="427">
        <f>SUM('SGTO POAI 2023 MARZO'!BF34:BF35)</f>
        <v>30419023338.52</v>
      </c>
      <c r="E35" s="401">
        <f>SUM('SGTO POAI 2023 MARZO'!BG34:BG35)</f>
        <v>426433333</v>
      </c>
      <c r="F35" s="381">
        <f t="shared" si="2"/>
        <v>1.4018639857513176E-2</v>
      </c>
      <c r="G35" s="402">
        <f>SUM('SGTO POAI 2023 MARZO'!BH34:BH35)</f>
        <v>73250000</v>
      </c>
      <c r="H35" s="381">
        <f t="shared" si="3"/>
        <v>2.4080326046248364E-3</v>
      </c>
    </row>
    <row r="36" spans="1:8" ht="66" customHeight="1">
      <c r="A36" s="403">
        <f>A35+1</f>
        <v>24</v>
      </c>
      <c r="B36" s="406">
        <v>2018000040059</v>
      </c>
      <c r="C36" s="407" t="s">
        <v>1443</v>
      </c>
      <c r="D36" s="427">
        <f>'SGTO POAI 2023 MARZO'!BF37</f>
        <v>6536661612</v>
      </c>
      <c r="E36" s="401">
        <f>'SGTO POAI 2023 MARZO'!BG37</f>
        <v>0</v>
      </c>
      <c r="F36" s="381">
        <f t="shared" si="2"/>
        <v>0</v>
      </c>
      <c r="G36" s="402">
        <f>'SGTO POAI 2023 MARZO'!BH37</f>
        <v>0</v>
      </c>
      <c r="H36" s="381">
        <f t="shared" si="3"/>
        <v>0</v>
      </c>
    </row>
    <row r="37" spans="1:8" ht="66" customHeight="1">
      <c r="A37" s="403">
        <f>A36+1</f>
        <v>25</v>
      </c>
      <c r="B37" s="406">
        <v>2022003630010</v>
      </c>
      <c r="C37" s="407" t="s">
        <v>1445</v>
      </c>
      <c r="D37" s="427">
        <f>'SGTO POAI 2023 MARZO'!BF38</f>
        <v>9133426135</v>
      </c>
      <c r="E37" s="401">
        <f>'SGTO POAI 2023 MARZO'!BG38</f>
        <v>0</v>
      </c>
      <c r="F37" s="381">
        <f t="shared" si="2"/>
        <v>0</v>
      </c>
      <c r="G37" s="402">
        <f>'SGTO POAI 2023 MARZO'!BH38</f>
        <v>0</v>
      </c>
      <c r="H37" s="381">
        <f t="shared" si="3"/>
        <v>0</v>
      </c>
    </row>
    <row r="38" spans="1:8" ht="66" customHeight="1">
      <c r="A38" s="403">
        <f>A37+1</f>
        <v>26</v>
      </c>
      <c r="B38" s="406">
        <v>2020003630054</v>
      </c>
      <c r="C38" s="407" t="s">
        <v>1437</v>
      </c>
      <c r="D38" s="427">
        <f>'SGTO POAI 2023 MARZO'!BF36</f>
        <v>392514047</v>
      </c>
      <c r="E38" s="401">
        <f>'SGTO POAI 2023 MARZO'!BG36</f>
        <v>62514047</v>
      </c>
      <c r="F38" s="381">
        <f t="shared" si="2"/>
        <v>0.15926575743670138</v>
      </c>
      <c r="G38" s="402">
        <f>'SGTO POAI 2023 MARZO'!BH36</f>
        <v>0</v>
      </c>
      <c r="H38" s="381">
        <f t="shared" si="3"/>
        <v>0</v>
      </c>
    </row>
    <row r="39" spans="1:8" ht="66" customHeight="1">
      <c r="A39" s="403">
        <f>A38+1</f>
        <v>27</v>
      </c>
      <c r="B39" s="406">
        <v>2021003630004</v>
      </c>
      <c r="C39" s="407" t="s">
        <v>233</v>
      </c>
      <c r="D39" s="427">
        <f>'SGTO POAI 2023 MARZO'!BF39</f>
        <v>735000000</v>
      </c>
      <c r="E39" s="401">
        <f>'SGTO POAI 2023 MARZO'!BG39</f>
        <v>0</v>
      </c>
      <c r="F39" s="381">
        <f t="shared" si="2"/>
        <v>0</v>
      </c>
      <c r="G39" s="402">
        <f>'SGTO POAI 2023 MARZO'!BH39</f>
        <v>0</v>
      </c>
      <c r="H39" s="381">
        <f t="shared" si="3"/>
        <v>0</v>
      </c>
    </row>
    <row r="40" spans="1:8" ht="66" customHeight="1">
      <c r="A40" s="403">
        <f t="shared" si="11"/>
        <v>28</v>
      </c>
      <c r="B40" s="406">
        <v>2021003630002</v>
      </c>
      <c r="C40" s="407" t="s">
        <v>1350</v>
      </c>
      <c r="D40" s="427">
        <f>'SGTO POAI 2023 MARZO'!BF40</f>
        <v>1105000000</v>
      </c>
      <c r="E40" s="401">
        <f>'SGTO POAI 2023 MARZO'!BG40</f>
        <v>18200000</v>
      </c>
      <c r="F40" s="381">
        <f t="shared" si="2"/>
        <v>1.6470588235294119E-2</v>
      </c>
      <c r="G40" s="402">
        <f>'SGTO POAI 2023 MARZO'!BH40</f>
        <v>7400000</v>
      </c>
      <c r="H40" s="381">
        <f t="shared" si="3"/>
        <v>6.6968325791855205E-3</v>
      </c>
    </row>
    <row r="41" spans="1:8" ht="66" customHeight="1">
      <c r="A41" s="403">
        <f t="shared" si="11"/>
        <v>29</v>
      </c>
      <c r="B41" s="406">
        <v>2020003630057</v>
      </c>
      <c r="C41" s="407" t="s">
        <v>247</v>
      </c>
      <c r="D41" s="427">
        <f>'SGTO POAI 2023 MARZO'!BF41</f>
        <v>350000000</v>
      </c>
      <c r="E41" s="401">
        <f>'SGTO POAI 2023 MARZO'!BG41</f>
        <v>0</v>
      </c>
      <c r="F41" s="381">
        <f t="shared" si="2"/>
        <v>0</v>
      </c>
      <c r="G41" s="402">
        <f>'SGTO POAI 2023 MARZO'!BH41</f>
        <v>0</v>
      </c>
      <c r="H41" s="381">
        <f t="shared" si="3"/>
        <v>0</v>
      </c>
    </row>
    <row r="42" spans="1:8" ht="66" customHeight="1" thickBot="1">
      <c r="A42" s="403">
        <f t="shared" si="11"/>
        <v>30</v>
      </c>
      <c r="B42" s="406">
        <v>2020003630014</v>
      </c>
      <c r="C42" s="405" t="s">
        <v>257</v>
      </c>
      <c r="D42" s="427">
        <f>SUM('SGTO POAI 2023 MARZO'!BF42:BF47)</f>
        <v>5216830695.8400002</v>
      </c>
      <c r="E42" s="401">
        <f>SUM('SGTO POAI 2023 MARZO'!BG42:BG47)</f>
        <v>3870396561</v>
      </c>
      <c r="F42" s="381">
        <f t="shared" si="2"/>
        <v>0.74190572526847143</v>
      </c>
      <c r="G42" s="402">
        <f>SUM('SGTO POAI 2023 MARZO'!BH42:BH47)</f>
        <v>0</v>
      </c>
      <c r="H42" s="381">
        <f t="shared" si="3"/>
        <v>0</v>
      </c>
    </row>
    <row r="43" spans="1:8" ht="28.5" customHeight="1">
      <c r="A43" s="428">
        <v>4</v>
      </c>
      <c r="B43" s="546" t="s">
        <v>1462</v>
      </c>
      <c r="C43" s="547"/>
      <c r="D43" s="429">
        <f>SUM(D44:D46)</f>
        <v>1102979386</v>
      </c>
      <c r="E43" s="429">
        <f t="shared" ref="E43:G43" si="14">SUM(E44:E46)</f>
        <v>89800000</v>
      </c>
      <c r="F43" s="381">
        <f t="shared" si="2"/>
        <v>8.1415846152540883E-2</v>
      </c>
      <c r="G43" s="430">
        <f t="shared" si="14"/>
        <v>5250000</v>
      </c>
      <c r="H43" s="381">
        <f t="shared" si="3"/>
        <v>4.7598351035728244E-3</v>
      </c>
    </row>
    <row r="44" spans="1:8" ht="66" customHeight="1">
      <c r="A44" s="403">
        <f>A42+1</f>
        <v>31</v>
      </c>
      <c r="B44" s="406">
        <v>2021003630003</v>
      </c>
      <c r="C44" s="407" t="s">
        <v>275</v>
      </c>
      <c r="D44" s="427">
        <f>'SGTO POAI 2023 MARZO'!BF48</f>
        <v>563000000</v>
      </c>
      <c r="E44" s="401">
        <f>'SGTO POAI 2023 MARZO'!BG48</f>
        <v>49800000</v>
      </c>
      <c r="F44" s="381">
        <f t="shared" si="2"/>
        <v>8.8454706927175844E-2</v>
      </c>
      <c r="G44" s="402">
        <f>'SGTO POAI 2023 MARZO'!BH48</f>
        <v>3250000</v>
      </c>
      <c r="H44" s="381">
        <f t="shared" si="3"/>
        <v>5.7726465364120782E-3</v>
      </c>
    </row>
    <row r="45" spans="1:8" ht="66" customHeight="1">
      <c r="A45" s="425">
        <f>A44+1</f>
        <v>32</v>
      </c>
      <c r="B45" s="421">
        <v>2022003630008</v>
      </c>
      <c r="C45" s="426" t="s">
        <v>1447</v>
      </c>
      <c r="D45" s="427">
        <f>'SGTO POAI 2023 MARZO'!BF49</f>
        <v>499979386</v>
      </c>
      <c r="E45" s="401">
        <f>'SGTO POAI 2023 MARZO'!BG49</f>
        <v>0</v>
      </c>
      <c r="F45" s="381">
        <f t="shared" si="2"/>
        <v>0</v>
      </c>
      <c r="G45" s="402">
        <f>'SGTO POAI 2023 MARZO'!BH49</f>
        <v>0</v>
      </c>
      <c r="H45" s="381">
        <f t="shared" si="3"/>
        <v>0</v>
      </c>
    </row>
    <row r="46" spans="1:8" ht="66" customHeight="1" thickBot="1">
      <c r="A46" s="425">
        <f>A45+1</f>
        <v>33</v>
      </c>
      <c r="B46" s="421">
        <v>2021003630006</v>
      </c>
      <c r="C46" s="426" t="s">
        <v>279</v>
      </c>
      <c r="D46" s="431">
        <f>'SGTO POAI 2023 MARZO'!BF50</f>
        <v>40000000</v>
      </c>
      <c r="E46" s="413">
        <f>'SGTO POAI 2023 MARZO'!BG50</f>
        <v>40000000</v>
      </c>
      <c r="F46" s="414">
        <f t="shared" si="2"/>
        <v>1</v>
      </c>
      <c r="G46" s="402">
        <f>'SGTO POAI 2023 MARZO'!BH50</f>
        <v>2000000</v>
      </c>
      <c r="H46" s="414">
        <f t="shared" si="3"/>
        <v>0.05</v>
      </c>
    </row>
    <row r="47" spans="1:8" ht="30" customHeight="1" thickBot="1">
      <c r="A47" s="548" t="s">
        <v>1351</v>
      </c>
      <c r="B47" s="549"/>
      <c r="C47" s="550"/>
      <c r="D47" s="417">
        <f>D48+D57+D60</f>
        <v>9005666049.1399994</v>
      </c>
      <c r="E47" s="417">
        <f t="shared" ref="E47:G47" si="15">E48+E57+E60</f>
        <v>1519297794.3499999</v>
      </c>
      <c r="F47" s="390">
        <f t="shared" si="2"/>
        <v>0.1687046561642252</v>
      </c>
      <c r="G47" s="423">
        <f t="shared" si="15"/>
        <v>336093935.85000002</v>
      </c>
      <c r="H47" s="390">
        <f t="shared" si="3"/>
        <v>3.7320275259606753E-2</v>
      </c>
    </row>
    <row r="48" spans="1:8" ht="30" customHeight="1">
      <c r="A48" s="419">
        <v>1</v>
      </c>
      <c r="B48" s="546" t="s">
        <v>148</v>
      </c>
      <c r="C48" s="547"/>
      <c r="D48" s="393">
        <f>SUM(D49:D56)</f>
        <v>8033276561.1399994</v>
      </c>
      <c r="E48" s="394">
        <f t="shared" ref="E48:G48" si="16">SUM(E49:E56)</f>
        <v>1192420806.3499999</v>
      </c>
      <c r="F48" s="395">
        <f t="shared" si="2"/>
        <v>0.14843517427474001</v>
      </c>
      <c r="G48" s="396">
        <f t="shared" si="16"/>
        <v>194943935.84999999</v>
      </c>
      <c r="H48" s="395">
        <f t="shared" si="3"/>
        <v>2.426705147847363E-2</v>
      </c>
    </row>
    <row r="49" spans="1:8" ht="66" customHeight="1">
      <c r="A49" s="397">
        <f>A46+1</f>
        <v>34</v>
      </c>
      <c r="B49" s="420">
        <v>2020003630060</v>
      </c>
      <c r="C49" s="399" t="s">
        <v>1352</v>
      </c>
      <c r="D49" s="400">
        <f>'SGTO POAI 2023 MARZO'!BF52</f>
        <v>139000000</v>
      </c>
      <c r="E49" s="401">
        <f>'SGTO POAI 2023 MARZO'!BG52</f>
        <v>35188012</v>
      </c>
      <c r="F49" s="381">
        <f t="shared" si="2"/>
        <v>0.25315116546762589</v>
      </c>
      <c r="G49" s="402">
        <f>'SGTO POAI 2023 MARZO'!BH52</f>
        <v>14800000</v>
      </c>
      <c r="H49" s="381">
        <f t="shared" si="3"/>
        <v>0.10647482014388489</v>
      </c>
    </row>
    <row r="50" spans="1:8" ht="66" customHeight="1">
      <c r="A50" s="403">
        <f>A49+1</f>
        <v>35</v>
      </c>
      <c r="B50" s="406">
        <v>2020003630061</v>
      </c>
      <c r="C50" s="405" t="s">
        <v>1353</v>
      </c>
      <c r="D50" s="400">
        <f>'SGTO POAI 2023 MARZO'!BF53</f>
        <v>67000000</v>
      </c>
      <c r="E50" s="401">
        <f>'SGTO POAI 2023 MARZO'!BG53</f>
        <v>15300000</v>
      </c>
      <c r="F50" s="381">
        <f t="shared" si="2"/>
        <v>0.22835820895522388</v>
      </c>
      <c r="G50" s="402">
        <f>'SGTO POAI 2023 MARZO'!BH53</f>
        <v>8200000</v>
      </c>
      <c r="H50" s="381">
        <f t="shared" si="3"/>
        <v>0.12238805970149254</v>
      </c>
    </row>
    <row r="51" spans="1:8" ht="66" customHeight="1">
      <c r="A51" s="403">
        <f t="shared" ref="A51:A62" si="17">A50+1</f>
        <v>36</v>
      </c>
      <c r="B51" s="406">
        <v>2020003630062</v>
      </c>
      <c r="C51" s="405" t="s">
        <v>1354</v>
      </c>
      <c r="D51" s="400">
        <f>'SGTO POAI 2023 MARZO'!BF54</f>
        <v>67000000</v>
      </c>
      <c r="E51" s="401">
        <f>'SGTO POAI 2023 MARZO'!BG54</f>
        <v>24782500</v>
      </c>
      <c r="F51" s="381">
        <f t="shared" si="2"/>
        <v>0.36988805970149252</v>
      </c>
      <c r="G51" s="402">
        <f>'SGTO POAI 2023 MARZO'!BH54</f>
        <v>8400000</v>
      </c>
      <c r="H51" s="381">
        <f t="shared" si="3"/>
        <v>0.1253731343283582</v>
      </c>
    </row>
    <row r="52" spans="1:8" ht="66" customHeight="1">
      <c r="A52" s="403">
        <f t="shared" si="17"/>
        <v>37</v>
      </c>
      <c r="B52" s="406">
        <v>2020003630063</v>
      </c>
      <c r="C52" s="407" t="s">
        <v>1355</v>
      </c>
      <c r="D52" s="400">
        <f>'SGTO POAI 2023 MARZO'!BF55</f>
        <v>70000000</v>
      </c>
      <c r="E52" s="401">
        <f>'SGTO POAI 2023 MARZO'!BG55</f>
        <v>45330000</v>
      </c>
      <c r="F52" s="381">
        <f t="shared" si="2"/>
        <v>0.64757142857142858</v>
      </c>
      <c r="G52" s="402">
        <f>'SGTO POAI 2023 MARZO'!BH55</f>
        <v>13750000</v>
      </c>
      <c r="H52" s="381">
        <f t="shared" si="3"/>
        <v>0.19642857142857142</v>
      </c>
    </row>
    <row r="53" spans="1:8" ht="66" customHeight="1">
      <c r="A53" s="403">
        <f t="shared" si="17"/>
        <v>38</v>
      </c>
      <c r="B53" s="406">
        <v>2020003630064</v>
      </c>
      <c r="C53" s="407" t="s">
        <v>309</v>
      </c>
      <c r="D53" s="400">
        <f>SUM('SGTO POAI 2023 MARZO'!BF56:BF60)</f>
        <v>288000000</v>
      </c>
      <c r="E53" s="401">
        <f>SUM('SGTO POAI 2023 MARZO'!BG56:BG60)</f>
        <v>117369200</v>
      </c>
      <c r="F53" s="381">
        <f t="shared" si="2"/>
        <v>0.40753194444444446</v>
      </c>
      <c r="G53" s="402">
        <f>SUM('SGTO POAI 2023 MARZO'!BH56:BH60)</f>
        <v>62379200</v>
      </c>
      <c r="H53" s="381">
        <f t="shared" si="3"/>
        <v>0.21659444444444445</v>
      </c>
    </row>
    <row r="54" spans="1:8" ht="66" customHeight="1">
      <c r="A54" s="403">
        <f t="shared" si="17"/>
        <v>39</v>
      </c>
      <c r="B54" s="406">
        <v>2020003630065</v>
      </c>
      <c r="C54" s="407" t="s">
        <v>1356</v>
      </c>
      <c r="D54" s="400">
        <f>'SGTO POAI 2023 MARZO'!BF61</f>
        <v>32000000</v>
      </c>
      <c r="E54" s="401">
        <f>'SGTO POAI 2023 MARZO'!BG61</f>
        <v>16885000</v>
      </c>
      <c r="F54" s="381">
        <f t="shared" si="2"/>
        <v>0.52765625000000005</v>
      </c>
      <c r="G54" s="402">
        <f>'SGTO POAI 2023 MARZO'!BH61</f>
        <v>6200000</v>
      </c>
      <c r="H54" s="381">
        <f t="shared" si="3"/>
        <v>0.19375000000000001</v>
      </c>
    </row>
    <row r="55" spans="1:8" ht="66" customHeight="1">
      <c r="A55" s="403">
        <f t="shared" si="17"/>
        <v>40</v>
      </c>
      <c r="B55" s="406">
        <v>2020003630066</v>
      </c>
      <c r="C55" s="407" t="s">
        <v>1357</v>
      </c>
      <c r="D55" s="400">
        <f>SUM('SGTO POAI 2023 MARZO'!BF62)</f>
        <v>7293276561.1399994</v>
      </c>
      <c r="E55" s="401">
        <f>SUM('SGTO POAI 2023 MARZO'!BG62)</f>
        <v>901033594.35000002</v>
      </c>
      <c r="F55" s="381">
        <f t="shared" si="2"/>
        <v>0.12354304499446557</v>
      </c>
      <c r="G55" s="402">
        <f>SUM('SGTO POAI 2023 MARZO'!BH62)</f>
        <v>62364735.850000001</v>
      </c>
      <c r="H55" s="381">
        <f t="shared" si="3"/>
        <v>8.5509901245609532E-3</v>
      </c>
    </row>
    <row r="56" spans="1:8" ht="53.25" customHeight="1">
      <c r="A56" s="403">
        <f>A55+1</f>
        <v>41</v>
      </c>
      <c r="B56" s="406">
        <v>2020003630068</v>
      </c>
      <c r="C56" s="407" t="s">
        <v>339</v>
      </c>
      <c r="D56" s="400">
        <f>'SGTO POAI 2023 MARZO'!BF63</f>
        <v>77000000</v>
      </c>
      <c r="E56" s="401">
        <f>'SGTO POAI 2023 MARZO'!BG63</f>
        <v>36532500</v>
      </c>
      <c r="F56" s="381">
        <f t="shared" si="2"/>
        <v>0.47444805194805195</v>
      </c>
      <c r="G56" s="402">
        <f>'SGTO POAI 2023 MARZO'!BH63</f>
        <v>18850000</v>
      </c>
      <c r="H56" s="381">
        <f t="shared" si="3"/>
        <v>0.2448051948051948</v>
      </c>
    </row>
    <row r="57" spans="1:8" ht="36" customHeight="1">
      <c r="A57" s="428">
        <v>3</v>
      </c>
      <c r="B57" s="545" t="s">
        <v>211</v>
      </c>
      <c r="C57" s="545"/>
      <c r="D57" s="429">
        <f>SUM(D58:D59)</f>
        <v>345389488</v>
      </c>
      <c r="E57" s="429">
        <f t="shared" ref="E57:G57" si="18">SUM(E58:E59)</f>
        <v>161399488</v>
      </c>
      <c r="F57" s="381">
        <f t="shared" si="2"/>
        <v>0.46729704755808898</v>
      </c>
      <c r="G57" s="430">
        <f t="shared" si="18"/>
        <v>79600000</v>
      </c>
      <c r="H57" s="381">
        <f t="shared" si="3"/>
        <v>0.23046445466805868</v>
      </c>
    </row>
    <row r="58" spans="1:8" ht="66" customHeight="1">
      <c r="A58" s="403">
        <f>A56+1</f>
        <v>42</v>
      </c>
      <c r="B58" s="406">
        <v>2020003630069</v>
      </c>
      <c r="C58" s="407" t="s">
        <v>344</v>
      </c>
      <c r="D58" s="400">
        <f>'SGTO POAI 2023 MARZO'!BF64</f>
        <v>55000000</v>
      </c>
      <c r="E58" s="401">
        <f>'SGTO POAI 2023 MARZO'!BG64</f>
        <v>53655000</v>
      </c>
      <c r="F58" s="381">
        <f t="shared" si="2"/>
        <v>0.97554545454545449</v>
      </c>
      <c r="G58" s="402">
        <f>'SGTO POAI 2023 MARZO'!BH64</f>
        <v>31800000</v>
      </c>
      <c r="H58" s="381">
        <f t="shared" si="3"/>
        <v>0.57818181818181813</v>
      </c>
    </row>
    <row r="59" spans="1:8" ht="66" customHeight="1" thickBot="1">
      <c r="A59" s="403">
        <f t="shared" si="17"/>
        <v>43</v>
      </c>
      <c r="B59" s="406">
        <v>2020003630070</v>
      </c>
      <c r="C59" s="407" t="s">
        <v>351</v>
      </c>
      <c r="D59" s="400">
        <f>SUM('SGTO POAI 2023 MARZO'!BF65:BF67)</f>
        <v>290389488</v>
      </c>
      <c r="E59" s="401">
        <f>SUM('SGTO POAI 2023 MARZO'!BG65:BG67)</f>
        <v>107744488</v>
      </c>
      <c r="F59" s="381">
        <f t="shared" si="2"/>
        <v>0.37103439501914753</v>
      </c>
      <c r="G59" s="402">
        <f>SUM('SGTO POAI 2023 MARZO'!BH65:BH67)</f>
        <v>47800000</v>
      </c>
      <c r="H59" s="381">
        <f t="shared" si="3"/>
        <v>0.16460650944775246</v>
      </c>
    </row>
    <row r="60" spans="1:8" ht="31.5" customHeight="1">
      <c r="A60" s="428">
        <v>4</v>
      </c>
      <c r="B60" s="546" t="s">
        <v>1462</v>
      </c>
      <c r="C60" s="547"/>
      <c r="D60" s="429">
        <f>SUM(D61:D62)</f>
        <v>627000000</v>
      </c>
      <c r="E60" s="429">
        <f t="shared" ref="E60:G60" si="19">SUM(E61:E62)</f>
        <v>165477500</v>
      </c>
      <c r="F60" s="381">
        <f t="shared" si="2"/>
        <v>0.26391945773524722</v>
      </c>
      <c r="G60" s="430">
        <f t="shared" si="19"/>
        <v>61550000</v>
      </c>
      <c r="H60" s="381">
        <f t="shared" si="3"/>
        <v>9.8165869218500804E-2</v>
      </c>
    </row>
    <row r="61" spans="1:8" ht="66" customHeight="1">
      <c r="A61" s="403">
        <f>A59+1</f>
        <v>44</v>
      </c>
      <c r="B61" s="406">
        <v>2020003630067</v>
      </c>
      <c r="C61" s="405" t="s">
        <v>1358</v>
      </c>
      <c r="D61" s="400">
        <f>'SGTO POAI 2023 MARZO'!BF68</f>
        <v>105000000</v>
      </c>
      <c r="E61" s="401">
        <f>'SGTO POAI 2023 MARZO'!BG68</f>
        <v>38614488</v>
      </c>
      <c r="F61" s="381">
        <f t="shared" si="2"/>
        <v>0.36775702857142856</v>
      </c>
      <c r="G61" s="402">
        <f>'SGTO POAI 2023 MARZO'!BH68</f>
        <v>12200000</v>
      </c>
      <c r="H61" s="381">
        <f t="shared" si="3"/>
        <v>0.11619047619047619</v>
      </c>
    </row>
    <row r="62" spans="1:8" ht="66" customHeight="1" thickBot="1">
      <c r="A62" s="425">
        <f t="shared" si="17"/>
        <v>45</v>
      </c>
      <c r="B62" s="421">
        <v>2020003630071</v>
      </c>
      <c r="C62" s="422" t="s">
        <v>1359</v>
      </c>
      <c r="D62" s="412">
        <f>SUM('SGTO POAI 2023 MARZO'!BF69:BF72)</f>
        <v>522000000</v>
      </c>
      <c r="E62" s="413">
        <f>SUM('SGTO POAI 2023 MARZO'!BG69:BG72)</f>
        <v>126863012</v>
      </c>
      <c r="F62" s="414">
        <f t="shared" si="2"/>
        <v>0.24303259003831418</v>
      </c>
      <c r="G62" s="402">
        <f>SUM('SGTO POAI 2023 MARZO'!BH69:BH72)</f>
        <v>49350000</v>
      </c>
      <c r="H62" s="414">
        <f t="shared" si="3"/>
        <v>9.4540229885057475E-2</v>
      </c>
    </row>
    <row r="63" spans="1:8" ht="30" customHeight="1" thickBot="1">
      <c r="A63" s="548" t="s">
        <v>1360</v>
      </c>
      <c r="B63" s="549"/>
      <c r="C63" s="550"/>
      <c r="D63" s="417">
        <f>D64</f>
        <v>3959930987.3400002</v>
      </c>
      <c r="E63" s="417">
        <f t="shared" ref="E63:G63" si="20">E64</f>
        <v>581014999.67000008</v>
      </c>
      <c r="F63" s="390">
        <f t="shared" si="2"/>
        <v>0.14672351652781823</v>
      </c>
      <c r="G63" s="423">
        <f t="shared" si="20"/>
        <v>216539999.67000002</v>
      </c>
      <c r="H63" s="390">
        <f t="shared" si="3"/>
        <v>5.4682771079163722E-2</v>
      </c>
    </row>
    <row r="64" spans="1:8" ht="30" customHeight="1">
      <c r="A64" s="419">
        <v>1</v>
      </c>
      <c r="B64" s="546" t="s">
        <v>148</v>
      </c>
      <c r="C64" s="547"/>
      <c r="D64" s="393">
        <f>SUM(D65:D68)</f>
        <v>3959930987.3400002</v>
      </c>
      <c r="E64" s="394">
        <f t="shared" ref="E64:G64" si="21">SUM(E65:E68)</f>
        <v>581014999.67000008</v>
      </c>
      <c r="F64" s="395">
        <f t="shared" si="2"/>
        <v>0.14672351652781823</v>
      </c>
      <c r="G64" s="396">
        <f t="shared" si="21"/>
        <v>216539999.67000002</v>
      </c>
      <c r="H64" s="395">
        <f t="shared" si="3"/>
        <v>5.4682771079163722E-2</v>
      </c>
    </row>
    <row r="65" spans="1:8" ht="66" customHeight="1">
      <c r="A65" s="397">
        <f>A62+1</f>
        <v>46</v>
      </c>
      <c r="B65" s="420">
        <v>2020003630021</v>
      </c>
      <c r="C65" s="424" t="s">
        <v>380</v>
      </c>
      <c r="D65" s="400">
        <f>SUM('SGTO POAI 2023 MARZO'!BF73:BF77)</f>
        <v>2868874526.3099999</v>
      </c>
      <c r="E65" s="401">
        <f>SUM('SGTO POAI 2023 MARZO'!BG73:BG77)</f>
        <v>334504999.67000002</v>
      </c>
      <c r="F65" s="381">
        <f t="shared" si="2"/>
        <v>0.11659798872425647</v>
      </c>
      <c r="G65" s="402">
        <f>SUM('SGTO POAI 2023 MARZO'!BH73:BH77)</f>
        <v>117669999.67</v>
      </c>
      <c r="H65" s="381">
        <f t="shared" si="3"/>
        <v>4.1016084388099526E-2</v>
      </c>
    </row>
    <row r="66" spans="1:8" ht="66" customHeight="1">
      <c r="A66" s="403">
        <f>A65+1</f>
        <v>47</v>
      </c>
      <c r="B66" s="406">
        <v>2020003630020</v>
      </c>
      <c r="C66" s="407" t="s">
        <v>396</v>
      </c>
      <c r="D66" s="400">
        <f>SUM('SGTO POAI 2023 MARZO'!BF78:BF79)</f>
        <v>460754138.18000001</v>
      </c>
      <c r="E66" s="401">
        <f>SUM('SGTO POAI 2023 MARZO'!BG78:BG79)</f>
        <v>180300000</v>
      </c>
      <c r="F66" s="381">
        <f t="shared" si="2"/>
        <v>0.39131498788528146</v>
      </c>
      <c r="G66" s="402">
        <f>SUM('SGTO POAI 2023 MARZO'!BH78:BH79)</f>
        <v>70000000</v>
      </c>
      <c r="H66" s="381">
        <f t="shared" si="3"/>
        <v>0.15192484277298782</v>
      </c>
    </row>
    <row r="67" spans="1:8" ht="66" customHeight="1">
      <c r="A67" s="403">
        <f t="shared" ref="A67:A68" si="22">A66+1</f>
        <v>48</v>
      </c>
      <c r="B67" s="406">
        <v>2020003630072</v>
      </c>
      <c r="C67" s="405" t="s">
        <v>1361</v>
      </c>
      <c r="D67" s="400">
        <f>'SGTO POAI 2023 MARZO'!BF80</f>
        <v>369583478.55000001</v>
      </c>
      <c r="E67" s="401">
        <f>'SGTO POAI 2023 MARZO'!BG80</f>
        <v>6300000</v>
      </c>
      <c r="F67" s="381">
        <f t="shared" si="2"/>
        <v>1.7046216526553117E-2</v>
      </c>
      <c r="G67" s="402">
        <f>'SGTO POAI 2023 MARZO'!BH80</f>
        <v>2100000</v>
      </c>
      <c r="H67" s="381">
        <f t="shared" si="3"/>
        <v>5.6820721755177061E-3</v>
      </c>
    </row>
    <row r="68" spans="1:8" ht="66" customHeight="1" thickBot="1">
      <c r="A68" s="425">
        <f t="shared" si="22"/>
        <v>49</v>
      </c>
      <c r="B68" s="421">
        <v>2020003630073</v>
      </c>
      <c r="C68" s="422" t="s">
        <v>1362</v>
      </c>
      <c r="D68" s="412">
        <f>SUM('SGTO POAI 2023 MARZO'!BF81:BF82)</f>
        <v>260718844.30000001</v>
      </c>
      <c r="E68" s="413">
        <f>SUM('SGTO POAI 2023 MARZO'!BG81:BG82)</f>
        <v>59910000</v>
      </c>
      <c r="F68" s="414">
        <f t="shared" ref="F68:F131" si="23">E68/D68</f>
        <v>0.22978776298602976</v>
      </c>
      <c r="G68" s="402">
        <f>SUM('SGTO POAI 2023 MARZO'!BH81:BH82)</f>
        <v>26770000</v>
      </c>
      <c r="H68" s="414">
        <f t="shared" ref="H68:H131" si="24">G68/D68</f>
        <v>0.102677656737373</v>
      </c>
    </row>
    <row r="69" spans="1:8" ht="30" customHeight="1" thickBot="1">
      <c r="A69" s="548" t="s">
        <v>1363</v>
      </c>
      <c r="B69" s="549"/>
      <c r="C69" s="550"/>
      <c r="D69" s="417">
        <f>D70</f>
        <v>2740910173.9000001</v>
      </c>
      <c r="E69" s="417">
        <f t="shared" ref="E69:G69" si="25">E70</f>
        <v>981947000</v>
      </c>
      <c r="F69" s="390">
        <f t="shared" si="23"/>
        <v>0.35825581201108914</v>
      </c>
      <c r="G69" s="423">
        <f t="shared" si="25"/>
        <v>356901999.00999999</v>
      </c>
      <c r="H69" s="390">
        <f t="shared" si="24"/>
        <v>0.13021294984730181</v>
      </c>
    </row>
    <row r="70" spans="1:8" ht="30" customHeight="1">
      <c r="A70" s="428">
        <v>2</v>
      </c>
      <c r="B70" s="545" t="s">
        <v>199</v>
      </c>
      <c r="C70" s="545"/>
      <c r="D70" s="394">
        <f>SUM(D71:D76)</f>
        <v>2740910173.9000001</v>
      </c>
      <c r="E70" s="394">
        <f t="shared" ref="E70:G70" si="26">SUM(E71:E76)</f>
        <v>981947000</v>
      </c>
      <c r="F70" s="395">
        <f t="shared" si="23"/>
        <v>0.35825581201108914</v>
      </c>
      <c r="G70" s="430">
        <f t="shared" si="26"/>
        <v>356901999.00999999</v>
      </c>
      <c r="H70" s="395">
        <f t="shared" si="24"/>
        <v>0.13021294984730181</v>
      </c>
    </row>
    <row r="71" spans="1:8" ht="66" customHeight="1">
      <c r="A71" s="397">
        <f>A68+1</f>
        <v>50</v>
      </c>
      <c r="B71" s="420">
        <v>2020003630074</v>
      </c>
      <c r="C71" s="399" t="s">
        <v>424</v>
      </c>
      <c r="D71" s="400">
        <f>SUM('SGTO POAI 2023 MARZO'!BF83:BF84)</f>
        <v>104000000</v>
      </c>
      <c r="E71" s="401">
        <f>SUM('SGTO POAI 2023 MARZO'!BG83:BG84)</f>
        <v>47548928</v>
      </c>
      <c r="F71" s="381">
        <f t="shared" si="23"/>
        <v>0.45720123076923075</v>
      </c>
      <c r="G71" s="402">
        <f>SUM('SGTO POAI 2023 MARZO'!BH83:BH84)</f>
        <v>27600000</v>
      </c>
      <c r="H71" s="381">
        <f t="shared" si="24"/>
        <v>0.26538461538461539</v>
      </c>
    </row>
    <row r="72" spans="1:8" ht="66" customHeight="1">
      <c r="A72" s="403">
        <f>A71+1</f>
        <v>51</v>
      </c>
      <c r="B72" s="406">
        <v>2020003630075</v>
      </c>
      <c r="C72" s="407" t="s">
        <v>1364</v>
      </c>
      <c r="D72" s="400">
        <f>'SGTO POAI 2023 MARZO'!BF85</f>
        <v>137351072</v>
      </c>
      <c r="E72" s="401">
        <f>'SGTO POAI 2023 MARZO'!BG85</f>
        <v>37351072</v>
      </c>
      <c r="F72" s="381">
        <f t="shared" si="23"/>
        <v>0.2719387002672975</v>
      </c>
      <c r="G72" s="402">
        <f>'SGTO POAI 2023 MARZO'!BH85</f>
        <v>23910000</v>
      </c>
      <c r="H72" s="381">
        <f t="shared" si="24"/>
        <v>0.17407945676608916</v>
      </c>
    </row>
    <row r="73" spans="1:8" ht="66" customHeight="1">
      <c r="A73" s="403">
        <f t="shared" ref="A73:A74" si="27">A72+1</f>
        <v>52</v>
      </c>
      <c r="B73" s="406">
        <v>2020003630076</v>
      </c>
      <c r="C73" s="407" t="s">
        <v>1365</v>
      </c>
      <c r="D73" s="400">
        <f>SUM('SGTO POAI 2023 MARZO'!BF86:BF87)</f>
        <v>544923071</v>
      </c>
      <c r="E73" s="401">
        <f>SUM('SGTO POAI 2023 MARZO'!BG86:BG87)</f>
        <v>92300000</v>
      </c>
      <c r="F73" s="381">
        <f t="shared" si="23"/>
        <v>0.16938170709237599</v>
      </c>
      <c r="G73" s="402">
        <f>SUM('SGTO POAI 2023 MARZO'!BH86:BH87)</f>
        <v>45450000</v>
      </c>
      <c r="H73" s="381">
        <f t="shared" si="24"/>
        <v>8.3406268551987961E-2</v>
      </c>
    </row>
    <row r="74" spans="1:8" ht="66" customHeight="1">
      <c r="A74" s="403">
        <f t="shared" si="27"/>
        <v>53</v>
      </c>
      <c r="B74" s="406">
        <v>2020003630077</v>
      </c>
      <c r="C74" s="405" t="s">
        <v>1366</v>
      </c>
      <c r="D74" s="400">
        <f>SUM('SGTO POAI 2023 MARZO'!BF88)</f>
        <v>1406031030.9000001</v>
      </c>
      <c r="E74" s="401">
        <f>SUM('SGTO POAI 2023 MARZO'!BG88)</f>
        <v>565142000</v>
      </c>
      <c r="F74" s="381">
        <f t="shared" si="23"/>
        <v>0.40194134238861906</v>
      </c>
      <c r="G74" s="402">
        <f>SUM('SGTO POAI 2023 MARZO'!BH88)</f>
        <v>243651999.00999999</v>
      </c>
      <c r="H74" s="381">
        <f t="shared" si="24"/>
        <v>0.17329062705965914</v>
      </c>
    </row>
    <row r="75" spans="1:8" ht="66" customHeight="1">
      <c r="A75" s="425">
        <f>A74+1</f>
        <v>54</v>
      </c>
      <c r="B75" s="421">
        <v>2020003630078</v>
      </c>
      <c r="C75" s="422" t="s">
        <v>451</v>
      </c>
      <c r="D75" s="400">
        <f>SUM('SGTO POAI 2023 MARZO'!BF89:BF92)</f>
        <v>404500000</v>
      </c>
      <c r="E75" s="401">
        <f>SUM('SGTO POAI 2023 MARZO'!BG89:BG92)</f>
        <v>95500000</v>
      </c>
      <c r="F75" s="381">
        <f t="shared" si="23"/>
        <v>0.2360939431396786</v>
      </c>
      <c r="G75" s="402">
        <f>SUM('SGTO POAI 2023 MARZO'!BH89:BH92)</f>
        <v>16290000</v>
      </c>
      <c r="H75" s="381">
        <f t="shared" si="24"/>
        <v>4.0271940667490728E-2</v>
      </c>
    </row>
    <row r="76" spans="1:8" ht="66" customHeight="1" thickBot="1">
      <c r="A76" s="425">
        <f>A75+1</f>
        <v>55</v>
      </c>
      <c r="B76" s="421">
        <v>2022003630013</v>
      </c>
      <c r="C76" s="422" t="s">
        <v>1457</v>
      </c>
      <c r="D76" s="412">
        <f>'SGTO POAI 2023 MARZO'!BF93</f>
        <v>144105000</v>
      </c>
      <c r="E76" s="413">
        <f>'SGTO POAI 2023 MARZO'!BG93</f>
        <v>144105000</v>
      </c>
      <c r="F76" s="414">
        <f t="shared" si="23"/>
        <v>1</v>
      </c>
      <c r="G76" s="402">
        <f>'SGTO POAI 2023 MARZO'!BH93</f>
        <v>0</v>
      </c>
      <c r="H76" s="414">
        <f t="shared" si="24"/>
        <v>0</v>
      </c>
    </row>
    <row r="77" spans="1:8" ht="30" customHeight="1" thickBot="1">
      <c r="A77" s="548" t="s">
        <v>1367</v>
      </c>
      <c r="B77" s="549"/>
      <c r="C77" s="550"/>
      <c r="D77" s="417">
        <f>D78+D91</f>
        <v>4551806900</v>
      </c>
      <c r="E77" s="417">
        <f t="shared" ref="E77:G77" si="28">E78+E91</f>
        <v>590241617</v>
      </c>
      <c r="F77" s="390">
        <f t="shared" si="23"/>
        <v>0.12967193687412354</v>
      </c>
      <c r="G77" s="423">
        <f t="shared" si="28"/>
        <v>203196666</v>
      </c>
      <c r="H77" s="390">
        <f t="shared" si="24"/>
        <v>4.4640880086543211E-2</v>
      </c>
    </row>
    <row r="78" spans="1:8" ht="30" customHeight="1">
      <c r="A78" s="428">
        <v>2</v>
      </c>
      <c r="B78" s="545" t="s">
        <v>199</v>
      </c>
      <c r="C78" s="545"/>
      <c r="D78" s="394">
        <f>SUM(D79:D90)</f>
        <v>1487814248</v>
      </c>
      <c r="E78" s="394">
        <f t="shared" ref="E78:G78" si="29">SUM(E79:E90)</f>
        <v>342341617</v>
      </c>
      <c r="F78" s="395">
        <f t="shared" si="23"/>
        <v>0.2300970147719677</v>
      </c>
      <c r="G78" s="430">
        <f t="shared" si="29"/>
        <v>128296666</v>
      </c>
      <c r="H78" s="395">
        <f t="shared" si="24"/>
        <v>8.6231642271515599E-2</v>
      </c>
    </row>
    <row r="79" spans="1:8" ht="66" customHeight="1">
      <c r="A79" s="397">
        <f>A76+1</f>
        <v>56</v>
      </c>
      <c r="B79" s="420">
        <v>2020003630079</v>
      </c>
      <c r="C79" s="424" t="s">
        <v>468</v>
      </c>
      <c r="D79" s="427">
        <f>SUM('SGTO POAI 2023 MARZO'!BF94:BF96)</f>
        <v>539929712</v>
      </c>
      <c r="E79" s="432">
        <f>SUM('SGTO POAI 2023 MARZO'!BG94:BG96)</f>
        <v>96000000</v>
      </c>
      <c r="F79" s="381">
        <f t="shared" si="23"/>
        <v>0.17780092087245608</v>
      </c>
      <c r="G79" s="433">
        <f>SUM('SGTO POAI 2023 MARZO'!BH94:BH96)</f>
        <v>50500000</v>
      </c>
      <c r="H79" s="381">
        <f t="shared" si="24"/>
        <v>9.3530692750614916E-2</v>
      </c>
    </row>
    <row r="80" spans="1:8" ht="66" customHeight="1">
      <c r="A80" s="403">
        <f>A79+1</f>
        <v>57</v>
      </c>
      <c r="B80" s="406">
        <v>2020003630023</v>
      </c>
      <c r="C80" s="407" t="s">
        <v>479</v>
      </c>
      <c r="D80" s="427">
        <f>SUM('SGTO POAI 2023 MARZO'!BF97:BF99)</f>
        <v>253500000</v>
      </c>
      <c r="E80" s="432">
        <f>SUM('SGTO POAI 2023 MARZO'!BG97:BG99)</f>
        <v>44146666</v>
      </c>
      <c r="F80" s="381">
        <f t="shared" si="23"/>
        <v>0.17414858382642998</v>
      </c>
      <c r="G80" s="433">
        <f>SUM('SGTO POAI 2023 MARZO'!BH97:BH99)</f>
        <v>16596666</v>
      </c>
      <c r="H80" s="381">
        <f t="shared" si="24"/>
        <v>6.5470082840236685E-2</v>
      </c>
    </row>
    <row r="81" spans="1:8" ht="66" customHeight="1">
      <c r="A81" s="403">
        <f t="shared" ref="A81:A98" si="30">A80+1</f>
        <v>58</v>
      </c>
      <c r="B81" s="406">
        <v>2020003630080</v>
      </c>
      <c r="C81" s="407" t="s">
        <v>1368</v>
      </c>
      <c r="D81" s="427">
        <f>SUM('SGTO POAI 2023 MARZO'!BF100:BF101)</f>
        <v>102500000</v>
      </c>
      <c r="E81" s="432">
        <f>SUM('SGTO POAI 2023 MARZO'!BG100:BG101)</f>
        <v>29200000</v>
      </c>
      <c r="F81" s="381">
        <f t="shared" si="23"/>
        <v>0.28487804878048778</v>
      </c>
      <c r="G81" s="433">
        <f>SUM('SGTO POAI 2023 MARZO'!BH100:BH101)</f>
        <v>12500000</v>
      </c>
      <c r="H81" s="381">
        <f t="shared" si="24"/>
        <v>0.12195121951219512</v>
      </c>
    </row>
    <row r="82" spans="1:8" ht="66" customHeight="1">
      <c r="A82" s="403">
        <f t="shared" si="30"/>
        <v>59</v>
      </c>
      <c r="B82" s="406">
        <v>2020003630022</v>
      </c>
      <c r="C82" s="407" t="s">
        <v>496</v>
      </c>
      <c r="D82" s="427">
        <f>SUM('SGTO POAI 2023 MARZO'!BF102:BF103)</f>
        <v>117000000</v>
      </c>
      <c r="E82" s="432">
        <f>SUM('SGTO POAI 2023 MARZO'!BG102:BG103)</f>
        <v>25500000</v>
      </c>
      <c r="F82" s="381">
        <f t="shared" si="23"/>
        <v>0.21794871794871795</v>
      </c>
      <c r="G82" s="433">
        <f>SUM('SGTO POAI 2023 MARZO'!BH102:BH103)</f>
        <v>11700000</v>
      </c>
      <c r="H82" s="381">
        <f t="shared" si="24"/>
        <v>0.1</v>
      </c>
    </row>
    <row r="83" spans="1:8" ht="66" customHeight="1">
      <c r="A83" s="403">
        <f t="shared" si="30"/>
        <v>60</v>
      </c>
      <c r="B83" s="406">
        <v>2020003630081</v>
      </c>
      <c r="C83" s="407" t="s">
        <v>1369</v>
      </c>
      <c r="D83" s="427">
        <f>SUM('SGTO POAI 2023 MARZO'!BF104)</f>
        <v>27000000</v>
      </c>
      <c r="E83" s="432">
        <f>SUM('SGTO POAI 2023 MARZO'!BG104)</f>
        <v>4800000</v>
      </c>
      <c r="F83" s="381">
        <f t="shared" si="23"/>
        <v>0.17777777777777778</v>
      </c>
      <c r="G83" s="433">
        <f>SUM('SGTO POAI 2023 MARZO'!BH104)</f>
        <v>4800000</v>
      </c>
      <c r="H83" s="381">
        <f t="shared" si="24"/>
        <v>0.17777777777777778</v>
      </c>
    </row>
    <row r="84" spans="1:8" ht="66" customHeight="1">
      <c r="A84" s="403">
        <f t="shared" si="30"/>
        <v>61</v>
      </c>
      <c r="B84" s="406">
        <v>2020003630082</v>
      </c>
      <c r="C84" s="407" t="s">
        <v>1370</v>
      </c>
      <c r="D84" s="427">
        <f>SUM('SGTO POAI 2023 MARZO'!BF105)</f>
        <v>36307909</v>
      </c>
      <c r="E84" s="432">
        <f>SUM('SGTO POAI 2023 MARZO'!BG105)</f>
        <v>6400000</v>
      </c>
      <c r="F84" s="381">
        <f t="shared" si="23"/>
        <v>0.17627013442167655</v>
      </c>
      <c r="G84" s="433">
        <f>SUM('SGTO POAI 2023 MARZO'!BH105)</f>
        <v>0</v>
      </c>
      <c r="H84" s="381">
        <f t="shared" si="24"/>
        <v>0</v>
      </c>
    </row>
    <row r="85" spans="1:8" ht="66" customHeight="1">
      <c r="A85" s="403">
        <f t="shared" si="30"/>
        <v>62</v>
      </c>
      <c r="B85" s="406">
        <v>2020003630025</v>
      </c>
      <c r="C85" s="407" t="s">
        <v>517</v>
      </c>
      <c r="D85" s="427">
        <f>SUM('SGTO POAI 2023 MARZO'!BF106:BF107)</f>
        <v>97000000</v>
      </c>
      <c r="E85" s="432">
        <f>SUM('SGTO POAI 2023 MARZO'!BG106:BG107)</f>
        <v>30300000</v>
      </c>
      <c r="F85" s="381">
        <f t="shared" si="23"/>
        <v>0.31237113402061856</v>
      </c>
      <c r="G85" s="433">
        <f>SUM('SGTO POAI 2023 MARZO'!BH106:BH107)</f>
        <v>17800000</v>
      </c>
      <c r="H85" s="381">
        <f t="shared" si="24"/>
        <v>0.18350515463917524</v>
      </c>
    </row>
    <row r="86" spans="1:8" ht="66" customHeight="1">
      <c r="A86" s="403">
        <f t="shared" si="30"/>
        <v>63</v>
      </c>
      <c r="B86" s="406">
        <v>2020003630083</v>
      </c>
      <c r="C86" s="407" t="s">
        <v>527</v>
      </c>
      <c r="D86" s="427">
        <f>SUM('SGTO POAI 2023 MARZO'!BF108)</f>
        <v>20000000</v>
      </c>
      <c r="E86" s="432">
        <f>SUM('SGTO POAI 2023 MARZO'!BG108)</f>
        <v>0</v>
      </c>
      <c r="F86" s="381">
        <f t="shared" si="23"/>
        <v>0</v>
      </c>
      <c r="G86" s="433">
        <f>SUM('SGTO POAI 2023 MARZO'!BH108)</f>
        <v>0</v>
      </c>
      <c r="H86" s="381">
        <f t="shared" si="24"/>
        <v>0</v>
      </c>
    </row>
    <row r="87" spans="1:8" ht="66" customHeight="1">
      <c r="A87" s="403">
        <f t="shared" si="30"/>
        <v>64</v>
      </c>
      <c r="B87" s="406">
        <v>2020003630084</v>
      </c>
      <c r="C87" s="407" t="s">
        <v>1371</v>
      </c>
      <c r="D87" s="427">
        <f>SUM('SGTO POAI 2023 MARZO'!BF109)</f>
        <v>59900000</v>
      </c>
      <c r="E87" s="432">
        <f>SUM('SGTO POAI 2023 MARZO'!BG109)</f>
        <v>20150000</v>
      </c>
      <c r="F87" s="381">
        <f t="shared" si="23"/>
        <v>0.3363939899833055</v>
      </c>
      <c r="G87" s="433">
        <f>SUM('SGTO POAI 2023 MARZO'!BH109)</f>
        <v>6400000</v>
      </c>
      <c r="H87" s="381">
        <f t="shared" si="24"/>
        <v>0.10684474123539232</v>
      </c>
    </row>
    <row r="88" spans="1:8" ht="66" customHeight="1">
      <c r="A88" s="403">
        <f t="shared" si="30"/>
        <v>65</v>
      </c>
      <c r="B88" s="406">
        <v>2020003630026</v>
      </c>
      <c r="C88" s="407" t="s">
        <v>540</v>
      </c>
      <c r="D88" s="427">
        <f>SUM('SGTO POAI 2023 MARZO'!BF110:BF111)</f>
        <v>56000000</v>
      </c>
      <c r="E88" s="432">
        <f>SUM('SGTO POAI 2023 MARZO'!BG110:BG111)</f>
        <v>18850000</v>
      </c>
      <c r="F88" s="381">
        <f t="shared" si="23"/>
        <v>0.33660714285714288</v>
      </c>
      <c r="G88" s="433">
        <f>SUM('SGTO POAI 2023 MARZO'!BH110:BH111)</f>
        <v>4800000</v>
      </c>
      <c r="H88" s="381">
        <f t="shared" si="24"/>
        <v>8.5714285714285715E-2</v>
      </c>
    </row>
    <row r="89" spans="1:8" ht="66" customHeight="1">
      <c r="A89" s="403">
        <f t="shared" si="30"/>
        <v>66</v>
      </c>
      <c r="B89" s="406">
        <v>2020003630024</v>
      </c>
      <c r="C89" s="407" t="s">
        <v>546</v>
      </c>
      <c r="D89" s="427">
        <f>SUM('SGTO POAI 2023 MARZO'!BF112:BF114)</f>
        <v>142676627</v>
      </c>
      <c r="E89" s="432">
        <f>SUM('SGTO POAI 2023 MARZO'!BG112:BG114)</f>
        <v>31194951</v>
      </c>
      <c r="F89" s="381">
        <f t="shared" si="23"/>
        <v>0.21864093408936561</v>
      </c>
      <c r="G89" s="433">
        <f>SUM('SGTO POAI 2023 MARZO'!BH112:BH114)</f>
        <v>0</v>
      </c>
      <c r="H89" s="381">
        <f t="shared" si="24"/>
        <v>0</v>
      </c>
    </row>
    <row r="90" spans="1:8" ht="66" customHeight="1">
      <c r="A90" s="403">
        <f t="shared" si="30"/>
        <v>67</v>
      </c>
      <c r="B90" s="406">
        <v>2020003630085</v>
      </c>
      <c r="C90" s="407" t="s">
        <v>1372</v>
      </c>
      <c r="D90" s="427">
        <f>SUM('SGTO POAI 2023 MARZO'!BF115:BF116)</f>
        <v>36000000</v>
      </c>
      <c r="E90" s="432">
        <f>SUM('SGTO POAI 2023 MARZO'!BG115:BG116)</f>
        <v>35800000</v>
      </c>
      <c r="F90" s="381">
        <f t="shared" si="23"/>
        <v>0.99444444444444446</v>
      </c>
      <c r="G90" s="433">
        <f>SUM('SGTO POAI 2023 MARZO'!BH115:BH116)</f>
        <v>3200000</v>
      </c>
      <c r="H90" s="381">
        <f t="shared" si="24"/>
        <v>8.8888888888888892E-2</v>
      </c>
    </row>
    <row r="91" spans="1:8" ht="26.25" customHeight="1">
      <c r="A91" s="428">
        <v>3</v>
      </c>
      <c r="B91" s="545" t="s">
        <v>211</v>
      </c>
      <c r="C91" s="545"/>
      <c r="D91" s="429">
        <f>SUM(D92:D98)</f>
        <v>3063992652</v>
      </c>
      <c r="E91" s="429">
        <f t="shared" ref="E91:G91" si="31">SUM(E92:E98)</f>
        <v>247900000</v>
      </c>
      <c r="F91" s="381">
        <f t="shared" si="23"/>
        <v>8.0907504735099472E-2</v>
      </c>
      <c r="G91" s="430">
        <f t="shared" si="31"/>
        <v>74900000</v>
      </c>
      <c r="H91" s="381">
        <f t="shared" si="24"/>
        <v>2.444522833666378E-2</v>
      </c>
    </row>
    <row r="92" spans="1:8" ht="66" customHeight="1">
      <c r="A92" s="403">
        <f>A90+1</f>
        <v>68</v>
      </c>
      <c r="B92" s="406">
        <v>2020003630027</v>
      </c>
      <c r="C92" s="405" t="s">
        <v>566</v>
      </c>
      <c r="D92" s="427">
        <f>SUM('SGTO POAI 2023 MARZO'!BF117:BF118)</f>
        <v>162600000</v>
      </c>
      <c r="E92" s="432">
        <f>SUM('SGTO POAI 2023 MARZO'!BG117:BG118)</f>
        <v>16100000</v>
      </c>
      <c r="F92" s="381">
        <f t="shared" si="23"/>
        <v>9.9015990159901604E-2</v>
      </c>
      <c r="G92" s="433">
        <f>SUM('SGTO POAI 2023 MARZO'!BH117:BH118)</f>
        <v>8100000</v>
      </c>
      <c r="H92" s="381">
        <f t="shared" si="24"/>
        <v>4.9815498154981548E-2</v>
      </c>
    </row>
    <row r="93" spans="1:8" ht="66" customHeight="1">
      <c r="A93" s="403">
        <f t="shared" si="30"/>
        <v>69</v>
      </c>
      <c r="B93" s="406">
        <v>2020003630086</v>
      </c>
      <c r="C93" s="407" t="s">
        <v>1373</v>
      </c>
      <c r="D93" s="427">
        <f>SUM('SGTO POAI 2023 MARZO'!BF119:BF121)</f>
        <v>2402692652</v>
      </c>
      <c r="E93" s="432">
        <f>SUM('SGTO POAI 2023 MARZO'!BG119:BG121)</f>
        <v>154150000</v>
      </c>
      <c r="F93" s="381">
        <f t="shared" si="23"/>
        <v>6.4157186260042715E-2</v>
      </c>
      <c r="G93" s="433">
        <f>SUM('SGTO POAI 2023 MARZO'!BH119:BH121)</f>
        <v>40000000</v>
      </c>
      <c r="H93" s="381">
        <f t="shared" si="24"/>
        <v>1.6647988650027302E-2</v>
      </c>
    </row>
    <row r="94" spans="1:8" ht="66" customHeight="1">
      <c r="A94" s="403">
        <f t="shared" si="30"/>
        <v>70</v>
      </c>
      <c r="B94" s="406">
        <v>2020003630028</v>
      </c>
      <c r="C94" s="407" t="s">
        <v>590</v>
      </c>
      <c r="D94" s="427">
        <f>'SGTO POAI 2023 MARZO'!BF122</f>
        <v>48000000</v>
      </c>
      <c r="E94" s="432">
        <f>'SGTO POAI 2023 MARZO'!BG122</f>
        <v>13850000</v>
      </c>
      <c r="F94" s="381">
        <f t="shared" si="23"/>
        <v>0.28854166666666664</v>
      </c>
      <c r="G94" s="433">
        <f>'SGTO POAI 2023 MARZO'!BH122</f>
        <v>4350000</v>
      </c>
      <c r="H94" s="381">
        <f t="shared" si="24"/>
        <v>9.0624999999999997E-2</v>
      </c>
    </row>
    <row r="95" spans="1:8" ht="66" customHeight="1">
      <c r="A95" s="403">
        <f t="shared" si="30"/>
        <v>71</v>
      </c>
      <c r="B95" s="406">
        <v>2020003630087</v>
      </c>
      <c r="C95" s="407" t="s">
        <v>594</v>
      </c>
      <c r="D95" s="427">
        <f>SUM('SGTO POAI 2023 MARZO'!BF123)</f>
        <v>75200000</v>
      </c>
      <c r="E95" s="432">
        <f>SUM('SGTO POAI 2023 MARZO'!BG123)</f>
        <v>32250000</v>
      </c>
      <c r="F95" s="381">
        <f t="shared" si="23"/>
        <v>0.42885638297872342</v>
      </c>
      <c r="G95" s="433">
        <f>SUM('SGTO POAI 2023 MARZO'!BH123)</f>
        <v>12050000</v>
      </c>
      <c r="H95" s="381">
        <f t="shared" si="24"/>
        <v>0.16023936170212766</v>
      </c>
    </row>
    <row r="96" spans="1:8" ht="66" customHeight="1">
      <c r="A96" s="403">
        <f t="shared" si="30"/>
        <v>72</v>
      </c>
      <c r="B96" s="406">
        <v>2020003630029</v>
      </c>
      <c r="C96" s="407" t="s">
        <v>602</v>
      </c>
      <c r="D96" s="427">
        <f>'SGTO POAI 2023 MARZO'!BF124</f>
        <v>168000000</v>
      </c>
      <c r="E96" s="432">
        <f>'SGTO POAI 2023 MARZO'!BG124</f>
        <v>16900000</v>
      </c>
      <c r="F96" s="381">
        <f t="shared" si="23"/>
        <v>0.1005952380952381</v>
      </c>
      <c r="G96" s="433">
        <f>'SGTO POAI 2023 MARZO'!BH124</f>
        <v>7200000</v>
      </c>
      <c r="H96" s="381">
        <f t="shared" si="24"/>
        <v>4.2857142857142858E-2</v>
      </c>
    </row>
    <row r="97" spans="1:8" ht="66" customHeight="1">
      <c r="A97" s="403">
        <f t="shared" si="30"/>
        <v>73</v>
      </c>
      <c r="B97" s="406">
        <v>2020003630030</v>
      </c>
      <c r="C97" s="407" t="s">
        <v>608</v>
      </c>
      <c r="D97" s="427">
        <f>SUM('SGTO POAI 2023 MARZO'!BF125:BF127)</f>
        <v>82000000</v>
      </c>
      <c r="E97" s="432">
        <f>SUM('SGTO POAI 2023 MARZO'!BG125:BG127)</f>
        <v>2450000</v>
      </c>
      <c r="F97" s="381">
        <f t="shared" si="23"/>
        <v>2.9878048780487804E-2</v>
      </c>
      <c r="G97" s="433">
        <f>SUM('SGTO POAI 2023 MARZO'!BH125:BH127)</f>
        <v>0</v>
      </c>
      <c r="H97" s="381">
        <f t="shared" si="24"/>
        <v>0</v>
      </c>
    </row>
    <row r="98" spans="1:8" ht="66" customHeight="1" thickBot="1">
      <c r="A98" s="425">
        <f t="shared" si="30"/>
        <v>74</v>
      </c>
      <c r="B98" s="421">
        <v>2020003630088</v>
      </c>
      <c r="C98" s="426" t="s">
        <v>621</v>
      </c>
      <c r="D98" s="431">
        <f>SUM('SGTO POAI 2023 MARZO'!BF128:BF130)</f>
        <v>125500000</v>
      </c>
      <c r="E98" s="434">
        <f>SUM('SGTO POAI 2023 MARZO'!BG128:BG130)</f>
        <v>12200000</v>
      </c>
      <c r="F98" s="414">
        <f t="shared" si="23"/>
        <v>9.7211155378486055E-2</v>
      </c>
      <c r="G98" s="433">
        <f>SUM('SGTO POAI 2023 MARZO'!BH128:BH130)</f>
        <v>3200000</v>
      </c>
      <c r="H98" s="414">
        <f t="shared" si="24"/>
        <v>2.5498007968127491E-2</v>
      </c>
    </row>
    <row r="99" spans="1:8" ht="30" customHeight="1" thickBot="1">
      <c r="A99" s="548" t="s">
        <v>1421</v>
      </c>
      <c r="B99" s="549"/>
      <c r="C99" s="550"/>
      <c r="D99" s="417">
        <f>D100</f>
        <v>3343243430</v>
      </c>
      <c r="E99" s="417">
        <f t="shared" ref="E99:G99" si="32">E100</f>
        <v>1018928000</v>
      </c>
      <c r="F99" s="390">
        <f t="shared" si="23"/>
        <v>0.30477230310447362</v>
      </c>
      <c r="G99" s="423">
        <f t="shared" si="32"/>
        <v>235130000</v>
      </c>
      <c r="H99" s="390">
        <f t="shared" si="24"/>
        <v>7.0329907146486195E-2</v>
      </c>
    </row>
    <row r="100" spans="1:8" ht="30" customHeight="1">
      <c r="A100" s="428">
        <v>4</v>
      </c>
      <c r="B100" s="545" t="s">
        <v>1462</v>
      </c>
      <c r="C100" s="545"/>
      <c r="D100" s="394">
        <f>SUM(D101:D104)</f>
        <v>3343243430</v>
      </c>
      <c r="E100" s="394">
        <f t="shared" ref="E100:G100" si="33">SUM(E101:E104)</f>
        <v>1018928000</v>
      </c>
      <c r="F100" s="395">
        <f t="shared" si="23"/>
        <v>0.30477230310447362</v>
      </c>
      <c r="G100" s="430">
        <f t="shared" si="33"/>
        <v>235130000</v>
      </c>
      <c r="H100" s="395">
        <f t="shared" si="24"/>
        <v>7.0329907146486195E-2</v>
      </c>
    </row>
    <row r="101" spans="1:8" ht="89.25" customHeight="1">
      <c r="A101" s="397">
        <f>A98+1</f>
        <v>75</v>
      </c>
      <c r="B101" s="420">
        <v>2021003630005</v>
      </c>
      <c r="C101" s="435" t="s">
        <v>633</v>
      </c>
      <c r="D101" s="400">
        <f>'SGTO POAI 2023 MARZO'!BF131</f>
        <v>410243430</v>
      </c>
      <c r="E101" s="401">
        <f>'SGTO POAI 2023 MARZO'!BG131</f>
        <v>141693430</v>
      </c>
      <c r="F101" s="381">
        <f t="shared" si="23"/>
        <v>0.34538866350644543</v>
      </c>
      <c r="G101" s="402">
        <f>'SGTO POAI 2023 MARZO'!BH131</f>
        <v>59700000</v>
      </c>
      <c r="H101" s="381">
        <f t="shared" si="24"/>
        <v>0.14552335426797694</v>
      </c>
    </row>
    <row r="102" spans="1:8" ht="66" customHeight="1">
      <c r="A102" s="403">
        <f>A101+1</f>
        <v>76</v>
      </c>
      <c r="B102" s="406">
        <v>2020003630090</v>
      </c>
      <c r="C102" s="405" t="s">
        <v>637</v>
      </c>
      <c r="D102" s="400">
        <f>'SGTO POAI 2023 MARZO'!BF132</f>
        <v>2043000000</v>
      </c>
      <c r="E102" s="401">
        <f>'SGTO POAI 2023 MARZO'!BG132</f>
        <v>374290000</v>
      </c>
      <c r="F102" s="381">
        <f t="shared" si="23"/>
        <v>0.18320606950562898</v>
      </c>
      <c r="G102" s="402">
        <f>'SGTO POAI 2023 MARZO'!BH132</f>
        <v>124180000</v>
      </c>
      <c r="H102" s="381">
        <f t="shared" si="24"/>
        <v>6.0783162016642196E-2</v>
      </c>
    </row>
    <row r="103" spans="1:8" ht="66" customHeight="1">
      <c r="A103" s="425">
        <f>A102+1</f>
        <v>77</v>
      </c>
      <c r="B103" s="421">
        <v>2020003630031</v>
      </c>
      <c r="C103" s="426" t="s">
        <v>641</v>
      </c>
      <c r="D103" s="400">
        <f>'SGTO POAI 2023 MARZO'!BF133</f>
        <v>490000000</v>
      </c>
      <c r="E103" s="401">
        <f>'SGTO POAI 2023 MARZO'!BG133</f>
        <v>174381570</v>
      </c>
      <c r="F103" s="381">
        <f t="shared" si="23"/>
        <v>0.35588075510204081</v>
      </c>
      <c r="G103" s="415">
        <f>'SGTO POAI 2023 MARZO'!BH133</f>
        <v>51250000</v>
      </c>
      <c r="H103" s="381">
        <f t="shared" si="24"/>
        <v>0.10459183673469388</v>
      </c>
    </row>
    <row r="104" spans="1:8" ht="66" customHeight="1" thickBot="1">
      <c r="A104" s="425">
        <f>A103+1</f>
        <v>78</v>
      </c>
      <c r="B104" s="421">
        <v>2022003630012</v>
      </c>
      <c r="C104" s="411" t="s">
        <v>1459</v>
      </c>
      <c r="D104" s="412">
        <f>'SGTO POAI 2023 MARZO'!BF134</f>
        <v>400000000</v>
      </c>
      <c r="E104" s="413">
        <f>'SGTO POAI 2023 MARZO'!BG134</f>
        <v>328563000</v>
      </c>
      <c r="F104" s="414">
        <f t="shared" si="23"/>
        <v>0.82140749999999996</v>
      </c>
      <c r="G104" s="436">
        <f>'SGTO POAI 2023 MARZO'!BH134</f>
        <v>0</v>
      </c>
      <c r="H104" s="414">
        <f t="shared" si="24"/>
        <v>0</v>
      </c>
    </row>
    <row r="105" spans="1:8" ht="30" customHeight="1" thickBot="1">
      <c r="A105" s="548" t="s">
        <v>1374</v>
      </c>
      <c r="B105" s="549"/>
      <c r="C105" s="550"/>
      <c r="D105" s="417">
        <f>D106+D115</f>
        <v>213645814849.25</v>
      </c>
      <c r="E105" s="417">
        <f t="shared" ref="E105:G105" si="34">E106+E115</f>
        <v>58593949470.360001</v>
      </c>
      <c r="F105" s="390">
        <f t="shared" si="23"/>
        <v>0.27425741764098821</v>
      </c>
      <c r="G105" s="423">
        <f t="shared" si="34"/>
        <v>40947479903.300003</v>
      </c>
      <c r="H105" s="390">
        <f t="shared" si="24"/>
        <v>0.19166057585632013</v>
      </c>
    </row>
    <row r="106" spans="1:8" ht="26.25" customHeight="1">
      <c r="A106" s="419">
        <v>1</v>
      </c>
      <c r="B106" s="546" t="s">
        <v>148</v>
      </c>
      <c r="C106" s="547"/>
      <c r="D106" s="393">
        <f>SUM(D107:D114)</f>
        <v>213613300171.25</v>
      </c>
      <c r="E106" s="394">
        <f t="shared" ref="E106:G106" si="35">SUM(E107:E114)</f>
        <v>58593949470.360001</v>
      </c>
      <c r="F106" s="395">
        <f t="shared" si="23"/>
        <v>0.27429916312975955</v>
      </c>
      <c r="G106" s="396">
        <f t="shared" si="35"/>
        <v>40947479903.300003</v>
      </c>
      <c r="H106" s="395">
        <f t="shared" si="24"/>
        <v>0.19168974904873964</v>
      </c>
    </row>
    <row r="107" spans="1:8" ht="66" customHeight="1">
      <c r="A107" s="397">
        <f>A104+1</f>
        <v>79</v>
      </c>
      <c r="B107" s="420">
        <v>2020003630091</v>
      </c>
      <c r="C107" s="399" t="s">
        <v>647</v>
      </c>
      <c r="D107" s="427">
        <f>SUM('SGTO POAI 2023 MARZO'!BF135:BF144)</f>
        <v>18115525834.200001</v>
      </c>
      <c r="E107" s="432">
        <f>SUM('SGTO POAI 2023 MARZO'!BG135:BG144)</f>
        <v>12442271722.439999</v>
      </c>
      <c r="F107" s="381">
        <f t="shared" si="23"/>
        <v>0.68682917825937129</v>
      </c>
      <c r="G107" s="433">
        <f>SUM('SGTO POAI 2023 MARZO'!BH135:BH144)</f>
        <v>181630000</v>
      </c>
      <c r="H107" s="381">
        <f t="shared" si="24"/>
        <v>1.0026206341584838E-2</v>
      </c>
    </row>
    <row r="108" spans="1:8" ht="66" customHeight="1">
      <c r="A108" s="403">
        <f>A107+1</f>
        <v>80</v>
      </c>
      <c r="B108" s="406">
        <v>2020003630092</v>
      </c>
      <c r="C108" s="405" t="s">
        <v>675</v>
      </c>
      <c r="D108" s="427">
        <f>SUM('SGTO POAI 2023 MARZO'!BF145:BF146)</f>
        <v>15000000</v>
      </c>
      <c r="E108" s="432">
        <f>SUM('SGTO POAI 2023 MARZO'!BG145:BG146)</f>
        <v>9600000</v>
      </c>
      <c r="F108" s="381">
        <f t="shared" si="23"/>
        <v>0.64</v>
      </c>
      <c r="G108" s="433">
        <f>SUM('SGTO POAI 2023 MARZO'!BH145:BH146)</f>
        <v>6400000</v>
      </c>
      <c r="H108" s="381">
        <f t="shared" si="24"/>
        <v>0.42666666666666669</v>
      </c>
    </row>
    <row r="109" spans="1:8" ht="66" customHeight="1">
      <c r="A109" s="403">
        <f t="shared" ref="A109:A114" si="36">A108+1</f>
        <v>81</v>
      </c>
      <c r="B109" s="406">
        <v>2020003630093</v>
      </c>
      <c r="C109" s="405" t="s">
        <v>683</v>
      </c>
      <c r="D109" s="427">
        <f>SUM('SGTO POAI 2023 MARZO'!BF147:BF156)</f>
        <v>169220489</v>
      </c>
      <c r="E109" s="432">
        <f>SUM('SGTO POAI 2023 MARZO'!BG147:BG156)</f>
        <v>55972800</v>
      </c>
      <c r="F109" s="381">
        <f t="shared" si="23"/>
        <v>0.3307684567676672</v>
      </c>
      <c r="G109" s="433">
        <f>SUM('SGTO POAI 2023 MARZO'!BH147:BH156)</f>
        <v>30772800</v>
      </c>
      <c r="H109" s="381">
        <f t="shared" si="24"/>
        <v>0.18185031955557107</v>
      </c>
    </row>
    <row r="110" spans="1:8" ht="66" customHeight="1">
      <c r="A110" s="403">
        <f t="shared" si="36"/>
        <v>82</v>
      </c>
      <c r="B110" s="406">
        <v>2020003630016</v>
      </c>
      <c r="C110" s="405" t="s">
        <v>709</v>
      </c>
      <c r="D110" s="427">
        <f>SUM('SGTO POAI 2023 MARZO'!BF157:BF160)</f>
        <v>194460244711.04999</v>
      </c>
      <c r="E110" s="432">
        <f>SUM('SGTO POAI 2023 MARZO'!BG157:BG160)</f>
        <v>45551827143.700005</v>
      </c>
      <c r="F110" s="381">
        <f t="shared" si="23"/>
        <v>0.2342475049920143</v>
      </c>
      <c r="G110" s="433">
        <f>SUM('SGTO POAI 2023 MARZO'!BH157:BH160)</f>
        <v>40655679494.300003</v>
      </c>
      <c r="H110" s="381">
        <f t="shared" si="24"/>
        <v>0.20906936301921555</v>
      </c>
    </row>
    <row r="111" spans="1:8" ht="66" customHeight="1">
      <c r="A111" s="403">
        <f t="shared" si="36"/>
        <v>83</v>
      </c>
      <c r="B111" s="406">
        <v>2020003630094</v>
      </c>
      <c r="C111" s="405" t="s">
        <v>719</v>
      </c>
      <c r="D111" s="427">
        <f>SUM('SGTO POAI 2023 MARZO'!BF161:BF163)</f>
        <v>626824680</v>
      </c>
      <c r="E111" s="432">
        <f>SUM('SGTO POAI 2023 MARZO'!BG161:BG163)</f>
        <v>454880195.22000003</v>
      </c>
      <c r="F111" s="381">
        <f t="shared" si="23"/>
        <v>0.72568967006851104</v>
      </c>
      <c r="G111" s="433">
        <f>SUM('SGTO POAI 2023 MARZO'!BH161:BH163)</f>
        <v>6400000</v>
      </c>
      <c r="H111" s="381">
        <f t="shared" si="24"/>
        <v>1.0210191468529925E-2</v>
      </c>
    </row>
    <row r="112" spans="1:8" ht="66" customHeight="1">
      <c r="A112" s="403">
        <f t="shared" si="36"/>
        <v>84</v>
      </c>
      <c r="B112" s="406">
        <v>2020003630015</v>
      </c>
      <c r="C112" s="405" t="s">
        <v>728</v>
      </c>
      <c r="D112" s="427">
        <f>SUM('SGTO POAI 2023 MARZO'!BF164:BF166)</f>
        <v>25000000</v>
      </c>
      <c r="E112" s="432">
        <f>SUM('SGTO POAI 2023 MARZO'!BG164:BG166)</f>
        <v>0</v>
      </c>
      <c r="F112" s="381">
        <f t="shared" si="23"/>
        <v>0</v>
      </c>
      <c r="G112" s="433">
        <f>SUM('SGTO POAI 2023 MARZO'!BH164:BH166)</f>
        <v>0</v>
      </c>
      <c r="H112" s="381">
        <f t="shared" si="24"/>
        <v>0</v>
      </c>
    </row>
    <row r="113" spans="1:8" ht="66" customHeight="1">
      <c r="A113" s="403">
        <f t="shared" si="36"/>
        <v>85</v>
      </c>
      <c r="B113" s="406">
        <v>2020003630095</v>
      </c>
      <c r="C113" s="405" t="s">
        <v>734</v>
      </c>
      <c r="D113" s="427">
        <f>SUM('SGTO POAI 2023 MARZO'!BF167:BF168)</f>
        <v>31484457</v>
      </c>
      <c r="E113" s="432">
        <f>SUM('SGTO POAI 2023 MARZO'!BG167:BG168)</f>
        <v>19200000</v>
      </c>
      <c r="F113" s="381">
        <f t="shared" si="23"/>
        <v>0.60982471446148812</v>
      </c>
      <c r="G113" s="433">
        <f>SUM('SGTO POAI 2023 MARZO'!BH167:BH168)</f>
        <v>6400000</v>
      </c>
      <c r="H113" s="381">
        <f t="shared" si="24"/>
        <v>0.20327490482049604</v>
      </c>
    </row>
    <row r="114" spans="1:8" ht="66" customHeight="1">
      <c r="A114" s="403">
        <f t="shared" si="36"/>
        <v>86</v>
      </c>
      <c r="B114" s="406">
        <v>2020003630096</v>
      </c>
      <c r="C114" s="407" t="s">
        <v>743</v>
      </c>
      <c r="D114" s="427">
        <f>'SGTO POAI 2023 MARZO'!BF169</f>
        <v>170000000</v>
      </c>
      <c r="E114" s="432">
        <f>'SGTO POAI 2023 MARZO'!BG169</f>
        <v>60197609</v>
      </c>
      <c r="F114" s="381">
        <f t="shared" si="23"/>
        <v>0.3541035823529412</v>
      </c>
      <c r="G114" s="433">
        <f>'SGTO POAI 2023 MARZO'!BH169</f>
        <v>60197609</v>
      </c>
      <c r="H114" s="381">
        <f t="shared" si="24"/>
        <v>0.3541035823529412</v>
      </c>
    </row>
    <row r="115" spans="1:8" ht="32.25" customHeight="1">
      <c r="A115" s="428">
        <v>2</v>
      </c>
      <c r="B115" s="545" t="s">
        <v>199</v>
      </c>
      <c r="C115" s="545"/>
      <c r="D115" s="429">
        <f>D116</f>
        <v>32514678</v>
      </c>
      <c r="E115" s="429">
        <f t="shared" ref="E115:G115" si="37">E116</f>
        <v>0</v>
      </c>
      <c r="F115" s="381">
        <f t="shared" si="23"/>
        <v>0</v>
      </c>
      <c r="G115" s="430">
        <f t="shared" si="37"/>
        <v>0</v>
      </c>
      <c r="H115" s="381">
        <f t="shared" si="24"/>
        <v>0</v>
      </c>
    </row>
    <row r="116" spans="1:8" ht="66" customHeight="1" thickBot="1">
      <c r="A116" s="425">
        <f>A114+1</f>
        <v>87</v>
      </c>
      <c r="B116" s="421">
        <v>2020003630097</v>
      </c>
      <c r="C116" s="422" t="s">
        <v>752</v>
      </c>
      <c r="D116" s="431">
        <f>'SGTO POAI 2023 MARZO'!BF170</f>
        <v>32514678</v>
      </c>
      <c r="E116" s="434">
        <f>'SGTO POAI 2023 MARZO'!BG170</f>
        <v>0</v>
      </c>
      <c r="F116" s="414">
        <f t="shared" si="23"/>
        <v>0</v>
      </c>
      <c r="G116" s="433">
        <f>'SGTO POAI 2023 MARZO'!BH170</f>
        <v>0</v>
      </c>
      <c r="H116" s="414">
        <f t="shared" si="24"/>
        <v>0</v>
      </c>
    </row>
    <row r="117" spans="1:8" ht="30" customHeight="1" thickBot="1">
      <c r="A117" s="551" t="s">
        <v>1301</v>
      </c>
      <c r="B117" s="552"/>
      <c r="C117" s="553"/>
      <c r="D117" s="417">
        <f>D118+D137+D140</f>
        <v>7537461518.4300003</v>
      </c>
      <c r="E117" s="417">
        <f t="shared" ref="E117:G117" si="38">E118+E137+E140</f>
        <v>1710985106.4300001</v>
      </c>
      <c r="F117" s="390">
        <f t="shared" si="23"/>
        <v>0.22699752459716518</v>
      </c>
      <c r="G117" s="423">
        <f t="shared" si="38"/>
        <v>1241735106.4300001</v>
      </c>
      <c r="H117" s="390">
        <f t="shared" si="24"/>
        <v>0.16474181704195881</v>
      </c>
    </row>
    <row r="118" spans="1:8" ht="30" customHeight="1">
      <c r="A118" s="419">
        <v>1</v>
      </c>
      <c r="B118" s="546" t="s">
        <v>148</v>
      </c>
      <c r="C118" s="547"/>
      <c r="D118" s="393">
        <f>SUM(D119:D136)</f>
        <v>7124488546.4300003</v>
      </c>
      <c r="E118" s="394">
        <f t="shared" ref="E118:G118" si="39">SUM(E119:E136)</f>
        <v>1559652134.4300001</v>
      </c>
      <c r="F118" s="395">
        <f t="shared" si="23"/>
        <v>0.21891425949607624</v>
      </c>
      <c r="G118" s="396">
        <f t="shared" si="39"/>
        <v>1177125106.4300001</v>
      </c>
      <c r="H118" s="395">
        <f t="shared" si="24"/>
        <v>0.16522240140590078</v>
      </c>
    </row>
    <row r="119" spans="1:8" ht="66" customHeight="1">
      <c r="A119" s="397">
        <f>A116+1</f>
        <v>88</v>
      </c>
      <c r="B119" s="437">
        <v>2020003630011</v>
      </c>
      <c r="C119" s="438" t="s">
        <v>1375</v>
      </c>
      <c r="D119" s="439">
        <f>SUM('SGTO POAI 2023 MARZO'!BF171:BF172)</f>
        <v>130000000</v>
      </c>
      <c r="E119" s="432">
        <f>SUM('SGTO POAI 2023 MARZO'!BG171:BG172)</f>
        <v>74100000</v>
      </c>
      <c r="F119" s="381">
        <f t="shared" si="23"/>
        <v>0.56999999999999995</v>
      </c>
      <c r="G119" s="433">
        <f>SUM('SGTO POAI 2023 MARZO'!BH171:BH172)</f>
        <v>34350000</v>
      </c>
      <c r="H119" s="381">
        <f t="shared" si="24"/>
        <v>0.26423076923076921</v>
      </c>
    </row>
    <row r="120" spans="1:8" ht="66" customHeight="1">
      <c r="A120" s="403">
        <f>A119+1</f>
        <v>89</v>
      </c>
      <c r="B120" s="440">
        <v>2020003630098</v>
      </c>
      <c r="C120" s="441" t="s">
        <v>1376</v>
      </c>
      <c r="D120" s="439">
        <f>SUM('SGTO POAI 2023 MARZO'!BF173)</f>
        <v>18900000</v>
      </c>
      <c r="E120" s="432">
        <f>SUM('SGTO POAI 2023 MARZO'!BG173)</f>
        <v>9600000</v>
      </c>
      <c r="F120" s="381">
        <f t="shared" si="23"/>
        <v>0.50793650793650791</v>
      </c>
      <c r="G120" s="433">
        <f>SUM('SGTO POAI 2023 MARZO'!BH173)</f>
        <v>3200000</v>
      </c>
      <c r="H120" s="381">
        <f t="shared" si="24"/>
        <v>0.1693121693121693</v>
      </c>
    </row>
    <row r="121" spans="1:8" ht="66" customHeight="1">
      <c r="A121" s="403">
        <f t="shared" ref="A121:A145" si="40">A120+1</f>
        <v>90</v>
      </c>
      <c r="B121" s="440">
        <v>2020003630099</v>
      </c>
      <c r="C121" s="441" t="s">
        <v>1377</v>
      </c>
      <c r="D121" s="439">
        <f>SUM('SGTO POAI 2023 MARZO'!BF174:BF175)</f>
        <v>71600000</v>
      </c>
      <c r="E121" s="432">
        <f>SUM('SGTO POAI 2023 MARZO'!BG174:BG175)</f>
        <v>28000000</v>
      </c>
      <c r="F121" s="381">
        <f t="shared" si="23"/>
        <v>0.39106145251396646</v>
      </c>
      <c r="G121" s="433">
        <f>SUM('SGTO POAI 2023 MARZO'!BH174:BH175)</f>
        <v>12800000</v>
      </c>
      <c r="H121" s="381">
        <f t="shared" si="24"/>
        <v>0.1787709497206704</v>
      </c>
    </row>
    <row r="122" spans="1:8" ht="66" customHeight="1">
      <c r="A122" s="403">
        <f t="shared" si="40"/>
        <v>91</v>
      </c>
      <c r="B122" s="440">
        <v>2020003630100</v>
      </c>
      <c r="C122" s="441" t="s">
        <v>1378</v>
      </c>
      <c r="D122" s="439">
        <f>SUM('SGTO POAI 2023 MARZO'!BF176)</f>
        <v>124800000</v>
      </c>
      <c r="E122" s="432">
        <f>SUM('SGTO POAI 2023 MARZO'!BG176)</f>
        <v>67800000</v>
      </c>
      <c r="F122" s="381">
        <f t="shared" si="23"/>
        <v>0.54326923076923073</v>
      </c>
      <c r="G122" s="433">
        <f>SUM('SGTO POAI 2023 MARZO'!BH176)</f>
        <v>22200000</v>
      </c>
      <c r="H122" s="381">
        <f t="shared" si="24"/>
        <v>0.17788461538461539</v>
      </c>
    </row>
    <row r="123" spans="1:8" ht="66" customHeight="1">
      <c r="A123" s="403">
        <f t="shared" si="40"/>
        <v>92</v>
      </c>
      <c r="B123" s="440">
        <v>2020003630101</v>
      </c>
      <c r="C123" s="441" t="s">
        <v>798</v>
      </c>
      <c r="D123" s="439">
        <f>'SGTO POAI 2023 MARZO'!BF177</f>
        <v>297700000</v>
      </c>
      <c r="E123" s="432">
        <f>'SGTO POAI 2023 MARZO'!BG177</f>
        <v>103050000</v>
      </c>
      <c r="F123" s="381">
        <f t="shared" si="23"/>
        <v>0.34615384615384615</v>
      </c>
      <c r="G123" s="433">
        <f>'SGTO POAI 2023 MARZO'!BH177</f>
        <v>30000000</v>
      </c>
      <c r="H123" s="381">
        <f t="shared" si="24"/>
        <v>0.10077258985555929</v>
      </c>
    </row>
    <row r="124" spans="1:8" ht="66" customHeight="1">
      <c r="A124" s="403">
        <f t="shared" si="40"/>
        <v>93</v>
      </c>
      <c r="B124" s="440">
        <v>2020003630102</v>
      </c>
      <c r="C124" s="441" t="s">
        <v>805</v>
      </c>
      <c r="D124" s="439">
        <f>'SGTO POAI 2023 MARZO'!BF178</f>
        <v>264000000</v>
      </c>
      <c r="E124" s="432">
        <f>'SGTO POAI 2023 MARZO'!BG178</f>
        <v>78847028</v>
      </c>
      <c r="F124" s="381">
        <f t="shared" si="23"/>
        <v>0.29866298484848486</v>
      </c>
      <c r="G124" s="433">
        <f>'SGTO POAI 2023 MARZO'!BH178</f>
        <v>29200000</v>
      </c>
      <c r="H124" s="381">
        <f t="shared" si="24"/>
        <v>0.11060606060606061</v>
      </c>
    </row>
    <row r="125" spans="1:8" ht="66" customHeight="1">
      <c r="A125" s="403">
        <f t="shared" si="40"/>
        <v>94</v>
      </c>
      <c r="B125" s="440">
        <v>2021003630010</v>
      </c>
      <c r="C125" s="441" t="s">
        <v>1379</v>
      </c>
      <c r="D125" s="439">
        <f>'SGTO POAI 2023 MARZO'!BF179</f>
        <v>23400000</v>
      </c>
      <c r="E125" s="432">
        <f>'SGTO POAI 2023 MARZO'!BG179</f>
        <v>12000000</v>
      </c>
      <c r="F125" s="381">
        <f t="shared" si="23"/>
        <v>0.51282051282051277</v>
      </c>
      <c r="G125" s="433">
        <f>'SGTO POAI 2023 MARZO'!BH179</f>
        <v>3200000</v>
      </c>
      <c r="H125" s="381">
        <f t="shared" si="24"/>
        <v>0.13675213675213677</v>
      </c>
    </row>
    <row r="126" spans="1:8" ht="66" customHeight="1">
      <c r="A126" s="403">
        <f t="shared" si="40"/>
        <v>95</v>
      </c>
      <c r="B126" s="440">
        <v>2020003630033</v>
      </c>
      <c r="C126" s="441" t="s">
        <v>1380</v>
      </c>
      <c r="D126" s="439">
        <f>SUM('SGTO POAI 2023 MARZO'!BF180:BF181)</f>
        <v>33000000</v>
      </c>
      <c r="E126" s="432">
        <f>SUM('SGTO POAI 2023 MARZO'!BG180:BG181)</f>
        <v>13000000</v>
      </c>
      <c r="F126" s="381">
        <f t="shared" si="23"/>
        <v>0.39393939393939392</v>
      </c>
      <c r="G126" s="433">
        <f>SUM('SGTO POAI 2023 MARZO'!BH180:BH181)</f>
        <v>9400000</v>
      </c>
      <c r="H126" s="381">
        <f t="shared" si="24"/>
        <v>0.28484848484848485</v>
      </c>
    </row>
    <row r="127" spans="1:8" ht="66" customHeight="1">
      <c r="A127" s="403">
        <f t="shared" si="40"/>
        <v>96</v>
      </c>
      <c r="B127" s="440">
        <v>2020003630034</v>
      </c>
      <c r="C127" s="442" t="s">
        <v>1381</v>
      </c>
      <c r="D127" s="439">
        <f>'SGTO POAI 2023 MARZO'!BF182</f>
        <v>48100000</v>
      </c>
      <c r="E127" s="432">
        <f>'SGTO POAI 2023 MARZO'!BG182</f>
        <v>20430000</v>
      </c>
      <c r="F127" s="381">
        <f t="shared" si="23"/>
        <v>0.42474012474012474</v>
      </c>
      <c r="G127" s="433">
        <f>'SGTO POAI 2023 MARZO'!BH182</f>
        <v>9250000</v>
      </c>
      <c r="H127" s="381">
        <f t="shared" si="24"/>
        <v>0.19230769230769232</v>
      </c>
    </row>
    <row r="128" spans="1:8" ht="66" customHeight="1">
      <c r="A128" s="403">
        <f t="shared" si="40"/>
        <v>97</v>
      </c>
      <c r="B128" s="440">
        <v>2020003630103</v>
      </c>
      <c r="C128" s="442" t="s">
        <v>834</v>
      </c>
      <c r="D128" s="439">
        <f>'SGTO POAI 2023 MARZO'!BF183</f>
        <v>45500000</v>
      </c>
      <c r="E128" s="432">
        <f>'SGTO POAI 2023 MARZO'!BG183</f>
        <v>19200000</v>
      </c>
      <c r="F128" s="381">
        <f t="shared" si="23"/>
        <v>0.42197802197802198</v>
      </c>
      <c r="G128" s="433">
        <f>'SGTO POAI 2023 MARZO'!BH183</f>
        <v>9600000</v>
      </c>
      <c r="H128" s="381">
        <f t="shared" si="24"/>
        <v>0.21098901098901099</v>
      </c>
    </row>
    <row r="129" spans="1:8" ht="66" customHeight="1">
      <c r="A129" s="403">
        <f t="shared" si="40"/>
        <v>98</v>
      </c>
      <c r="B129" s="440">
        <v>2020003630104</v>
      </c>
      <c r="C129" s="442" t="s">
        <v>1382</v>
      </c>
      <c r="D129" s="439">
        <f>'SGTO POAI 2023 MARZO'!BF184</f>
        <v>41600000</v>
      </c>
      <c r="E129" s="432">
        <f>'SGTO POAI 2023 MARZO'!BG184</f>
        <v>14400000</v>
      </c>
      <c r="F129" s="381">
        <f t="shared" si="23"/>
        <v>0.34615384615384615</v>
      </c>
      <c r="G129" s="433">
        <f>'SGTO POAI 2023 MARZO'!BH184</f>
        <v>6400000</v>
      </c>
      <c r="H129" s="381">
        <f t="shared" si="24"/>
        <v>0.15384615384615385</v>
      </c>
    </row>
    <row r="130" spans="1:8" ht="66" customHeight="1">
      <c r="A130" s="403">
        <f t="shared" si="40"/>
        <v>99</v>
      </c>
      <c r="B130" s="440">
        <v>2020003630105</v>
      </c>
      <c r="C130" s="442" t="s">
        <v>843</v>
      </c>
      <c r="D130" s="439">
        <f>'SGTO POAI 2023 MARZO'!BF185</f>
        <v>37700000</v>
      </c>
      <c r="E130" s="432">
        <f>'SGTO POAI 2023 MARZO'!BG185</f>
        <v>4800000</v>
      </c>
      <c r="F130" s="381">
        <f t="shared" si="23"/>
        <v>0.1273209549071618</v>
      </c>
      <c r="G130" s="433">
        <f>'SGTO POAI 2023 MARZO'!BH185</f>
        <v>0</v>
      </c>
      <c r="H130" s="381">
        <f t="shared" si="24"/>
        <v>0</v>
      </c>
    </row>
    <row r="131" spans="1:8" ht="66" customHeight="1">
      <c r="A131" s="403">
        <f t="shared" si="40"/>
        <v>100</v>
      </c>
      <c r="B131" s="440">
        <v>2020003630106</v>
      </c>
      <c r="C131" s="442" t="s">
        <v>1383</v>
      </c>
      <c r="D131" s="439">
        <f>'SGTO POAI 2023 MARZO'!BF186</f>
        <v>39000000</v>
      </c>
      <c r="E131" s="432">
        <f>'SGTO POAI 2023 MARZO'!BG186</f>
        <v>15100000</v>
      </c>
      <c r="F131" s="381">
        <f t="shared" si="23"/>
        <v>0.38717948717948719</v>
      </c>
      <c r="G131" s="433">
        <f>'SGTO POAI 2023 MARZO'!BH186</f>
        <v>7400000</v>
      </c>
      <c r="H131" s="381">
        <f t="shared" si="24"/>
        <v>0.18974358974358974</v>
      </c>
    </row>
    <row r="132" spans="1:8" ht="66" customHeight="1">
      <c r="A132" s="403">
        <f t="shared" si="40"/>
        <v>101</v>
      </c>
      <c r="B132" s="440">
        <v>2020003630036</v>
      </c>
      <c r="C132" s="441" t="s">
        <v>1384</v>
      </c>
      <c r="D132" s="439">
        <f>SUM('SGTO POAI 2023 MARZO'!BF187:BF188)</f>
        <v>95000000</v>
      </c>
      <c r="E132" s="432">
        <f>SUM('SGTO POAI 2023 MARZO'!BG187:BG188)</f>
        <v>0</v>
      </c>
      <c r="F132" s="381">
        <f t="shared" ref="F132:F196" si="41">E132/D132</f>
        <v>0</v>
      </c>
      <c r="G132" s="433">
        <f>SUM('SGTO POAI 2023 MARZO'!BH187:BH188)</f>
        <v>0</v>
      </c>
      <c r="H132" s="381">
        <f t="shared" ref="H132:H196" si="42">G132/D132</f>
        <v>0</v>
      </c>
    </row>
    <row r="133" spans="1:8" ht="66" customHeight="1">
      <c r="A133" s="403">
        <f t="shared" si="40"/>
        <v>102</v>
      </c>
      <c r="B133" s="440">
        <v>2020003630037</v>
      </c>
      <c r="C133" s="441" t="s">
        <v>863</v>
      </c>
      <c r="D133" s="439">
        <f>SUM('SGTO POAI 2023 MARZO'!BF189)</f>
        <v>40000000</v>
      </c>
      <c r="E133" s="432">
        <f>SUM('SGTO POAI 2023 MARZO'!BG189)</f>
        <v>9600000</v>
      </c>
      <c r="F133" s="381">
        <f t="shared" si="41"/>
        <v>0.24</v>
      </c>
      <c r="G133" s="433">
        <f>SUM('SGTO POAI 2023 MARZO'!BH189)</f>
        <v>3200000</v>
      </c>
      <c r="H133" s="381">
        <f t="shared" si="42"/>
        <v>0.08</v>
      </c>
    </row>
    <row r="134" spans="1:8" ht="66" customHeight="1">
      <c r="A134" s="403">
        <f t="shared" si="40"/>
        <v>103</v>
      </c>
      <c r="B134" s="440">
        <v>2020003630035</v>
      </c>
      <c r="C134" s="442" t="s">
        <v>871</v>
      </c>
      <c r="D134" s="439">
        <f>SUM('SGTO POAI 2023 MARZO'!BF190:BF191)</f>
        <v>209300000</v>
      </c>
      <c r="E134" s="432">
        <f>SUM('SGTO POAI 2023 MARZO'!BG190:BG191)</f>
        <v>63000000</v>
      </c>
      <c r="F134" s="381">
        <f t="shared" si="41"/>
        <v>0.30100334448160537</v>
      </c>
      <c r="G134" s="433">
        <f>SUM('SGTO POAI 2023 MARZO'!BH190:BH191)</f>
        <v>25600000</v>
      </c>
      <c r="H134" s="381">
        <f t="shared" si="42"/>
        <v>0.12231247013855709</v>
      </c>
    </row>
    <row r="135" spans="1:8" ht="66" customHeight="1">
      <c r="A135" s="403">
        <f t="shared" si="40"/>
        <v>104</v>
      </c>
      <c r="B135" s="440">
        <v>2020003630012</v>
      </c>
      <c r="C135" s="441" t="s">
        <v>880</v>
      </c>
      <c r="D135" s="439">
        <f>'SGTO POAI 2023 MARZO'!BF192</f>
        <v>122000000</v>
      </c>
      <c r="E135" s="432">
        <f>'SGTO POAI 2023 MARZO'!BG192</f>
        <v>18600000</v>
      </c>
      <c r="F135" s="381">
        <f t="shared" si="41"/>
        <v>0.15245901639344261</v>
      </c>
      <c r="G135" s="433">
        <f>'SGTO POAI 2023 MARZO'!BH192</f>
        <v>7400000</v>
      </c>
      <c r="H135" s="381">
        <f t="shared" si="42"/>
        <v>6.0655737704918035E-2</v>
      </c>
    </row>
    <row r="136" spans="1:8" ht="66" customHeight="1">
      <c r="A136" s="403">
        <f t="shared" si="40"/>
        <v>105</v>
      </c>
      <c r="B136" s="440">
        <v>2020003630109</v>
      </c>
      <c r="C136" s="441" t="s">
        <v>1385</v>
      </c>
      <c r="D136" s="439">
        <f>SUM('SGTO POAI 2023 MARZO'!BF193:BF194)</f>
        <v>5482888546.4300003</v>
      </c>
      <c r="E136" s="432">
        <f>SUM('SGTO POAI 2023 MARZO'!BG193:BG194)</f>
        <v>1008125106.4300001</v>
      </c>
      <c r="F136" s="381">
        <f t="shared" si="41"/>
        <v>0.18386751762196718</v>
      </c>
      <c r="G136" s="433">
        <f>SUM('SGTO POAI 2023 MARZO'!BH193:BH194)</f>
        <v>963925106.43000007</v>
      </c>
      <c r="H136" s="381">
        <f t="shared" si="42"/>
        <v>0.17580607343507423</v>
      </c>
    </row>
    <row r="137" spans="1:8" ht="25.5" customHeight="1">
      <c r="A137" s="428">
        <v>2</v>
      </c>
      <c r="B137" s="545" t="s">
        <v>199</v>
      </c>
      <c r="C137" s="545"/>
      <c r="D137" s="429">
        <f>SUM(D138:D139)</f>
        <v>38400000</v>
      </c>
      <c r="E137" s="429">
        <f t="shared" ref="E137:G137" si="43">SUM(E138:E139)</f>
        <v>18200000</v>
      </c>
      <c r="F137" s="381">
        <f t="shared" si="41"/>
        <v>0.47395833333333331</v>
      </c>
      <c r="G137" s="430">
        <f t="shared" si="43"/>
        <v>10400000</v>
      </c>
      <c r="H137" s="381">
        <f t="shared" si="42"/>
        <v>0.27083333333333331</v>
      </c>
    </row>
    <row r="138" spans="1:8" ht="66" customHeight="1">
      <c r="A138" s="403">
        <f>A136+1</f>
        <v>106</v>
      </c>
      <c r="B138" s="440">
        <v>2020003630113</v>
      </c>
      <c r="C138" s="441" t="s">
        <v>1386</v>
      </c>
      <c r="D138" s="443">
        <f>'SGTO POAI 2023 MARZO'!BF195</f>
        <v>23400000</v>
      </c>
      <c r="E138" s="401">
        <f>'SGTO POAI 2023 MARZO'!BG195</f>
        <v>10400000</v>
      </c>
      <c r="F138" s="381">
        <f t="shared" si="41"/>
        <v>0.44444444444444442</v>
      </c>
      <c r="G138" s="402">
        <f>'SGTO POAI 2023 MARZO'!BH195</f>
        <v>7200000</v>
      </c>
      <c r="H138" s="381">
        <f t="shared" si="42"/>
        <v>0.30769230769230771</v>
      </c>
    </row>
    <row r="139" spans="1:8" ht="66" customHeight="1">
      <c r="A139" s="403">
        <f t="shared" si="40"/>
        <v>107</v>
      </c>
      <c r="B139" s="440">
        <v>2020003630114</v>
      </c>
      <c r="C139" s="441" t="s">
        <v>904</v>
      </c>
      <c r="D139" s="443">
        <f>'SGTO POAI 2023 MARZO'!BF196</f>
        <v>15000000</v>
      </c>
      <c r="E139" s="401">
        <f>'SGTO POAI 2023 MARZO'!BG196</f>
        <v>7800000</v>
      </c>
      <c r="F139" s="381">
        <f t="shared" si="41"/>
        <v>0.52</v>
      </c>
      <c r="G139" s="402">
        <f>'SGTO POAI 2023 MARZO'!BH196</f>
        <v>3200000</v>
      </c>
      <c r="H139" s="381">
        <f t="shared" si="42"/>
        <v>0.21333333333333335</v>
      </c>
    </row>
    <row r="140" spans="1:8" ht="25.5" customHeight="1">
      <c r="A140" s="428">
        <v>4</v>
      </c>
      <c r="B140" s="545" t="s">
        <v>1462</v>
      </c>
      <c r="C140" s="545"/>
      <c r="D140" s="429">
        <f>SUM(D141:D145)</f>
        <v>374572972</v>
      </c>
      <c r="E140" s="429">
        <f t="shared" ref="E140:G140" si="44">SUM(E141:E145)</f>
        <v>133132972</v>
      </c>
      <c r="F140" s="381">
        <f t="shared" si="41"/>
        <v>0.35542599694032384</v>
      </c>
      <c r="G140" s="430">
        <f t="shared" si="44"/>
        <v>54210000</v>
      </c>
      <c r="H140" s="381">
        <f t="shared" si="42"/>
        <v>0.14472480411640593</v>
      </c>
    </row>
    <row r="141" spans="1:8" ht="66" customHeight="1">
      <c r="A141" s="403">
        <f>A139+1</f>
        <v>108</v>
      </c>
      <c r="B141" s="440">
        <v>2020003630115</v>
      </c>
      <c r="C141" s="441" t="s">
        <v>1387</v>
      </c>
      <c r="D141" s="443">
        <f>'SGTO POAI 2023 MARZO'!BF197</f>
        <v>15000000</v>
      </c>
      <c r="E141" s="401">
        <f>'SGTO POAI 2023 MARZO'!BG197</f>
        <v>0</v>
      </c>
      <c r="F141" s="381">
        <f t="shared" si="41"/>
        <v>0</v>
      </c>
      <c r="G141" s="402">
        <f>'SGTO POAI 2023 MARZO'!BH197</f>
        <v>0</v>
      </c>
      <c r="H141" s="381">
        <f t="shared" si="42"/>
        <v>0</v>
      </c>
    </row>
    <row r="142" spans="1:8" ht="66" customHeight="1">
      <c r="A142" s="403">
        <f t="shared" si="40"/>
        <v>109</v>
      </c>
      <c r="B142" s="440">
        <v>2021003630008</v>
      </c>
      <c r="C142" s="442" t="s">
        <v>1388</v>
      </c>
      <c r="D142" s="443">
        <f>'SGTO POAI 2023 MARZO'!BF198</f>
        <v>104000000</v>
      </c>
      <c r="E142" s="401">
        <f>'SGTO POAI 2023 MARZO'!BG198</f>
        <v>53106757</v>
      </c>
      <c r="F142" s="381">
        <f t="shared" si="41"/>
        <v>0.51064189423076922</v>
      </c>
      <c r="G142" s="402">
        <f>'SGTO POAI 2023 MARZO'!BH198</f>
        <v>5656757</v>
      </c>
      <c r="H142" s="381">
        <f t="shared" si="42"/>
        <v>5.4391894230769233E-2</v>
      </c>
    </row>
    <row r="143" spans="1:8" ht="66" customHeight="1">
      <c r="A143" s="403">
        <f t="shared" si="40"/>
        <v>110</v>
      </c>
      <c r="B143" s="440">
        <v>2021003630007</v>
      </c>
      <c r="C143" s="442" t="s">
        <v>1389</v>
      </c>
      <c r="D143" s="443">
        <f>'SGTO POAI 2023 MARZO'!BF199</f>
        <v>101400000</v>
      </c>
      <c r="E143" s="401">
        <f>'SGTO POAI 2023 MARZO'!BG199</f>
        <v>39500000</v>
      </c>
      <c r="F143" s="381">
        <f t="shared" si="41"/>
        <v>0.38954635108481261</v>
      </c>
      <c r="G143" s="402">
        <f>'SGTO POAI 2023 MARZO'!BH199</f>
        <v>16100000</v>
      </c>
      <c r="H143" s="381">
        <f t="shared" si="42"/>
        <v>0.15877712031558186</v>
      </c>
    </row>
    <row r="144" spans="1:8" ht="66" customHeight="1">
      <c r="A144" s="403">
        <f t="shared" si="40"/>
        <v>111</v>
      </c>
      <c r="B144" s="440">
        <v>2020003630111</v>
      </c>
      <c r="C144" s="442" t="s">
        <v>1390</v>
      </c>
      <c r="D144" s="443">
        <f>'SGTO POAI 2023 MARZO'!BF200</f>
        <v>39172972</v>
      </c>
      <c r="E144" s="401">
        <f>'SGTO POAI 2023 MARZO'!BG200</f>
        <v>23766215</v>
      </c>
      <c r="F144" s="381">
        <f t="shared" si="41"/>
        <v>0.60669930787993309</v>
      </c>
      <c r="G144" s="402">
        <f>'SGTO POAI 2023 MARZO'!BH200</f>
        <v>15693243</v>
      </c>
      <c r="H144" s="381">
        <f t="shared" si="42"/>
        <v>0.40061405093287278</v>
      </c>
    </row>
    <row r="145" spans="1:8" ht="66" customHeight="1" thickBot="1">
      <c r="A145" s="425">
        <f t="shared" si="40"/>
        <v>112</v>
      </c>
      <c r="B145" s="444">
        <v>2020003630112</v>
      </c>
      <c r="C145" s="445" t="s">
        <v>930</v>
      </c>
      <c r="D145" s="446">
        <f>'SGTO POAI 2023 MARZO'!BF201</f>
        <v>115000000</v>
      </c>
      <c r="E145" s="413">
        <f>'SGTO POAI 2023 MARZO'!BG201</f>
        <v>16760000</v>
      </c>
      <c r="F145" s="414">
        <f t="shared" si="41"/>
        <v>0.14573913043478262</v>
      </c>
      <c r="G145" s="402">
        <f>'SGTO POAI 2023 MARZO'!BH201</f>
        <v>16760000</v>
      </c>
      <c r="H145" s="414">
        <f t="shared" si="42"/>
        <v>0.14573913043478262</v>
      </c>
    </row>
    <row r="146" spans="1:8" ht="30" customHeight="1" thickBot="1">
      <c r="A146" s="551" t="s">
        <v>1391</v>
      </c>
      <c r="B146" s="552"/>
      <c r="C146" s="553"/>
      <c r="D146" s="417">
        <f>SUM(D148:D170)</f>
        <v>53313292857.790001</v>
      </c>
      <c r="E146" s="417">
        <f t="shared" ref="E146:G146" si="45">SUM(E148:E170)</f>
        <v>39176601827.099998</v>
      </c>
      <c r="F146" s="390">
        <f t="shared" si="41"/>
        <v>0.73483740596554836</v>
      </c>
      <c r="G146" s="423">
        <f t="shared" si="45"/>
        <v>8534465634.1400003</v>
      </c>
      <c r="H146" s="390">
        <f t="shared" si="42"/>
        <v>0.16008138264701027</v>
      </c>
    </row>
    <row r="147" spans="1:8" ht="24" customHeight="1">
      <c r="A147" s="419">
        <v>1</v>
      </c>
      <c r="B147" s="546" t="s">
        <v>148</v>
      </c>
      <c r="C147" s="547"/>
      <c r="D147" s="393">
        <f>SUM(D148:D170)</f>
        <v>53313292857.790001</v>
      </c>
      <c r="E147" s="394">
        <f t="shared" ref="E147:G147" si="46">SUM(E148:E170)</f>
        <v>39176601827.099998</v>
      </c>
      <c r="F147" s="395">
        <f t="shared" si="41"/>
        <v>0.73483740596554836</v>
      </c>
      <c r="G147" s="396">
        <f t="shared" si="46"/>
        <v>8534465634.1400003</v>
      </c>
      <c r="H147" s="395">
        <f t="shared" si="42"/>
        <v>0.16008138264701027</v>
      </c>
    </row>
    <row r="148" spans="1:8" ht="66" customHeight="1">
      <c r="A148" s="397">
        <f>A145+1</f>
        <v>113</v>
      </c>
      <c r="B148" s="437">
        <v>2020003630116</v>
      </c>
      <c r="C148" s="447" t="s">
        <v>940</v>
      </c>
      <c r="D148" s="443">
        <f>SUM('SGTO POAI 2023 MARZO'!BF202:BF209)</f>
        <v>1701455776.6500001</v>
      </c>
      <c r="E148" s="401">
        <f>SUM('SGTO POAI 2023 MARZO'!BG202:BG209)</f>
        <v>318112018</v>
      </c>
      <c r="F148" s="381">
        <f t="shared" si="41"/>
        <v>0.18696461134378198</v>
      </c>
      <c r="G148" s="402">
        <f>SUM('SGTO POAI 2023 MARZO'!BH202:BH209)</f>
        <v>90437629</v>
      </c>
      <c r="H148" s="381">
        <f t="shared" si="42"/>
        <v>5.315308822076048E-2</v>
      </c>
    </row>
    <row r="149" spans="1:8" ht="66" customHeight="1">
      <c r="A149" s="403">
        <f>A148+1</f>
        <v>114</v>
      </c>
      <c r="B149" s="440">
        <v>2020003630117</v>
      </c>
      <c r="C149" s="441" t="s">
        <v>967</v>
      </c>
      <c r="D149" s="443">
        <f>'SGTO POAI 2023 MARZO'!BF210+'SGTO POAI 2023 MARZO'!BF253</f>
        <v>210000000</v>
      </c>
      <c r="E149" s="401">
        <f>'SGTO POAI 2023 MARZO'!BG210+'SGTO POAI 2023 MARZO'!BG253</f>
        <v>94462665</v>
      </c>
      <c r="F149" s="381">
        <f t="shared" si="41"/>
        <v>0.44982221428571428</v>
      </c>
      <c r="G149" s="402">
        <f>'SGTO POAI 2023 MARZO'!BH210+'SGTO POAI 2023 MARZO'!BH253</f>
        <v>31300000</v>
      </c>
      <c r="H149" s="381">
        <f t="shared" si="42"/>
        <v>0.14904761904761904</v>
      </c>
    </row>
    <row r="150" spans="1:8" ht="66" customHeight="1">
      <c r="A150" s="403">
        <f t="shared" ref="A150:A170" si="47">A149+1</f>
        <v>115</v>
      </c>
      <c r="B150" s="440">
        <v>2020003630118</v>
      </c>
      <c r="C150" s="441" t="s">
        <v>972</v>
      </c>
      <c r="D150" s="443">
        <f>'SGTO POAI 2023 MARZO'!BF211+'SGTO POAI 2023 MARZO'!BF212+'SGTO POAI 2023 MARZO'!BF213</f>
        <v>1219356161</v>
      </c>
      <c r="E150" s="401">
        <f>'SGTO POAI 2023 MARZO'!BG211+'SGTO POAI 2023 MARZO'!BG212+'SGTO POAI 2023 MARZO'!BG213</f>
        <v>441207372</v>
      </c>
      <c r="F150" s="381">
        <f t="shared" si="41"/>
        <v>0.36183634126895597</v>
      </c>
      <c r="G150" s="402">
        <f>'SGTO POAI 2023 MARZO'!BH211+'SGTO POAI 2023 MARZO'!BH212+'SGTO POAI 2023 MARZO'!BH213</f>
        <v>64850000</v>
      </c>
      <c r="H150" s="381">
        <f t="shared" si="42"/>
        <v>5.3183804760387809E-2</v>
      </c>
    </row>
    <row r="151" spans="1:8" ht="66" customHeight="1">
      <c r="A151" s="403">
        <f t="shared" si="47"/>
        <v>116</v>
      </c>
      <c r="B151" s="440">
        <v>2020003630119</v>
      </c>
      <c r="C151" s="441" t="s">
        <v>980</v>
      </c>
      <c r="D151" s="443">
        <f>'SGTO POAI 2023 MARZO'!BF214</f>
        <v>135772557</v>
      </c>
      <c r="E151" s="401">
        <f>'SGTO POAI 2023 MARZO'!BG214</f>
        <v>41441266</v>
      </c>
      <c r="F151" s="381">
        <f t="shared" si="41"/>
        <v>0.30522564291103393</v>
      </c>
      <c r="G151" s="402">
        <f>'SGTO POAI 2023 MARZO'!BH214</f>
        <v>14186000</v>
      </c>
      <c r="H151" s="381">
        <f t="shared" si="42"/>
        <v>0.10448355922176526</v>
      </c>
    </row>
    <row r="152" spans="1:8" ht="66" customHeight="1">
      <c r="A152" s="403">
        <f t="shared" si="47"/>
        <v>117</v>
      </c>
      <c r="B152" s="440">
        <v>2020003630120</v>
      </c>
      <c r="C152" s="441" t="s">
        <v>985</v>
      </c>
      <c r="D152" s="443">
        <f>SUM('SGTO POAI 2023 MARZO'!BF215:BF218)</f>
        <v>141585478</v>
      </c>
      <c r="E152" s="401">
        <f>SUM('SGTO POAI 2023 MARZO'!BG215:BG218)</f>
        <v>52200000</v>
      </c>
      <c r="F152" s="381">
        <f t="shared" si="41"/>
        <v>0.36868187851864298</v>
      </c>
      <c r="G152" s="402">
        <f>SUM('SGTO POAI 2023 MARZO'!BH215:BH218)</f>
        <v>29300000</v>
      </c>
      <c r="H152" s="381">
        <f t="shared" si="42"/>
        <v>0.20694212721448735</v>
      </c>
    </row>
    <row r="153" spans="1:8" ht="66" customHeight="1">
      <c r="A153" s="403">
        <f t="shared" si="47"/>
        <v>118</v>
      </c>
      <c r="B153" s="440">
        <v>2020003630121</v>
      </c>
      <c r="C153" s="441" t="s">
        <v>1392</v>
      </c>
      <c r="D153" s="443">
        <f>SUM('SGTO POAI 2023 MARZO'!BF219:BF222)</f>
        <v>159135000</v>
      </c>
      <c r="E153" s="401">
        <f>SUM('SGTO POAI 2023 MARZO'!BG219:BG222)</f>
        <v>76573333</v>
      </c>
      <c r="F153" s="381">
        <f t="shared" si="41"/>
        <v>0.48118473623024477</v>
      </c>
      <c r="G153" s="402">
        <f>SUM('SGTO POAI 2023 MARZO'!BH219:BH222)</f>
        <v>40400000</v>
      </c>
      <c r="H153" s="381">
        <f t="shared" si="42"/>
        <v>0.25387249819335783</v>
      </c>
    </row>
    <row r="154" spans="1:8" ht="66" customHeight="1">
      <c r="A154" s="403">
        <f t="shared" si="47"/>
        <v>119</v>
      </c>
      <c r="B154" s="440">
        <v>2020003630122</v>
      </c>
      <c r="C154" s="441" t="s">
        <v>1393</v>
      </c>
      <c r="D154" s="443">
        <f>SUM('SGTO POAI 2023 MARZO'!BF223:BF224)</f>
        <v>150891929</v>
      </c>
      <c r="E154" s="401">
        <f>SUM('SGTO POAI 2023 MARZO'!BG223:BG224)</f>
        <v>72808331</v>
      </c>
      <c r="F154" s="381">
        <f t="shared" si="41"/>
        <v>0.48251971780412456</v>
      </c>
      <c r="G154" s="402">
        <f>SUM('SGTO POAI 2023 MARZO'!BH223:BH224)</f>
        <v>19450000</v>
      </c>
      <c r="H154" s="381">
        <f t="shared" si="42"/>
        <v>0.12890020114992368</v>
      </c>
    </row>
    <row r="155" spans="1:8" ht="66" customHeight="1">
      <c r="A155" s="403">
        <f t="shared" si="47"/>
        <v>120</v>
      </c>
      <c r="B155" s="440">
        <v>2020003630123</v>
      </c>
      <c r="C155" s="441" t="s">
        <v>1013</v>
      </c>
      <c r="D155" s="443">
        <f>SUM('SGTO POAI 2023 MARZO'!BF225:BF231)</f>
        <v>285000000</v>
      </c>
      <c r="E155" s="401">
        <f>SUM('SGTO POAI 2023 MARZO'!BG225:BG231)</f>
        <v>62346666</v>
      </c>
      <c r="F155" s="381">
        <f t="shared" si="41"/>
        <v>0.21876023157894736</v>
      </c>
      <c r="G155" s="402">
        <f>SUM('SGTO POAI 2023 MARZO'!BH225:BH231)</f>
        <v>16800000</v>
      </c>
      <c r="H155" s="381">
        <f t="shared" si="42"/>
        <v>5.894736842105263E-2</v>
      </c>
    </row>
    <row r="156" spans="1:8" ht="66" customHeight="1">
      <c r="A156" s="403">
        <f t="shared" si="47"/>
        <v>121</v>
      </c>
      <c r="B156" s="440">
        <v>2020003630124</v>
      </c>
      <c r="C156" s="441" t="s">
        <v>1035</v>
      </c>
      <c r="D156" s="443">
        <f>SUM('SGTO POAI 2023 MARZO'!BF232:BF233)</f>
        <v>200000000</v>
      </c>
      <c r="E156" s="401">
        <f>SUM('SGTO POAI 2023 MARZO'!BG232:BG233)</f>
        <v>87279997</v>
      </c>
      <c r="F156" s="381">
        <f t="shared" si="41"/>
        <v>0.43639998499999999</v>
      </c>
      <c r="G156" s="402">
        <f>SUM('SGTO POAI 2023 MARZO'!BH232:BH233)</f>
        <v>19200000</v>
      </c>
      <c r="H156" s="381">
        <f t="shared" si="42"/>
        <v>9.6000000000000002E-2</v>
      </c>
    </row>
    <row r="157" spans="1:8" ht="66" customHeight="1">
      <c r="A157" s="403">
        <f t="shared" si="47"/>
        <v>122</v>
      </c>
      <c r="B157" s="440">
        <v>2020003630125</v>
      </c>
      <c r="C157" s="441" t="s">
        <v>1042</v>
      </c>
      <c r="D157" s="443">
        <f>'SGTO POAI 2023 MARZO'!BF234+'SGTO POAI 2023 MARZO'!BF235+'SGTO POAI 2023 MARZO'!BF254</f>
        <v>207413133</v>
      </c>
      <c r="E157" s="401">
        <f>'SGTO POAI 2023 MARZO'!BG234+'SGTO POAI 2023 MARZO'!BG235+'SGTO POAI 2023 MARZO'!BG254</f>
        <v>74653000</v>
      </c>
      <c r="F157" s="381">
        <f t="shared" si="41"/>
        <v>0.35992417124329346</v>
      </c>
      <c r="G157" s="402">
        <f>'SGTO POAI 2023 MARZO'!BH234+'SGTO POAI 2023 MARZO'!BH235+'SGTO POAI 2023 MARZO'!BH254</f>
        <v>31300000</v>
      </c>
      <c r="H157" s="381">
        <f t="shared" si="42"/>
        <v>0.15090654842960211</v>
      </c>
    </row>
    <row r="158" spans="1:8" ht="66" customHeight="1">
      <c r="A158" s="403">
        <f t="shared" si="47"/>
        <v>123</v>
      </c>
      <c r="B158" s="440">
        <v>2020003630126</v>
      </c>
      <c r="C158" s="441" t="s">
        <v>1044</v>
      </c>
      <c r="D158" s="443">
        <f>'SGTO POAI 2023 MARZO'!BF236+'SGTO POAI 2023 MARZO'!BF255</f>
        <v>150000000</v>
      </c>
      <c r="E158" s="401">
        <f>'SGTO POAI 2023 MARZO'!BG236+'SGTO POAI 2023 MARZO'!BG255</f>
        <v>75236666</v>
      </c>
      <c r="F158" s="381">
        <f t="shared" si="41"/>
        <v>0.50157777333333331</v>
      </c>
      <c r="G158" s="402">
        <f>'SGTO POAI 2023 MARZO'!BH236+'SGTO POAI 2023 MARZO'!BH255</f>
        <v>27500000</v>
      </c>
      <c r="H158" s="381">
        <f t="shared" si="42"/>
        <v>0.18333333333333332</v>
      </c>
    </row>
    <row r="159" spans="1:8" ht="66" customHeight="1">
      <c r="A159" s="403">
        <f t="shared" si="47"/>
        <v>124</v>
      </c>
      <c r="B159" s="440">
        <v>2020003630127</v>
      </c>
      <c r="C159" s="441" t="s">
        <v>1048</v>
      </c>
      <c r="D159" s="443">
        <f>SUM('SGTO POAI 2023 MARZO'!BF237:BF239)</f>
        <v>255000000</v>
      </c>
      <c r="E159" s="401">
        <f>SUM('SGTO POAI 2023 MARZO'!BG237:BG239)</f>
        <v>54010000</v>
      </c>
      <c r="F159" s="381">
        <f t="shared" si="41"/>
        <v>0.21180392156862746</v>
      </c>
      <c r="G159" s="402">
        <f>SUM('SGTO POAI 2023 MARZO'!BH237:BH239)</f>
        <v>15900000</v>
      </c>
      <c r="H159" s="381">
        <f t="shared" si="42"/>
        <v>6.235294117647059E-2</v>
      </c>
    </row>
    <row r="160" spans="1:8" ht="66" customHeight="1">
      <c r="A160" s="403">
        <f t="shared" si="47"/>
        <v>125</v>
      </c>
      <c r="B160" s="440">
        <v>2020003630128</v>
      </c>
      <c r="C160" s="441" t="s">
        <v>1057</v>
      </c>
      <c r="D160" s="443">
        <f>'SGTO POAI 2023 MARZO'!BF240+'SGTO POAI 2023 MARZO'!BF256</f>
        <v>506380734</v>
      </c>
      <c r="E160" s="401">
        <f>'SGTO POAI 2023 MARZO'!BG240+'SGTO POAI 2023 MARZO'!BG256</f>
        <v>118768840</v>
      </c>
      <c r="F160" s="381">
        <f t="shared" si="41"/>
        <v>0.23454454726549687</v>
      </c>
      <c r="G160" s="402">
        <f>'SGTO POAI 2023 MARZO'!BH240+'SGTO POAI 2023 MARZO'!BH256</f>
        <v>100652174</v>
      </c>
      <c r="H160" s="381">
        <f t="shared" si="42"/>
        <v>0.19876777934446455</v>
      </c>
    </row>
    <row r="161" spans="1:8" ht="66" customHeight="1">
      <c r="A161" s="403">
        <f t="shared" si="47"/>
        <v>126</v>
      </c>
      <c r="B161" s="440">
        <v>2020003630129</v>
      </c>
      <c r="C161" s="441" t="s">
        <v>1394</v>
      </c>
      <c r="D161" s="443">
        <f>'SGTO POAI 2023 MARZO'!BF241+'SGTO POAI 2023 MARZO'!BF257</f>
        <v>318995934.28999996</v>
      </c>
      <c r="E161" s="401">
        <f>'SGTO POAI 2023 MARZO'!BG241+'SGTO POAI 2023 MARZO'!BG257</f>
        <v>43356667</v>
      </c>
      <c r="F161" s="381">
        <f t="shared" si="41"/>
        <v>0.13591604888789696</v>
      </c>
      <c r="G161" s="402">
        <f>'SGTO POAI 2023 MARZO'!BH241+'SGTO POAI 2023 MARZO'!BH257</f>
        <v>11700000</v>
      </c>
      <c r="H161" s="381">
        <f t="shared" si="42"/>
        <v>3.6677583449585605E-2</v>
      </c>
    </row>
    <row r="162" spans="1:8" ht="66" customHeight="1">
      <c r="A162" s="403">
        <f t="shared" si="47"/>
        <v>127</v>
      </c>
      <c r="B162" s="440">
        <v>2020003630130</v>
      </c>
      <c r="C162" s="441" t="s">
        <v>1114</v>
      </c>
      <c r="D162" s="443">
        <f>'SGTO POAI 2023 MARZO'!BF258</f>
        <v>50000000</v>
      </c>
      <c r="E162" s="401">
        <f>'SGTO POAI 2023 MARZO'!BG258</f>
        <v>0</v>
      </c>
      <c r="F162" s="381">
        <f t="shared" si="41"/>
        <v>0</v>
      </c>
      <c r="G162" s="402">
        <f>'SGTO POAI 2023 MARZO'!BH258</f>
        <v>0</v>
      </c>
      <c r="H162" s="381">
        <f t="shared" si="42"/>
        <v>0</v>
      </c>
    </row>
    <row r="163" spans="1:8" ht="66" customHeight="1">
      <c r="A163" s="403">
        <f t="shared" si="47"/>
        <v>128</v>
      </c>
      <c r="B163" s="440">
        <v>2020003630131</v>
      </c>
      <c r="C163" s="441" t="s">
        <v>1119</v>
      </c>
      <c r="D163" s="443">
        <f>'SGTO POAI 2023 MARZO'!BF259</f>
        <v>37500000</v>
      </c>
      <c r="E163" s="401">
        <f>'SGTO POAI 2023 MARZO'!BG259</f>
        <v>8533333</v>
      </c>
      <c r="F163" s="381">
        <f t="shared" si="41"/>
        <v>0.22755554666666666</v>
      </c>
      <c r="G163" s="402">
        <f>'SGTO POAI 2023 MARZO'!BH259</f>
        <v>0</v>
      </c>
      <c r="H163" s="381">
        <f t="shared" si="42"/>
        <v>0</v>
      </c>
    </row>
    <row r="164" spans="1:8" ht="66" customHeight="1">
      <c r="A164" s="403">
        <f t="shared" si="47"/>
        <v>129</v>
      </c>
      <c r="B164" s="440">
        <v>2020003630132</v>
      </c>
      <c r="C164" s="441" t="s">
        <v>1395</v>
      </c>
      <c r="D164" s="443">
        <f>'SGTO POAI 2023 MARZO'!BF260</f>
        <v>85000000</v>
      </c>
      <c r="E164" s="401">
        <f>'SGTO POAI 2023 MARZO'!BG260</f>
        <v>34386666</v>
      </c>
      <c r="F164" s="381">
        <f t="shared" si="41"/>
        <v>0.40454901176470587</v>
      </c>
      <c r="G164" s="402">
        <f>'SGTO POAI 2023 MARZO'!BH260</f>
        <v>12050000</v>
      </c>
      <c r="H164" s="381">
        <f t="shared" si="42"/>
        <v>0.14176470588235293</v>
      </c>
    </row>
    <row r="165" spans="1:8" ht="66" customHeight="1">
      <c r="A165" s="403">
        <f t="shared" si="47"/>
        <v>130</v>
      </c>
      <c r="B165" s="440">
        <v>2020003630133</v>
      </c>
      <c r="C165" s="441" t="s">
        <v>1396</v>
      </c>
      <c r="D165" s="443">
        <f>'SGTO POAI 2023 MARZO'!BF242</f>
        <v>600000000</v>
      </c>
      <c r="E165" s="401">
        <f>'SGTO POAI 2023 MARZO'!BG242</f>
        <v>143369997</v>
      </c>
      <c r="F165" s="381">
        <f t="shared" si="41"/>
        <v>0.238949995</v>
      </c>
      <c r="G165" s="402">
        <f>'SGTO POAI 2023 MARZO'!BH242</f>
        <v>51400000</v>
      </c>
      <c r="H165" s="381">
        <f t="shared" si="42"/>
        <v>8.5666666666666669E-2</v>
      </c>
    </row>
    <row r="166" spans="1:8" ht="66" customHeight="1">
      <c r="A166" s="403">
        <f t="shared" si="47"/>
        <v>131</v>
      </c>
      <c r="B166" s="440">
        <v>2020003630134</v>
      </c>
      <c r="C166" s="441" t="s">
        <v>1069</v>
      </c>
      <c r="D166" s="443">
        <f>'SGTO POAI 2023 MARZO'!BF243</f>
        <v>300000000</v>
      </c>
      <c r="E166" s="401">
        <f>'SGTO POAI 2023 MARZO'!BG243</f>
        <v>90588000</v>
      </c>
      <c r="F166" s="381">
        <f t="shared" si="41"/>
        <v>0.30196000000000001</v>
      </c>
      <c r="G166" s="402">
        <f>'SGTO POAI 2023 MARZO'!BH243</f>
        <v>37828000</v>
      </c>
      <c r="H166" s="381">
        <f t="shared" si="42"/>
        <v>0.12609333333333334</v>
      </c>
    </row>
    <row r="167" spans="1:8" ht="66" customHeight="1">
      <c r="A167" s="403">
        <f t="shared" si="47"/>
        <v>132</v>
      </c>
      <c r="B167" s="440">
        <v>2020003630135</v>
      </c>
      <c r="C167" s="441" t="s">
        <v>1397</v>
      </c>
      <c r="D167" s="443">
        <f>'SGTO POAI 2023 MARZO'!BF244</f>
        <v>1830478796</v>
      </c>
      <c r="E167" s="401">
        <f>'SGTO POAI 2023 MARZO'!BG244</f>
        <v>90619997</v>
      </c>
      <c r="F167" s="381">
        <f t="shared" si="41"/>
        <v>4.950617138970672E-2</v>
      </c>
      <c r="G167" s="402">
        <f>'SGTO POAI 2023 MARZO'!BH244</f>
        <v>23450000</v>
      </c>
      <c r="H167" s="381">
        <f t="shared" si="42"/>
        <v>1.2810855854349924E-2</v>
      </c>
    </row>
    <row r="168" spans="1:8" ht="66" customHeight="1">
      <c r="A168" s="403">
        <f t="shared" si="47"/>
        <v>133</v>
      </c>
      <c r="B168" s="440">
        <v>2020003630136</v>
      </c>
      <c r="C168" s="441" t="s">
        <v>1080</v>
      </c>
      <c r="D168" s="443">
        <f>'SGTO POAI 2023 MARZO'!BF245</f>
        <v>35074003113.879997</v>
      </c>
      <c r="E168" s="401">
        <f>'SGTO POAI 2023 MARZO'!BG245</f>
        <v>35074003113</v>
      </c>
      <c r="F168" s="381">
        <f t="shared" si="41"/>
        <v>0.99999999997491029</v>
      </c>
      <c r="G168" s="402">
        <f>'SGTO POAI 2023 MARZO'!BH245</f>
        <v>7878161831.1400003</v>
      </c>
      <c r="H168" s="381">
        <f t="shared" si="42"/>
        <v>0.2246154168818654</v>
      </c>
    </row>
    <row r="169" spans="1:8" ht="66" customHeight="1">
      <c r="A169" s="403">
        <f t="shared" si="47"/>
        <v>134</v>
      </c>
      <c r="B169" s="440">
        <v>2020003630137</v>
      </c>
      <c r="C169" s="441" t="s">
        <v>1085</v>
      </c>
      <c r="D169" s="443">
        <f>SUM('SGTO POAI 2023 MARZO'!BF246:BF248)</f>
        <v>9464934244.9700012</v>
      </c>
      <c r="E169" s="401">
        <f>SUM('SGTO POAI 2023 MARZO'!BG246:BG248)</f>
        <v>2075063901.0999999</v>
      </c>
      <c r="F169" s="381">
        <f t="shared" si="41"/>
        <v>0.21923701183690333</v>
      </c>
      <c r="G169" s="402">
        <f>SUM('SGTO POAI 2023 MARZO'!BH246:BH248)</f>
        <v>0</v>
      </c>
      <c r="H169" s="381">
        <f t="shared" si="42"/>
        <v>0</v>
      </c>
    </row>
    <row r="170" spans="1:8" ht="66" customHeight="1" thickBot="1">
      <c r="A170" s="425">
        <f t="shared" si="47"/>
        <v>135</v>
      </c>
      <c r="B170" s="444">
        <v>2020003630138</v>
      </c>
      <c r="C170" s="448" t="s">
        <v>1096</v>
      </c>
      <c r="D170" s="446">
        <f>SUM('SGTO POAI 2023 MARZO'!BF249:BF252)</f>
        <v>230390000</v>
      </c>
      <c r="E170" s="413">
        <f>SUM('SGTO POAI 2023 MARZO'!BG249:BG252)</f>
        <v>47579999</v>
      </c>
      <c r="F170" s="414">
        <f t="shared" si="41"/>
        <v>0.20651937584096533</v>
      </c>
      <c r="G170" s="402">
        <f>SUM('SGTO POAI 2023 MARZO'!BH249:BH252)</f>
        <v>18600000</v>
      </c>
      <c r="H170" s="414">
        <f t="shared" si="42"/>
        <v>8.0732670688831984E-2</v>
      </c>
    </row>
    <row r="171" spans="1:8" ht="30" customHeight="1" thickBot="1">
      <c r="A171" s="551" t="s">
        <v>1398</v>
      </c>
      <c r="B171" s="552"/>
      <c r="C171" s="553"/>
      <c r="D171" s="417">
        <f>D172+D176+D179</f>
        <v>1266894018</v>
      </c>
      <c r="E171" s="417">
        <f t="shared" ref="E171:G171" si="48">E172+E176+E179</f>
        <v>579300000</v>
      </c>
      <c r="F171" s="390">
        <f t="shared" si="41"/>
        <v>0.45726003262255516</v>
      </c>
      <c r="G171" s="423">
        <f t="shared" si="48"/>
        <v>242300000</v>
      </c>
      <c r="H171" s="390">
        <f t="shared" si="42"/>
        <v>0.19125514570075111</v>
      </c>
    </row>
    <row r="172" spans="1:8" ht="30" customHeight="1">
      <c r="A172" s="419">
        <v>1</v>
      </c>
      <c r="B172" s="546" t="s">
        <v>148</v>
      </c>
      <c r="C172" s="547"/>
      <c r="D172" s="393">
        <f>SUM(D173:D175)</f>
        <v>824774500</v>
      </c>
      <c r="E172" s="394">
        <f t="shared" ref="E172:G172" si="49">SUM(E173:E175)</f>
        <v>452103654</v>
      </c>
      <c r="F172" s="395">
        <f t="shared" si="41"/>
        <v>0.54815425792140759</v>
      </c>
      <c r="G172" s="396">
        <f t="shared" si="49"/>
        <v>196000000</v>
      </c>
      <c r="H172" s="395">
        <f t="shared" si="42"/>
        <v>0.23764071270389664</v>
      </c>
    </row>
    <row r="173" spans="1:8" ht="66" customHeight="1">
      <c r="A173" s="397">
        <f>A170+1</f>
        <v>136</v>
      </c>
      <c r="B173" s="437">
        <v>2020003630038</v>
      </c>
      <c r="C173" s="447" t="s">
        <v>1399</v>
      </c>
      <c r="D173" s="443">
        <f>SUM('SGTO POAI 2023 MARZO'!BF261:BF264)</f>
        <v>240085000</v>
      </c>
      <c r="E173" s="401">
        <f>SUM('SGTO POAI 2023 MARZO'!BG261:BG264)</f>
        <v>61800000</v>
      </c>
      <c r="F173" s="381">
        <f t="shared" si="41"/>
        <v>0.25740883437116019</v>
      </c>
      <c r="G173" s="402">
        <f>SUM('SGTO POAI 2023 MARZO'!BH261:BH264)</f>
        <v>14800000</v>
      </c>
      <c r="H173" s="381">
        <f t="shared" si="42"/>
        <v>6.1644834121248722E-2</v>
      </c>
    </row>
    <row r="174" spans="1:8" ht="66" customHeight="1">
      <c r="A174" s="403">
        <f>A173+1</f>
        <v>137</v>
      </c>
      <c r="B174" s="440">
        <v>2020003630139</v>
      </c>
      <c r="C174" s="441" t="s">
        <v>1400</v>
      </c>
      <c r="D174" s="443">
        <f>SUM('SGTO POAI 2023 MARZO'!BF265:BF269)</f>
        <v>375289500</v>
      </c>
      <c r="E174" s="401">
        <f>SUM('SGTO POAI 2023 MARZO'!BG265:BG269)</f>
        <v>253803655</v>
      </c>
      <c r="F174" s="381">
        <f t="shared" si="41"/>
        <v>0.67628765259886037</v>
      </c>
      <c r="G174" s="402">
        <f>SUM('SGTO POAI 2023 MARZO'!BH265:BH269)</f>
        <v>120950000</v>
      </c>
      <c r="H174" s="381">
        <f t="shared" si="42"/>
        <v>0.32228452967642313</v>
      </c>
    </row>
    <row r="175" spans="1:8" ht="66" customHeight="1">
      <c r="A175" s="403">
        <f t="shared" ref="A175:A178" si="50">A174+1</f>
        <v>138</v>
      </c>
      <c r="B175" s="440">
        <v>2020003630039</v>
      </c>
      <c r="C175" s="441" t="s">
        <v>1401</v>
      </c>
      <c r="D175" s="443">
        <f>SUM('SGTO POAI 2023 MARZO'!BF270:BF273)</f>
        <v>209400000</v>
      </c>
      <c r="E175" s="401">
        <f>SUM('SGTO POAI 2023 MARZO'!BG270:BG273)</f>
        <v>136499999</v>
      </c>
      <c r="F175" s="381">
        <f t="shared" si="41"/>
        <v>0.65186245940783194</v>
      </c>
      <c r="G175" s="402">
        <f>SUM('SGTO POAI 2023 MARZO'!BH270:BH273)</f>
        <v>60250000</v>
      </c>
      <c r="H175" s="381">
        <f t="shared" si="42"/>
        <v>0.28772683858643744</v>
      </c>
    </row>
    <row r="176" spans="1:8" ht="30" customHeight="1">
      <c r="A176" s="428">
        <v>2</v>
      </c>
      <c r="B176" s="545" t="s">
        <v>199</v>
      </c>
      <c r="C176" s="545"/>
      <c r="D176" s="429">
        <f>SUM(D177:D178)</f>
        <v>75119518</v>
      </c>
      <c r="E176" s="429">
        <f t="shared" ref="E176:G176" si="51">SUM(E177:E178)</f>
        <v>32646346</v>
      </c>
      <c r="F176" s="381">
        <f t="shared" si="41"/>
        <v>0.4345920590172051</v>
      </c>
      <c r="G176" s="430">
        <f t="shared" si="51"/>
        <v>3900000</v>
      </c>
      <c r="H176" s="381">
        <f t="shared" si="42"/>
        <v>5.1917266029316109E-2</v>
      </c>
    </row>
    <row r="177" spans="1:8" ht="66" customHeight="1">
      <c r="A177" s="403">
        <f>A175+1</f>
        <v>139</v>
      </c>
      <c r="B177" s="440">
        <v>2020003630140</v>
      </c>
      <c r="C177" s="441" t="s">
        <v>1402</v>
      </c>
      <c r="D177" s="443">
        <f>SUM('SGTO POAI 2023 MARZO'!BF274:BF276)</f>
        <v>46719518</v>
      </c>
      <c r="E177" s="401">
        <f>SUM('SGTO POAI 2023 MARZO'!BG274:BG276)</f>
        <v>22746346</v>
      </c>
      <c r="F177" s="381">
        <f t="shared" si="41"/>
        <v>0.48687030546847682</v>
      </c>
      <c r="G177" s="402">
        <f>SUM('SGTO POAI 2023 MARZO'!BH274:BH276)</f>
        <v>3900000</v>
      </c>
      <c r="H177" s="381">
        <f t="shared" si="42"/>
        <v>8.3476888610023753E-2</v>
      </c>
    </row>
    <row r="178" spans="1:8" ht="66" customHeight="1">
      <c r="A178" s="403">
        <f t="shared" si="50"/>
        <v>140</v>
      </c>
      <c r="B178" s="440">
        <v>2020003630040</v>
      </c>
      <c r="C178" s="441" t="s">
        <v>1403</v>
      </c>
      <c r="D178" s="443">
        <f>'SGTO POAI 2023 MARZO'!BF277</f>
        <v>28400000</v>
      </c>
      <c r="E178" s="401">
        <f>'SGTO POAI 2023 MARZO'!BG277</f>
        <v>9900000</v>
      </c>
      <c r="F178" s="381">
        <f t="shared" si="41"/>
        <v>0.34859154929577463</v>
      </c>
      <c r="G178" s="402">
        <f>'SGTO POAI 2023 MARZO'!BH277</f>
        <v>0</v>
      </c>
      <c r="H178" s="381">
        <f t="shared" si="42"/>
        <v>0</v>
      </c>
    </row>
    <row r="179" spans="1:8" ht="32.25" customHeight="1">
      <c r="A179" s="428">
        <v>4</v>
      </c>
      <c r="B179" s="545" t="s">
        <v>1462</v>
      </c>
      <c r="C179" s="545"/>
      <c r="D179" s="429">
        <f>D180</f>
        <v>367000000</v>
      </c>
      <c r="E179" s="429">
        <f t="shared" ref="E179:G179" si="52">E180</f>
        <v>94550000</v>
      </c>
      <c r="F179" s="381">
        <f t="shared" si="41"/>
        <v>0.25762942779291553</v>
      </c>
      <c r="G179" s="430">
        <f t="shared" si="52"/>
        <v>42400000</v>
      </c>
      <c r="H179" s="381">
        <f t="shared" si="42"/>
        <v>0.11553133514986376</v>
      </c>
    </row>
    <row r="180" spans="1:8" ht="66" customHeight="1" thickBot="1">
      <c r="A180" s="425">
        <f>A178+1</f>
        <v>141</v>
      </c>
      <c r="B180" s="444">
        <v>2020003630141</v>
      </c>
      <c r="C180" s="448" t="s">
        <v>1404</v>
      </c>
      <c r="D180" s="446">
        <f>SUM('SGTO POAI 2023 MARZO'!BF278:BF283)</f>
        <v>367000000</v>
      </c>
      <c r="E180" s="413">
        <f>SUM('SGTO POAI 2023 MARZO'!BG278:BG283)</f>
        <v>94550000</v>
      </c>
      <c r="F180" s="414">
        <f t="shared" si="41"/>
        <v>0.25762942779291553</v>
      </c>
      <c r="G180" s="402">
        <f>SUM('SGTO POAI 2023 MARZO'!BH278:BH283)</f>
        <v>42400000</v>
      </c>
      <c r="H180" s="414">
        <f t="shared" si="42"/>
        <v>0.11553133514986376</v>
      </c>
    </row>
    <row r="181" spans="1:8" ht="30" customHeight="1" thickBot="1">
      <c r="A181" s="548" t="s">
        <v>1405</v>
      </c>
      <c r="B181" s="549"/>
      <c r="C181" s="550"/>
      <c r="D181" s="417">
        <f>D182</f>
        <v>9310061302.6199989</v>
      </c>
      <c r="E181" s="417">
        <f t="shared" ref="E181:G181" si="53">E182</f>
        <v>2357978628</v>
      </c>
      <c r="F181" s="390">
        <f t="shared" si="41"/>
        <v>0.2532720839696756</v>
      </c>
      <c r="G181" s="423">
        <f t="shared" si="53"/>
        <v>436643218</v>
      </c>
      <c r="H181" s="390">
        <f t="shared" si="42"/>
        <v>4.6900144242564938E-2</v>
      </c>
    </row>
    <row r="182" spans="1:8" ht="30" customHeight="1">
      <c r="A182" s="419">
        <v>1</v>
      </c>
      <c r="B182" s="546" t="s">
        <v>148</v>
      </c>
      <c r="C182" s="547"/>
      <c r="D182" s="393">
        <f>SUM(D183:D185)</f>
        <v>9310061302.6199989</v>
      </c>
      <c r="E182" s="394">
        <f t="shared" ref="E182:G182" si="54">SUM(E183:E185)</f>
        <v>2357978628</v>
      </c>
      <c r="F182" s="395">
        <f t="shared" si="41"/>
        <v>0.2532720839696756</v>
      </c>
      <c r="G182" s="396">
        <f t="shared" si="54"/>
        <v>436643218</v>
      </c>
      <c r="H182" s="395">
        <f t="shared" si="42"/>
        <v>4.6900144242564938E-2</v>
      </c>
    </row>
    <row r="183" spans="1:8" ht="66" customHeight="1">
      <c r="A183" s="409">
        <f>A180+1</f>
        <v>142</v>
      </c>
      <c r="B183" s="437">
        <v>2020003630009</v>
      </c>
      <c r="C183" s="447" t="s">
        <v>1201</v>
      </c>
      <c r="D183" s="443">
        <f>SUM('SGTO POAI 2023 MARZO'!BF284:BF287)</f>
        <v>3201224324.0799999</v>
      </c>
      <c r="E183" s="401">
        <f>SUM('SGTO POAI 2023 MARZO'!BG284:BG287)</f>
        <v>536975000</v>
      </c>
      <c r="F183" s="381">
        <f t="shared" si="41"/>
        <v>0.16774050976709395</v>
      </c>
      <c r="G183" s="402">
        <f>SUM('SGTO POAI 2023 MARZO'!BH284:BH287)</f>
        <v>168200000</v>
      </c>
      <c r="H183" s="381">
        <f t="shared" si="42"/>
        <v>5.25423972118352E-2</v>
      </c>
    </row>
    <row r="184" spans="1:8" ht="66" customHeight="1">
      <c r="A184" s="403">
        <f>A183+1</f>
        <v>143</v>
      </c>
      <c r="B184" s="440">
        <v>2020003630010</v>
      </c>
      <c r="C184" s="441" t="s">
        <v>1216</v>
      </c>
      <c r="D184" s="443">
        <f>'SGTO POAI 2023 MARZO'!BF288</f>
        <v>3746819146.5399995</v>
      </c>
      <c r="E184" s="401">
        <f>'SGTO POAI 2023 MARZO'!BG288</f>
        <v>1007003628</v>
      </c>
      <c r="F184" s="381">
        <f t="shared" si="41"/>
        <v>0.26876227237439992</v>
      </c>
      <c r="G184" s="402">
        <f>'SGTO POAI 2023 MARZO'!BH288</f>
        <v>265643218</v>
      </c>
      <c r="H184" s="381">
        <f t="shared" si="42"/>
        <v>7.0898329385689254E-2</v>
      </c>
    </row>
    <row r="185" spans="1:8" ht="66" customHeight="1" thickBot="1">
      <c r="A185" s="449">
        <f>A184+1</f>
        <v>144</v>
      </c>
      <c r="B185" s="444">
        <v>2020003630013</v>
      </c>
      <c r="C185" s="448" t="s">
        <v>1221</v>
      </c>
      <c r="D185" s="446">
        <f>'SGTO POAI 2023 MARZO'!BF289</f>
        <v>2362017832</v>
      </c>
      <c r="E185" s="446">
        <f>'SGTO POAI 2023 MARZO'!BG289</f>
        <v>814000000</v>
      </c>
      <c r="F185" s="414">
        <f t="shared" si="41"/>
        <v>0.34462059895236219</v>
      </c>
      <c r="G185" s="402">
        <f>'SGTO POAI 2023 MARZO'!BH289</f>
        <v>2800000</v>
      </c>
      <c r="H185" s="414">
        <f t="shared" si="42"/>
        <v>1.1854271217034572E-3</v>
      </c>
    </row>
    <row r="186" spans="1:8" ht="30" customHeight="1" thickBot="1">
      <c r="A186" s="551" t="s">
        <v>1308</v>
      </c>
      <c r="B186" s="552"/>
      <c r="C186" s="553"/>
      <c r="D186" s="417">
        <f>D187+D190+D194</f>
        <v>4454923248</v>
      </c>
      <c r="E186" s="417">
        <f t="shared" ref="E186:G186" si="55">E187+E190+E194</f>
        <v>778829000</v>
      </c>
      <c r="F186" s="390">
        <f t="shared" si="41"/>
        <v>0.17482433627776836</v>
      </c>
      <c r="G186" s="423">
        <f t="shared" si="55"/>
        <v>198298500</v>
      </c>
      <c r="H186" s="390">
        <f t="shared" si="42"/>
        <v>4.4512214680471639E-2</v>
      </c>
    </row>
    <row r="187" spans="1:8" ht="30" customHeight="1">
      <c r="A187" s="419">
        <v>1</v>
      </c>
      <c r="B187" s="546" t="s">
        <v>148</v>
      </c>
      <c r="C187" s="547"/>
      <c r="D187" s="393">
        <f>SUM(D188:D189)</f>
        <v>2508923248</v>
      </c>
      <c r="E187" s="394">
        <f t="shared" ref="E187:G187" si="56">SUM(E188:E189)</f>
        <v>478409000</v>
      </c>
      <c r="F187" s="395">
        <f t="shared" si="41"/>
        <v>0.19068299533728902</v>
      </c>
      <c r="G187" s="396">
        <f t="shared" si="56"/>
        <v>124080750</v>
      </c>
      <c r="H187" s="395">
        <f t="shared" si="42"/>
        <v>4.9455777532816741E-2</v>
      </c>
    </row>
    <row r="188" spans="1:8" ht="66" customHeight="1">
      <c r="A188" s="409">
        <f>A185+1</f>
        <v>145</v>
      </c>
      <c r="B188" s="450">
        <v>2020003630142</v>
      </c>
      <c r="C188" s="447" t="s">
        <v>1226</v>
      </c>
      <c r="D188" s="443">
        <f>'SGTO POAI 2023 MARZO'!BF290</f>
        <v>1370000000</v>
      </c>
      <c r="E188" s="401">
        <f>'SGTO POAI 2023 MARZO'!BG290</f>
        <v>228365000</v>
      </c>
      <c r="F188" s="381">
        <f t="shared" si="41"/>
        <v>0.1666897810218978</v>
      </c>
      <c r="G188" s="402">
        <f>'SGTO POAI 2023 MARZO'!BH290</f>
        <v>62293958</v>
      </c>
      <c r="H188" s="381">
        <f t="shared" si="42"/>
        <v>4.5470042335766424E-2</v>
      </c>
    </row>
    <row r="189" spans="1:8" ht="66" customHeight="1">
      <c r="A189" s="403">
        <f>A188+1</f>
        <v>146</v>
      </c>
      <c r="B189" s="406">
        <v>2020003630143</v>
      </c>
      <c r="C189" s="451" t="s">
        <v>1228</v>
      </c>
      <c r="D189" s="443">
        <f>'SGTO POAI 2023 MARZO'!BF291</f>
        <v>1138923248</v>
      </c>
      <c r="E189" s="401">
        <f>'SGTO POAI 2023 MARZO'!BG291</f>
        <v>250044000</v>
      </c>
      <c r="F189" s="381">
        <f t="shared" si="41"/>
        <v>0.21954420584450129</v>
      </c>
      <c r="G189" s="402">
        <f>'SGTO POAI 2023 MARZO'!BH291</f>
        <v>61786792</v>
      </c>
      <c r="H189" s="381">
        <f t="shared" si="42"/>
        <v>5.4250180693475494E-2</v>
      </c>
    </row>
    <row r="190" spans="1:8" ht="28.5" customHeight="1">
      <c r="A190" s="428">
        <v>3</v>
      </c>
      <c r="B190" s="545" t="s">
        <v>211</v>
      </c>
      <c r="C190" s="545"/>
      <c r="D190" s="429">
        <f>SUM(D191:D193)</f>
        <v>1560000000</v>
      </c>
      <c r="E190" s="429">
        <f>SUM(E191:E193)</f>
        <v>237405000</v>
      </c>
      <c r="F190" s="381">
        <f t="shared" si="41"/>
        <v>0.1521826923076923</v>
      </c>
      <c r="G190" s="430">
        <f>SUM(G191:G193)</f>
        <v>56025750</v>
      </c>
      <c r="H190" s="381">
        <f t="shared" si="42"/>
        <v>3.5913942307692306E-2</v>
      </c>
    </row>
    <row r="191" spans="1:8" ht="45.75" customHeight="1">
      <c r="A191" s="403">
        <f>A189+1</f>
        <v>147</v>
      </c>
      <c r="B191" s="406">
        <v>2020003630144</v>
      </c>
      <c r="C191" s="451" t="s">
        <v>1406</v>
      </c>
      <c r="D191" s="443">
        <f>'SGTO POAI 2023 MARZO'!BF292</f>
        <v>520000000</v>
      </c>
      <c r="E191" s="401">
        <f>'SGTO POAI 2023 MARZO'!BG292</f>
        <v>88475000</v>
      </c>
      <c r="F191" s="381">
        <f t="shared" si="41"/>
        <v>0.17014423076923077</v>
      </c>
      <c r="G191" s="402">
        <f>'SGTO POAI 2023 MARZO'!BH292</f>
        <v>23837000</v>
      </c>
      <c r="H191" s="381">
        <f t="shared" si="42"/>
        <v>4.5840384615384616E-2</v>
      </c>
    </row>
    <row r="192" spans="1:8" ht="66" customHeight="1">
      <c r="A192" s="452">
        <f>A191+1</f>
        <v>148</v>
      </c>
      <c r="B192" s="450">
        <v>2020003630145</v>
      </c>
      <c r="C192" s="448" t="s">
        <v>1407</v>
      </c>
      <c r="D192" s="446">
        <f>'SGTO POAI 2023 MARZO'!BF293+'SGTO POAI 2023 MARZO'!BF294+'SGTO POAI 2023 MARZO'!BF295+'SGTO POAI 2023 MARZO'!BF296+'SGTO POAI 2023 MARZO'!BF297+'SGTO POAI 2023 MARZO'!BF298+'SGTO POAI 2023 MARZO'!BF299</f>
        <v>910000000</v>
      </c>
      <c r="E192" s="446">
        <f>'SGTO POAI 2023 MARZO'!BG293+'SGTO POAI 2023 MARZO'!BG294+'SGTO POAI 2023 MARZO'!BG295+'SGTO POAI 2023 MARZO'!BG296+'SGTO POAI 2023 MARZO'!BG297+'SGTO POAI 2023 MARZO'!BG298+'SGTO POAI 2023 MARZO'!BG299</f>
        <v>148930000</v>
      </c>
      <c r="F192" s="381">
        <f t="shared" si="41"/>
        <v>0.16365934065934065</v>
      </c>
      <c r="G192" s="402">
        <f>'SGTO POAI 2023 MARZO'!BH293+'SGTO POAI 2023 MARZO'!BH294+'SGTO POAI 2023 MARZO'!BH295+'SGTO POAI 2023 MARZO'!BH296+'SGTO POAI 2023 MARZO'!BH297+'SGTO POAI 2023 MARZO'!BH298+'SGTO POAI 2023 MARZO'!BH299</f>
        <v>32188750</v>
      </c>
      <c r="H192" s="381">
        <f t="shared" si="42"/>
        <v>3.5372252747252746E-2</v>
      </c>
    </row>
    <row r="193" spans="1:11" ht="66" customHeight="1">
      <c r="A193" s="452">
        <f>A192+1</f>
        <v>149</v>
      </c>
      <c r="B193" s="406">
        <v>2023003630001</v>
      </c>
      <c r="C193" s="407" t="s">
        <v>1519</v>
      </c>
      <c r="D193" s="401">
        <f>'SGTO POAI 2023 MARZO'!BF300</f>
        <v>130000000</v>
      </c>
      <c r="E193" s="401">
        <f>'SGTO POAI 2023 MARZO'!BG300</f>
        <v>0</v>
      </c>
      <c r="F193" s="381"/>
      <c r="G193" s="415">
        <f>'SGTO POAI 2023 MARZO'!BH300</f>
        <v>0</v>
      </c>
      <c r="H193" s="381"/>
    </row>
    <row r="194" spans="1:11" ht="28.5" customHeight="1">
      <c r="A194" s="428">
        <v>4</v>
      </c>
      <c r="B194" s="545" t="s">
        <v>1462</v>
      </c>
      <c r="C194" s="545"/>
      <c r="D194" s="429">
        <f>SUM(D195:D195)</f>
        <v>386000000</v>
      </c>
      <c r="E194" s="429">
        <f t="shared" ref="E194:G194" si="57">SUM(E195:E195)</f>
        <v>63015000</v>
      </c>
      <c r="F194" s="381">
        <f t="shared" si="41"/>
        <v>0.16325129533678756</v>
      </c>
      <c r="G194" s="430">
        <f t="shared" si="57"/>
        <v>18192000</v>
      </c>
      <c r="H194" s="381">
        <f t="shared" si="42"/>
        <v>4.7129533678756476E-2</v>
      </c>
    </row>
    <row r="195" spans="1:11" ht="66" customHeight="1" thickBot="1">
      <c r="A195" s="425">
        <f>A193+1</f>
        <v>150</v>
      </c>
      <c r="B195" s="421">
        <v>2022003630006</v>
      </c>
      <c r="C195" s="453" t="s">
        <v>1255</v>
      </c>
      <c r="D195" s="446">
        <f>'SGTO POAI 2023 MARZO'!BF301</f>
        <v>386000000</v>
      </c>
      <c r="E195" s="413">
        <f>'SGTO POAI 2023 MARZO'!BG301</f>
        <v>63015000</v>
      </c>
      <c r="F195" s="414">
        <f t="shared" si="41"/>
        <v>0.16325129533678756</v>
      </c>
      <c r="G195" s="415">
        <f>'SGTO POAI 2023 MARZO'!BH301</f>
        <v>18192000</v>
      </c>
      <c r="H195" s="414">
        <f t="shared" si="42"/>
        <v>4.7129533678756476E-2</v>
      </c>
    </row>
    <row r="196" spans="1:11" ht="30" customHeight="1" thickBot="1">
      <c r="A196" s="551" t="s">
        <v>1408</v>
      </c>
      <c r="B196" s="552"/>
      <c r="C196" s="553"/>
      <c r="D196" s="417">
        <f>SUM(D198)</f>
        <v>118932650</v>
      </c>
      <c r="E196" s="417">
        <f t="shared" ref="E196:G196" si="58">SUM(E198)</f>
        <v>61000000</v>
      </c>
      <c r="F196" s="390">
        <f t="shared" si="41"/>
        <v>0.51289532352974565</v>
      </c>
      <c r="G196" s="418">
        <f t="shared" si="58"/>
        <v>25750000</v>
      </c>
      <c r="H196" s="390">
        <f t="shared" si="42"/>
        <v>0.21650909149001557</v>
      </c>
    </row>
    <row r="197" spans="1:11" ht="30" customHeight="1">
      <c r="A197" s="392">
        <v>3</v>
      </c>
      <c r="B197" s="555" t="s">
        <v>211</v>
      </c>
      <c r="C197" s="555"/>
      <c r="D197" s="394">
        <f>D198</f>
        <v>118932650</v>
      </c>
      <c r="E197" s="394">
        <f t="shared" ref="E197:G197" si="59">E198</f>
        <v>61000000</v>
      </c>
      <c r="F197" s="395">
        <f t="shared" ref="F197:F198" si="60">E197/D197</f>
        <v>0.51289532352974565</v>
      </c>
      <c r="G197" s="396">
        <f t="shared" si="59"/>
        <v>25750000</v>
      </c>
      <c r="H197" s="395">
        <f t="shared" ref="H197:H199" si="61">G197/D197</f>
        <v>0.21650909149001557</v>
      </c>
    </row>
    <row r="198" spans="1:11" ht="66" customHeight="1" thickBot="1">
      <c r="A198" s="449">
        <f>A195+1</f>
        <v>151</v>
      </c>
      <c r="B198" s="450">
        <v>2020003630149</v>
      </c>
      <c r="C198" s="454" t="s">
        <v>1264</v>
      </c>
      <c r="D198" s="455">
        <f>SUM('SGTO POAI 2023 MARZO'!BF302:BF305)</f>
        <v>118932650</v>
      </c>
      <c r="E198" s="456">
        <f>SUM('SGTO POAI 2023 MARZO'!BG302:BG305)</f>
        <v>61000000</v>
      </c>
      <c r="F198" s="414">
        <f t="shared" si="60"/>
        <v>0.51289532352974565</v>
      </c>
      <c r="G198" s="415">
        <f>SUM('SGTO POAI 2023 MARZO'!BH302:BH305)</f>
        <v>25750000</v>
      </c>
      <c r="H198" s="414">
        <f t="shared" si="61"/>
        <v>0.21650909149001557</v>
      </c>
    </row>
    <row r="199" spans="1:11" ht="30" customHeight="1" thickBot="1">
      <c r="A199" s="558" t="s">
        <v>1409</v>
      </c>
      <c r="B199" s="559"/>
      <c r="C199" s="560"/>
      <c r="D199" s="457">
        <f>SUM(D3,D9,D18,D22,D47,D63,D69,D77,D99,D105,D117,D146,D171,D181,D186,D196)</f>
        <v>419927151314.08997</v>
      </c>
      <c r="E199" s="458">
        <f t="shared" ref="E199:G199" si="62">SUM(E3,E9,E18,E22,E47,E63,E69,E77,E99,E105,E117,E146,E171,E181,E186,E196)</f>
        <v>120183438781.91</v>
      </c>
      <c r="F199" s="382">
        <f>E199/D199</f>
        <v>0.28620068601379206</v>
      </c>
      <c r="G199" s="459">
        <f t="shared" si="62"/>
        <v>54042430962.400002</v>
      </c>
      <c r="H199" s="390">
        <f t="shared" si="61"/>
        <v>0.12869477668515475</v>
      </c>
    </row>
    <row r="201" spans="1:11">
      <c r="C201" s="461"/>
      <c r="D201" s="462"/>
      <c r="E201" s="462"/>
      <c r="F201" s="462"/>
      <c r="G201" s="462"/>
    </row>
    <row r="202" spans="1:11">
      <c r="C202" s="461"/>
      <c r="D202" s="462"/>
      <c r="E202" s="462"/>
      <c r="F202" s="462"/>
      <c r="G202" s="462"/>
    </row>
    <row r="203" spans="1:11">
      <c r="C203" s="461"/>
      <c r="D203" s="462"/>
      <c r="E203" s="462"/>
      <c r="F203" s="462"/>
      <c r="G203" s="462"/>
    </row>
    <row r="204" spans="1:11">
      <c r="C204" s="461"/>
      <c r="D204" s="462"/>
      <c r="E204" s="462"/>
      <c r="F204" s="462"/>
      <c r="G204" s="462"/>
    </row>
    <row r="205" spans="1:11" ht="15.75">
      <c r="B205" s="463"/>
      <c r="C205" s="464" t="s">
        <v>1410</v>
      </c>
      <c r="D205" s="465"/>
      <c r="E205" s="465"/>
      <c r="F205" s="465"/>
      <c r="G205" s="465"/>
    </row>
    <row r="206" spans="1:11" ht="12.75" customHeight="1">
      <c r="B206" s="554" t="s">
        <v>1411</v>
      </c>
      <c r="C206" s="554"/>
      <c r="D206" s="554"/>
      <c r="K206" s="466"/>
    </row>
    <row r="207" spans="1:11" ht="15.75">
      <c r="D207" s="467"/>
      <c r="E207" s="467"/>
      <c r="F207" s="467"/>
      <c r="G207" s="467"/>
    </row>
    <row r="208" spans="1:11" ht="12.75" customHeight="1">
      <c r="B208" s="554"/>
      <c r="C208" s="554"/>
      <c r="D208" s="554"/>
    </row>
    <row r="209" spans="2:5" ht="22.5" customHeight="1">
      <c r="B209" s="561"/>
      <c r="C209" s="557"/>
      <c r="D209" s="557"/>
    </row>
    <row r="210" spans="2:5" ht="24.75" customHeight="1">
      <c r="B210" s="561"/>
      <c r="C210" s="557"/>
      <c r="D210" s="557"/>
    </row>
    <row r="211" spans="2:5" ht="21.75" customHeight="1">
      <c r="B211" s="556"/>
      <c r="C211" s="557"/>
      <c r="D211" s="557"/>
    </row>
    <row r="212" spans="2:5" ht="15.75" thickBot="1"/>
    <row r="213" spans="2:5" ht="15.75">
      <c r="D213" s="518" t="s">
        <v>1508</v>
      </c>
      <c r="E213" s="519"/>
    </row>
    <row r="214" spans="2:5">
      <c r="D214" s="520" t="s">
        <v>1500</v>
      </c>
      <c r="E214" s="521"/>
    </row>
    <row r="215" spans="2:5">
      <c r="D215" s="522" t="s">
        <v>1502</v>
      </c>
      <c r="E215" s="523"/>
    </row>
    <row r="216" spans="2:5">
      <c r="D216" s="503" t="s">
        <v>1504</v>
      </c>
      <c r="E216" s="504"/>
    </row>
    <row r="217" spans="2:5">
      <c r="D217" s="505" t="s">
        <v>1506</v>
      </c>
      <c r="E217" s="506"/>
    </row>
    <row r="218" spans="2:5">
      <c r="D218" s="507" t="s">
        <v>1507</v>
      </c>
      <c r="E218" s="508"/>
    </row>
  </sheetData>
  <mergeCells count="58">
    <mergeCell ref="A1:H1"/>
    <mergeCell ref="D214:E214"/>
    <mergeCell ref="D215:E215"/>
    <mergeCell ref="D216:E216"/>
    <mergeCell ref="D217:E217"/>
    <mergeCell ref="A186:C186"/>
    <mergeCell ref="A105:C105"/>
    <mergeCell ref="A117:C117"/>
    <mergeCell ref="A146:C146"/>
    <mergeCell ref="A171:C171"/>
    <mergeCell ref="A181:C181"/>
    <mergeCell ref="B137:C137"/>
    <mergeCell ref="B140:C140"/>
    <mergeCell ref="B147:C147"/>
    <mergeCell ref="B172:C172"/>
    <mergeCell ref="B176:C176"/>
    <mergeCell ref="D218:E218"/>
    <mergeCell ref="B190:C190"/>
    <mergeCell ref="B194:C194"/>
    <mergeCell ref="B197:C197"/>
    <mergeCell ref="B211:D211"/>
    <mergeCell ref="D213:E213"/>
    <mergeCell ref="A196:C196"/>
    <mergeCell ref="A199:C199"/>
    <mergeCell ref="B209:D209"/>
    <mergeCell ref="B210:D210"/>
    <mergeCell ref="B179:C179"/>
    <mergeCell ref="B182:C182"/>
    <mergeCell ref="B187:C187"/>
    <mergeCell ref="B206:D206"/>
    <mergeCell ref="B208:D208"/>
    <mergeCell ref="A3:C3"/>
    <mergeCell ref="A9:C9"/>
    <mergeCell ref="A18:C18"/>
    <mergeCell ref="A22:C22"/>
    <mergeCell ref="B4:C4"/>
    <mergeCell ref="B10:C10"/>
    <mergeCell ref="B19:C19"/>
    <mergeCell ref="B23:C23"/>
    <mergeCell ref="B31:C31"/>
    <mergeCell ref="B34:C34"/>
    <mergeCell ref="B43:C43"/>
    <mergeCell ref="A47:C47"/>
    <mergeCell ref="B100:C100"/>
    <mergeCell ref="B115:C115"/>
    <mergeCell ref="B106:C106"/>
    <mergeCell ref="B118:C118"/>
    <mergeCell ref="B48:C48"/>
    <mergeCell ref="B57:C57"/>
    <mergeCell ref="B60:C60"/>
    <mergeCell ref="B64:C64"/>
    <mergeCell ref="B70:C70"/>
    <mergeCell ref="A63:C63"/>
    <mergeCell ref="A69:C69"/>
    <mergeCell ref="A77:C77"/>
    <mergeCell ref="A99:C99"/>
    <mergeCell ref="B78:C78"/>
    <mergeCell ref="B91:C91"/>
  </mergeCells>
  <conditionalFormatting sqref="F3:F199">
    <cfRule type="cellIs" dxfId="59" priority="11" operator="between">
      <formula>0</formula>
      <formula>0.3999</formula>
    </cfRule>
    <cfRule type="cellIs" dxfId="58" priority="12" operator="between">
      <formula>0.3955</formula>
      <formula>0.5949</formula>
    </cfRule>
    <cfRule type="cellIs" dxfId="57" priority="13" operator="between">
      <formula>0.595</formula>
      <formula>0.6949</formula>
    </cfRule>
    <cfRule type="cellIs" dxfId="56" priority="14" operator="between">
      <formula>0.695</formula>
      <formula>0.7949</formula>
    </cfRule>
    <cfRule type="cellIs" dxfId="55" priority="15" operator="between">
      <formula>0.795</formula>
      <formula>1</formula>
    </cfRule>
  </conditionalFormatting>
  <conditionalFormatting sqref="H3">
    <cfRule type="cellIs" dxfId="54" priority="6" operator="between">
      <formula>0</formula>
      <formula>0.3999</formula>
    </cfRule>
    <cfRule type="cellIs" dxfId="53" priority="7" operator="between">
      <formula>0.3955</formula>
      <formula>0.5949</formula>
    </cfRule>
    <cfRule type="cellIs" dxfId="52" priority="8" operator="between">
      <formula>0.595</formula>
      <formula>0.6949</formula>
    </cfRule>
    <cfRule type="cellIs" dxfId="51" priority="9" operator="between">
      <formula>0.695</formula>
      <formula>0.7949</formula>
    </cfRule>
    <cfRule type="cellIs" dxfId="50" priority="10" operator="between">
      <formula>0.795</formula>
      <formula>1</formula>
    </cfRule>
  </conditionalFormatting>
  <conditionalFormatting sqref="H4:H199">
    <cfRule type="cellIs" dxfId="49" priority="1" operator="between">
      <formula>0</formula>
      <formula>0.3999</formula>
    </cfRule>
    <cfRule type="cellIs" dxfId="48" priority="2" operator="between">
      <formula>0.3955</formula>
      <formula>0.5949</formula>
    </cfRule>
    <cfRule type="cellIs" dxfId="47" priority="3" operator="between">
      <formula>0.595</formula>
      <formula>0.6949</formula>
    </cfRule>
    <cfRule type="cellIs" dxfId="46" priority="4" operator="between">
      <formula>0.695</formula>
      <formula>0.7949</formula>
    </cfRule>
    <cfRule type="cellIs" dxfId="45" priority="5" operator="between">
      <formula>0.795</formula>
      <formula>1</formula>
    </cfRule>
  </conditionalFormatting>
  <pageMargins left="0.7" right="0.7" top="0.75" bottom="0.75" header="0.3" footer="0.3"/>
  <pageSetup orientation="portrait"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P78"/>
  <sheetViews>
    <sheetView showGridLines="0" topLeftCell="L2" zoomScaleNormal="100" workbookViewId="0">
      <selection activeCell="M25" sqref="M25"/>
    </sheetView>
  </sheetViews>
  <sheetFormatPr baseColWidth="10" defaultRowHeight="12.75"/>
  <cols>
    <col min="1" max="1" width="32.140625" style="196" customWidth="1"/>
    <col min="2" max="2" width="21.85546875" style="193" customWidth="1"/>
    <col min="3" max="3" width="10.140625" style="193" customWidth="1"/>
    <col min="4" max="4" width="22.140625" style="193" customWidth="1"/>
    <col min="5" max="5" width="14" style="193" customWidth="1"/>
    <col min="6" max="6" width="21.28515625" style="193" customWidth="1"/>
    <col min="7" max="7" width="12.5703125" style="193" customWidth="1"/>
    <col min="8" max="8" width="21.42578125" style="193" customWidth="1"/>
    <col min="9" max="9" width="15.7109375" style="193" customWidth="1"/>
    <col min="10" max="10" width="22.85546875" style="193" customWidth="1"/>
    <col min="11" max="11" width="11.7109375" style="193" customWidth="1"/>
    <col min="12" max="12" width="23.140625" style="193" customWidth="1"/>
    <col min="13" max="13" width="13.5703125" style="168" customWidth="1"/>
    <col min="14" max="255" width="11.42578125" style="168"/>
    <col min="256" max="256" width="13.28515625" style="168" customWidth="1"/>
    <col min="257" max="257" width="32.140625" style="168" customWidth="1"/>
    <col min="258" max="258" width="20.7109375" style="168" customWidth="1"/>
    <col min="259" max="259" width="10.42578125" style="168" customWidth="1"/>
    <col min="260" max="260" width="18.5703125" style="168" customWidth="1"/>
    <col min="261" max="261" width="11.7109375" style="168" customWidth="1"/>
    <col min="262" max="262" width="19.28515625" style="168" customWidth="1"/>
    <col min="263" max="263" width="10.28515625" style="168" customWidth="1"/>
    <col min="264" max="264" width="19.42578125" style="168" customWidth="1"/>
    <col min="265" max="265" width="10.28515625" style="168" customWidth="1"/>
    <col min="266" max="266" width="19.5703125" style="168" customWidth="1"/>
    <col min="267" max="267" width="10.42578125" style="168" customWidth="1"/>
    <col min="268" max="268" width="21.140625" style="168" customWidth="1"/>
    <col min="269" max="269" width="11.7109375" style="168" customWidth="1"/>
    <col min="270" max="511" width="11.42578125" style="168"/>
    <col min="512" max="512" width="13.28515625" style="168" customWidth="1"/>
    <col min="513" max="513" width="32.140625" style="168" customWidth="1"/>
    <col min="514" max="514" width="20.7109375" style="168" customWidth="1"/>
    <col min="515" max="515" width="10.42578125" style="168" customWidth="1"/>
    <col min="516" max="516" width="18.5703125" style="168" customWidth="1"/>
    <col min="517" max="517" width="11.7109375" style="168" customWidth="1"/>
    <col min="518" max="518" width="19.28515625" style="168" customWidth="1"/>
    <col min="519" max="519" width="10.28515625" style="168" customWidth="1"/>
    <col min="520" max="520" width="19.42578125" style="168" customWidth="1"/>
    <col min="521" max="521" width="10.28515625" style="168" customWidth="1"/>
    <col min="522" max="522" width="19.5703125" style="168" customWidth="1"/>
    <col min="523" max="523" width="10.42578125" style="168" customWidth="1"/>
    <col min="524" max="524" width="21.140625" style="168" customWidth="1"/>
    <col min="525" max="525" width="11.7109375" style="168" customWidth="1"/>
    <col min="526" max="767" width="11.42578125" style="168"/>
    <col min="768" max="768" width="13.28515625" style="168" customWidth="1"/>
    <col min="769" max="769" width="32.140625" style="168" customWidth="1"/>
    <col min="770" max="770" width="20.7109375" style="168" customWidth="1"/>
    <col min="771" max="771" width="10.42578125" style="168" customWidth="1"/>
    <col min="772" max="772" width="18.5703125" style="168" customWidth="1"/>
    <col min="773" max="773" width="11.7109375" style="168" customWidth="1"/>
    <col min="774" max="774" width="19.28515625" style="168" customWidth="1"/>
    <col min="775" max="775" width="10.28515625" style="168" customWidth="1"/>
    <col min="776" max="776" width="19.42578125" style="168" customWidth="1"/>
    <col min="777" max="777" width="10.28515625" style="168" customWidth="1"/>
    <col min="778" max="778" width="19.5703125" style="168" customWidth="1"/>
    <col min="779" max="779" width="10.42578125" style="168" customWidth="1"/>
    <col min="780" max="780" width="21.140625" style="168" customWidth="1"/>
    <col min="781" max="781" width="11.7109375" style="168" customWidth="1"/>
    <col min="782" max="1023" width="11.42578125" style="168"/>
    <col min="1024" max="1024" width="13.28515625" style="168" customWidth="1"/>
    <col min="1025" max="1025" width="32.140625" style="168" customWidth="1"/>
    <col min="1026" max="1026" width="20.7109375" style="168" customWidth="1"/>
    <col min="1027" max="1027" width="10.42578125" style="168" customWidth="1"/>
    <col min="1028" max="1028" width="18.5703125" style="168" customWidth="1"/>
    <col min="1029" max="1029" width="11.7109375" style="168" customWidth="1"/>
    <col min="1030" max="1030" width="19.28515625" style="168" customWidth="1"/>
    <col min="1031" max="1031" width="10.28515625" style="168" customWidth="1"/>
    <col min="1032" max="1032" width="19.42578125" style="168" customWidth="1"/>
    <col min="1033" max="1033" width="10.28515625" style="168" customWidth="1"/>
    <col min="1034" max="1034" width="19.5703125" style="168" customWidth="1"/>
    <col min="1035" max="1035" width="10.42578125" style="168" customWidth="1"/>
    <col min="1036" max="1036" width="21.140625" style="168" customWidth="1"/>
    <col min="1037" max="1037" width="11.7109375" style="168" customWidth="1"/>
    <col min="1038" max="1279" width="11.42578125" style="168"/>
    <col min="1280" max="1280" width="13.28515625" style="168" customWidth="1"/>
    <col min="1281" max="1281" width="32.140625" style="168" customWidth="1"/>
    <col min="1282" max="1282" width="20.7109375" style="168" customWidth="1"/>
    <col min="1283" max="1283" width="10.42578125" style="168" customWidth="1"/>
    <col min="1284" max="1284" width="18.5703125" style="168" customWidth="1"/>
    <col min="1285" max="1285" width="11.7109375" style="168" customWidth="1"/>
    <col min="1286" max="1286" width="19.28515625" style="168" customWidth="1"/>
    <col min="1287" max="1287" width="10.28515625" style="168" customWidth="1"/>
    <col min="1288" max="1288" width="19.42578125" style="168" customWidth="1"/>
    <col min="1289" max="1289" width="10.28515625" style="168" customWidth="1"/>
    <col min="1290" max="1290" width="19.5703125" style="168" customWidth="1"/>
    <col min="1291" max="1291" width="10.42578125" style="168" customWidth="1"/>
    <col min="1292" max="1292" width="21.140625" style="168" customWidth="1"/>
    <col min="1293" max="1293" width="11.7109375" style="168" customWidth="1"/>
    <col min="1294" max="1535" width="11.42578125" style="168"/>
    <col min="1536" max="1536" width="13.28515625" style="168" customWidth="1"/>
    <col min="1537" max="1537" width="32.140625" style="168" customWidth="1"/>
    <col min="1538" max="1538" width="20.7109375" style="168" customWidth="1"/>
    <col min="1539" max="1539" width="10.42578125" style="168" customWidth="1"/>
    <col min="1540" max="1540" width="18.5703125" style="168" customWidth="1"/>
    <col min="1541" max="1541" width="11.7109375" style="168" customWidth="1"/>
    <col min="1542" max="1542" width="19.28515625" style="168" customWidth="1"/>
    <col min="1543" max="1543" width="10.28515625" style="168" customWidth="1"/>
    <col min="1544" max="1544" width="19.42578125" style="168" customWidth="1"/>
    <col min="1545" max="1545" width="10.28515625" style="168" customWidth="1"/>
    <col min="1546" max="1546" width="19.5703125" style="168" customWidth="1"/>
    <col min="1547" max="1547" width="10.42578125" style="168" customWidth="1"/>
    <col min="1548" max="1548" width="21.140625" style="168" customWidth="1"/>
    <col min="1549" max="1549" width="11.7109375" style="168" customWidth="1"/>
    <col min="1550" max="1791" width="11.42578125" style="168"/>
    <col min="1792" max="1792" width="13.28515625" style="168" customWidth="1"/>
    <col min="1793" max="1793" width="32.140625" style="168" customWidth="1"/>
    <col min="1794" max="1794" width="20.7109375" style="168" customWidth="1"/>
    <col min="1795" max="1795" width="10.42578125" style="168" customWidth="1"/>
    <col min="1796" max="1796" width="18.5703125" style="168" customWidth="1"/>
    <col min="1797" max="1797" width="11.7109375" style="168" customWidth="1"/>
    <col min="1798" max="1798" width="19.28515625" style="168" customWidth="1"/>
    <col min="1799" max="1799" width="10.28515625" style="168" customWidth="1"/>
    <col min="1800" max="1800" width="19.42578125" style="168" customWidth="1"/>
    <col min="1801" max="1801" width="10.28515625" style="168" customWidth="1"/>
    <col min="1802" max="1802" width="19.5703125" style="168" customWidth="1"/>
    <col min="1803" max="1803" width="10.42578125" style="168" customWidth="1"/>
    <col min="1804" max="1804" width="21.140625" style="168" customWidth="1"/>
    <col min="1805" max="1805" width="11.7109375" style="168" customWidth="1"/>
    <col min="1806" max="2047" width="11.42578125" style="168"/>
    <col min="2048" max="2048" width="13.28515625" style="168" customWidth="1"/>
    <col min="2049" max="2049" width="32.140625" style="168" customWidth="1"/>
    <col min="2050" max="2050" width="20.7109375" style="168" customWidth="1"/>
    <col min="2051" max="2051" width="10.42578125" style="168" customWidth="1"/>
    <col min="2052" max="2052" width="18.5703125" style="168" customWidth="1"/>
    <col min="2053" max="2053" width="11.7109375" style="168" customWidth="1"/>
    <col min="2054" max="2054" width="19.28515625" style="168" customWidth="1"/>
    <col min="2055" max="2055" width="10.28515625" style="168" customWidth="1"/>
    <col min="2056" max="2056" width="19.42578125" style="168" customWidth="1"/>
    <col min="2057" max="2057" width="10.28515625" style="168" customWidth="1"/>
    <col min="2058" max="2058" width="19.5703125" style="168" customWidth="1"/>
    <col min="2059" max="2059" width="10.42578125" style="168" customWidth="1"/>
    <col min="2060" max="2060" width="21.140625" style="168" customWidth="1"/>
    <col min="2061" max="2061" width="11.7109375" style="168" customWidth="1"/>
    <col min="2062" max="2303" width="11.42578125" style="168"/>
    <col min="2304" max="2304" width="13.28515625" style="168" customWidth="1"/>
    <col min="2305" max="2305" width="32.140625" style="168" customWidth="1"/>
    <col min="2306" max="2306" width="20.7109375" style="168" customWidth="1"/>
    <col min="2307" max="2307" width="10.42578125" style="168" customWidth="1"/>
    <col min="2308" max="2308" width="18.5703125" style="168" customWidth="1"/>
    <col min="2309" max="2309" width="11.7109375" style="168" customWidth="1"/>
    <col min="2310" max="2310" width="19.28515625" style="168" customWidth="1"/>
    <col min="2311" max="2311" width="10.28515625" style="168" customWidth="1"/>
    <col min="2312" max="2312" width="19.42578125" style="168" customWidth="1"/>
    <col min="2313" max="2313" width="10.28515625" style="168" customWidth="1"/>
    <col min="2314" max="2314" width="19.5703125" style="168" customWidth="1"/>
    <col min="2315" max="2315" width="10.42578125" style="168" customWidth="1"/>
    <col min="2316" max="2316" width="21.140625" style="168" customWidth="1"/>
    <col min="2317" max="2317" width="11.7109375" style="168" customWidth="1"/>
    <col min="2318" max="2559" width="11.42578125" style="168"/>
    <col min="2560" max="2560" width="13.28515625" style="168" customWidth="1"/>
    <col min="2561" max="2561" width="32.140625" style="168" customWidth="1"/>
    <col min="2562" max="2562" width="20.7109375" style="168" customWidth="1"/>
    <col min="2563" max="2563" width="10.42578125" style="168" customWidth="1"/>
    <col min="2564" max="2564" width="18.5703125" style="168" customWidth="1"/>
    <col min="2565" max="2565" width="11.7109375" style="168" customWidth="1"/>
    <col min="2566" max="2566" width="19.28515625" style="168" customWidth="1"/>
    <col min="2567" max="2567" width="10.28515625" style="168" customWidth="1"/>
    <col min="2568" max="2568" width="19.42578125" style="168" customWidth="1"/>
    <col min="2569" max="2569" width="10.28515625" style="168" customWidth="1"/>
    <col min="2570" max="2570" width="19.5703125" style="168" customWidth="1"/>
    <col min="2571" max="2571" width="10.42578125" style="168" customWidth="1"/>
    <col min="2572" max="2572" width="21.140625" style="168" customWidth="1"/>
    <col min="2573" max="2573" width="11.7109375" style="168" customWidth="1"/>
    <col min="2574" max="2815" width="11.42578125" style="168"/>
    <col min="2816" max="2816" width="13.28515625" style="168" customWidth="1"/>
    <col min="2817" max="2817" width="32.140625" style="168" customWidth="1"/>
    <col min="2818" max="2818" width="20.7109375" style="168" customWidth="1"/>
    <col min="2819" max="2819" width="10.42578125" style="168" customWidth="1"/>
    <col min="2820" max="2820" width="18.5703125" style="168" customWidth="1"/>
    <col min="2821" max="2821" width="11.7109375" style="168" customWidth="1"/>
    <col min="2822" max="2822" width="19.28515625" style="168" customWidth="1"/>
    <col min="2823" max="2823" width="10.28515625" style="168" customWidth="1"/>
    <col min="2824" max="2824" width="19.42578125" style="168" customWidth="1"/>
    <col min="2825" max="2825" width="10.28515625" style="168" customWidth="1"/>
    <col min="2826" max="2826" width="19.5703125" style="168" customWidth="1"/>
    <col min="2827" max="2827" width="10.42578125" style="168" customWidth="1"/>
    <col min="2828" max="2828" width="21.140625" style="168" customWidth="1"/>
    <col min="2829" max="2829" width="11.7109375" style="168" customWidth="1"/>
    <col min="2830" max="3071" width="11.42578125" style="168"/>
    <col min="3072" max="3072" width="13.28515625" style="168" customWidth="1"/>
    <col min="3073" max="3073" width="32.140625" style="168" customWidth="1"/>
    <col min="3074" max="3074" width="20.7109375" style="168" customWidth="1"/>
    <col min="3075" max="3075" width="10.42578125" style="168" customWidth="1"/>
    <col min="3076" max="3076" width="18.5703125" style="168" customWidth="1"/>
    <col min="3077" max="3077" width="11.7109375" style="168" customWidth="1"/>
    <col min="3078" max="3078" width="19.28515625" style="168" customWidth="1"/>
    <col min="3079" max="3079" width="10.28515625" style="168" customWidth="1"/>
    <col min="3080" max="3080" width="19.42578125" style="168" customWidth="1"/>
    <col min="3081" max="3081" width="10.28515625" style="168" customWidth="1"/>
    <col min="3082" max="3082" width="19.5703125" style="168" customWidth="1"/>
    <col min="3083" max="3083" width="10.42578125" style="168" customWidth="1"/>
    <col min="3084" max="3084" width="21.140625" style="168" customWidth="1"/>
    <col min="3085" max="3085" width="11.7109375" style="168" customWidth="1"/>
    <col min="3086" max="3327" width="11.42578125" style="168"/>
    <col min="3328" max="3328" width="13.28515625" style="168" customWidth="1"/>
    <col min="3329" max="3329" width="32.140625" style="168" customWidth="1"/>
    <col min="3330" max="3330" width="20.7109375" style="168" customWidth="1"/>
    <col min="3331" max="3331" width="10.42578125" style="168" customWidth="1"/>
    <col min="3332" max="3332" width="18.5703125" style="168" customWidth="1"/>
    <col min="3333" max="3333" width="11.7109375" style="168" customWidth="1"/>
    <col min="3334" max="3334" width="19.28515625" style="168" customWidth="1"/>
    <col min="3335" max="3335" width="10.28515625" style="168" customWidth="1"/>
    <col min="3336" max="3336" width="19.42578125" style="168" customWidth="1"/>
    <col min="3337" max="3337" width="10.28515625" style="168" customWidth="1"/>
    <col min="3338" max="3338" width="19.5703125" style="168" customWidth="1"/>
    <col min="3339" max="3339" width="10.42578125" style="168" customWidth="1"/>
    <col min="3340" max="3340" width="21.140625" style="168" customWidth="1"/>
    <col min="3341" max="3341" width="11.7109375" style="168" customWidth="1"/>
    <col min="3342" max="3583" width="11.42578125" style="168"/>
    <col min="3584" max="3584" width="13.28515625" style="168" customWidth="1"/>
    <col min="3585" max="3585" width="32.140625" style="168" customWidth="1"/>
    <col min="3586" max="3586" width="20.7109375" style="168" customWidth="1"/>
    <col min="3587" max="3587" width="10.42578125" style="168" customWidth="1"/>
    <col min="3588" max="3588" width="18.5703125" style="168" customWidth="1"/>
    <col min="3589" max="3589" width="11.7109375" style="168" customWidth="1"/>
    <col min="3590" max="3590" width="19.28515625" style="168" customWidth="1"/>
    <col min="3591" max="3591" width="10.28515625" style="168" customWidth="1"/>
    <col min="3592" max="3592" width="19.42578125" style="168" customWidth="1"/>
    <col min="3593" max="3593" width="10.28515625" style="168" customWidth="1"/>
    <col min="3594" max="3594" width="19.5703125" style="168" customWidth="1"/>
    <col min="3595" max="3595" width="10.42578125" style="168" customWidth="1"/>
    <col min="3596" max="3596" width="21.140625" style="168" customWidth="1"/>
    <col min="3597" max="3597" width="11.7109375" style="168" customWidth="1"/>
    <col min="3598" max="3839" width="11.42578125" style="168"/>
    <col min="3840" max="3840" width="13.28515625" style="168" customWidth="1"/>
    <col min="3841" max="3841" width="32.140625" style="168" customWidth="1"/>
    <col min="3842" max="3842" width="20.7109375" style="168" customWidth="1"/>
    <col min="3843" max="3843" width="10.42578125" style="168" customWidth="1"/>
    <col min="3844" max="3844" width="18.5703125" style="168" customWidth="1"/>
    <col min="3845" max="3845" width="11.7109375" style="168" customWidth="1"/>
    <col min="3846" max="3846" width="19.28515625" style="168" customWidth="1"/>
    <col min="3847" max="3847" width="10.28515625" style="168" customWidth="1"/>
    <col min="3848" max="3848" width="19.42578125" style="168" customWidth="1"/>
    <col min="3849" max="3849" width="10.28515625" style="168" customWidth="1"/>
    <col min="3850" max="3850" width="19.5703125" style="168" customWidth="1"/>
    <col min="3851" max="3851" width="10.42578125" style="168" customWidth="1"/>
    <col min="3852" max="3852" width="21.140625" style="168" customWidth="1"/>
    <col min="3853" max="3853" width="11.7109375" style="168" customWidth="1"/>
    <col min="3854" max="4095" width="11.42578125" style="168"/>
    <col min="4096" max="4096" width="13.28515625" style="168" customWidth="1"/>
    <col min="4097" max="4097" width="32.140625" style="168" customWidth="1"/>
    <col min="4098" max="4098" width="20.7109375" style="168" customWidth="1"/>
    <col min="4099" max="4099" width="10.42578125" style="168" customWidth="1"/>
    <col min="4100" max="4100" width="18.5703125" style="168" customWidth="1"/>
    <col min="4101" max="4101" width="11.7109375" style="168" customWidth="1"/>
    <col min="4102" max="4102" width="19.28515625" style="168" customWidth="1"/>
    <col min="4103" max="4103" width="10.28515625" style="168" customWidth="1"/>
    <col min="4104" max="4104" width="19.42578125" style="168" customWidth="1"/>
    <col min="4105" max="4105" width="10.28515625" style="168" customWidth="1"/>
    <col min="4106" max="4106" width="19.5703125" style="168" customWidth="1"/>
    <col min="4107" max="4107" width="10.42578125" style="168" customWidth="1"/>
    <col min="4108" max="4108" width="21.140625" style="168" customWidth="1"/>
    <col min="4109" max="4109" width="11.7109375" style="168" customWidth="1"/>
    <col min="4110" max="4351" width="11.42578125" style="168"/>
    <col min="4352" max="4352" width="13.28515625" style="168" customWidth="1"/>
    <col min="4353" max="4353" width="32.140625" style="168" customWidth="1"/>
    <col min="4354" max="4354" width="20.7109375" style="168" customWidth="1"/>
    <col min="4355" max="4355" width="10.42578125" style="168" customWidth="1"/>
    <col min="4356" max="4356" width="18.5703125" style="168" customWidth="1"/>
    <col min="4357" max="4357" width="11.7109375" style="168" customWidth="1"/>
    <col min="4358" max="4358" width="19.28515625" style="168" customWidth="1"/>
    <col min="4359" max="4359" width="10.28515625" style="168" customWidth="1"/>
    <col min="4360" max="4360" width="19.42578125" style="168" customWidth="1"/>
    <col min="4361" max="4361" width="10.28515625" style="168" customWidth="1"/>
    <col min="4362" max="4362" width="19.5703125" style="168" customWidth="1"/>
    <col min="4363" max="4363" width="10.42578125" style="168" customWidth="1"/>
    <col min="4364" max="4364" width="21.140625" style="168" customWidth="1"/>
    <col min="4365" max="4365" width="11.7109375" style="168" customWidth="1"/>
    <col min="4366" max="4607" width="11.42578125" style="168"/>
    <col min="4608" max="4608" width="13.28515625" style="168" customWidth="1"/>
    <col min="4609" max="4609" width="32.140625" style="168" customWidth="1"/>
    <col min="4610" max="4610" width="20.7109375" style="168" customWidth="1"/>
    <col min="4611" max="4611" width="10.42578125" style="168" customWidth="1"/>
    <col min="4612" max="4612" width="18.5703125" style="168" customWidth="1"/>
    <col min="4613" max="4613" width="11.7109375" style="168" customWidth="1"/>
    <col min="4614" max="4614" width="19.28515625" style="168" customWidth="1"/>
    <col min="4615" max="4615" width="10.28515625" style="168" customWidth="1"/>
    <col min="4616" max="4616" width="19.42578125" style="168" customWidth="1"/>
    <col min="4617" max="4617" width="10.28515625" style="168" customWidth="1"/>
    <col min="4618" max="4618" width="19.5703125" style="168" customWidth="1"/>
    <col min="4619" max="4619" width="10.42578125" style="168" customWidth="1"/>
    <col min="4620" max="4620" width="21.140625" style="168" customWidth="1"/>
    <col min="4621" max="4621" width="11.7109375" style="168" customWidth="1"/>
    <col min="4622" max="4863" width="11.42578125" style="168"/>
    <col min="4864" max="4864" width="13.28515625" style="168" customWidth="1"/>
    <col min="4865" max="4865" width="32.140625" style="168" customWidth="1"/>
    <col min="4866" max="4866" width="20.7109375" style="168" customWidth="1"/>
    <col min="4867" max="4867" width="10.42578125" style="168" customWidth="1"/>
    <col min="4868" max="4868" width="18.5703125" style="168" customWidth="1"/>
    <col min="4869" max="4869" width="11.7109375" style="168" customWidth="1"/>
    <col min="4870" max="4870" width="19.28515625" style="168" customWidth="1"/>
    <col min="4871" max="4871" width="10.28515625" style="168" customWidth="1"/>
    <col min="4872" max="4872" width="19.42578125" style="168" customWidth="1"/>
    <col min="4873" max="4873" width="10.28515625" style="168" customWidth="1"/>
    <col min="4874" max="4874" width="19.5703125" style="168" customWidth="1"/>
    <col min="4875" max="4875" width="10.42578125" style="168" customWidth="1"/>
    <col min="4876" max="4876" width="21.140625" style="168" customWidth="1"/>
    <col min="4877" max="4877" width="11.7109375" style="168" customWidth="1"/>
    <col min="4878" max="5119" width="11.42578125" style="168"/>
    <col min="5120" max="5120" width="13.28515625" style="168" customWidth="1"/>
    <col min="5121" max="5121" width="32.140625" style="168" customWidth="1"/>
    <col min="5122" max="5122" width="20.7109375" style="168" customWidth="1"/>
    <col min="5123" max="5123" width="10.42578125" style="168" customWidth="1"/>
    <col min="5124" max="5124" width="18.5703125" style="168" customWidth="1"/>
    <col min="5125" max="5125" width="11.7109375" style="168" customWidth="1"/>
    <col min="5126" max="5126" width="19.28515625" style="168" customWidth="1"/>
    <col min="5127" max="5127" width="10.28515625" style="168" customWidth="1"/>
    <col min="5128" max="5128" width="19.42578125" style="168" customWidth="1"/>
    <col min="5129" max="5129" width="10.28515625" style="168" customWidth="1"/>
    <col min="5130" max="5130" width="19.5703125" style="168" customWidth="1"/>
    <col min="5131" max="5131" width="10.42578125" style="168" customWidth="1"/>
    <col min="5132" max="5132" width="21.140625" style="168" customWidth="1"/>
    <col min="5133" max="5133" width="11.7109375" style="168" customWidth="1"/>
    <col min="5134" max="5375" width="11.42578125" style="168"/>
    <col min="5376" max="5376" width="13.28515625" style="168" customWidth="1"/>
    <col min="5377" max="5377" width="32.140625" style="168" customWidth="1"/>
    <col min="5378" max="5378" width="20.7109375" style="168" customWidth="1"/>
    <col min="5379" max="5379" width="10.42578125" style="168" customWidth="1"/>
    <col min="5380" max="5380" width="18.5703125" style="168" customWidth="1"/>
    <col min="5381" max="5381" width="11.7109375" style="168" customWidth="1"/>
    <col min="5382" max="5382" width="19.28515625" style="168" customWidth="1"/>
    <col min="5383" max="5383" width="10.28515625" style="168" customWidth="1"/>
    <col min="5384" max="5384" width="19.42578125" style="168" customWidth="1"/>
    <col min="5385" max="5385" width="10.28515625" style="168" customWidth="1"/>
    <col min="5386" max="5386" width="19.5703125" style="168" customWidth="1"/>
    <col min="5387" max="5387" width="10.42578125" style="168" customWidth="1"/>
    <col min="5388" max="5388" width="21.140625" style="168" customWidth="1"/>
    <col min="5389" max="5389" width="11.7109375" style="168" customWidth="1"/>
    <col min="5390" max="5631" width="11.42578125" style="168"/>
    <col min="5632" max="5632" width="13.28515625" style="168" customWidth="1"/>
    <col min="5633" max="5633" width="32.140625" style="168" customWidth="1"/>
    <col min="5634" max="5634" width="20.7109375" style="168" customWidth="1"/>
    <col min="5635" max="5635" width="10.42578125" style="168" customWidth="1"/>
    <col min="5636" max="5636" width="18.5703125" style="168" customWidth="1"/>
    <col min="5637" max="5637" width="11.7109375" style="168" customWidth="1"/>
    <col min="5638" max="5638" width="19.28515625" style="168" customWidth="1"/>
    <col min="5639" max="5639" width="10.28515625" style="168" customWidth="1"/>
    <col min="5640" max="5640" width="19.42578125" style="168" customWidth="1"/>
    <col min="5641" max="5641" width="10.28515625" style="168" customWidth="1"/>
    <col min="5642" max="5642" width="19.5703125" style="168" customWidth="1"/>
    <col min="5643" max="5643" width="10.42578125" style="168" customWidth="1"/>
    <col min="5644" max="5644" width="21.140625" style="168" customWidth="1"/>
    <col min="5645" max="5645" width="11.7109375" style="168" customWidth="1"/>
    <col min="5646" max="5887" width="11.42578125" style="168"/>
    <col min="5888" max="5888" width="13.28515625" style="168" customWidth="1"/>
    <col min="5889" max="5889" width="32.140625" style="168" customWidth="1"/>
    <col min="5890" max="5890" width="20.7109375" style="168" customWidth="1"/>
    <col min="5891" max="5891" width="10.42578125" style="168" customWidth="1"/>
    <col min="5892" max="5892" width="18.5703125" style="168" customWidth="1"/>
    <col min="5893" max="5893" width="11.7109375" style="168" customWidth="1"/>
    <col min="5894" max="5894" width="19.28515625" style="168" customWidth="1"/>
    <col min="5895" max="5895" width="10.28515625" style="168" customWidth="1"/>
    <col min="5896" max="5896" width="19.42578125" style="168" customWidth="1"/>
    <col min="5897" max="5897" width="10.28515625" style="168" customWidth="1"/>
    <col min="5898" max="5898" width="19.5703125" style="168" customWidth="1"/>
    <col min="5899" max="5899" width="10.42578125" style="168" customWidth="1"/>
    <col min="5900" max="5900" width="21.140625" style="168" customWidth="1"/>
    <col min="5901" max="5901" width="11.7109375" style="168" customWidth="1"/>
    <col min="5902" max="6143" width="11.42578125" style="168"/>
    <col min="6144" max="6144" width="13.28515625" style="168" customWidth="1"/>
    <col min="6145" max="6145" width="32.140625" style="168" customWidth="1"/>
    <col min="6146" max="6146" width="20.7109375" style="168" customWidth="1"/>
    <col min="6147" max="6147" width="10.42578125" style="168" customWidth="1"/>
    <col min="6148" max="6148" width="18.5703125" style="168" customWidth="1"/>
    <col min="6149" max="6149" width="11.7109375" style="168" customWidth="1"/>
    <col min="6150" max="6150" width="19.28515625" style="168" customWidth="1"/>
    <col min="6151" max="6151" width="10.28515625" style="168" customWidth="1"/>
    <col min="6152" max="6152" width="19.42578125" style="168" customWidth="1"/>
    <col min="6153" max="6153" width="10.28515625" style="168" customWidth="1"/>
    <col min="6154" max="6154" width="19.5703125" style="168" customWidth="1"/>
    <col min="6155" max="6155" width="10.42578125" style="168" customWidth="1"/>
    <col min="6156" max="6156" width="21.140625" style="168" customWidth="1"/>
    <col min="6157" max="6157" width="11.7109375" style="168" customWidth="1"/>
    <col min="6158" max="6399" width="11.42578125" style="168"/>
    <col min="6400" max="6400" width="13.28515625" style="168" customWidth="1"/>
    <col min="6401" max="6401" width="32.140625" style="168" customWidth="1"/>
    <col min="6402" max="6402" width="20.7109375" style="168" customWidth="1"/>
    <col min="6403" max="6403" width="10.42578125" style="168" customWidth="1"/>
    <col min="6404" max="6404" width="18.5703125" style="168" customWidth="1"/>
    <col min="6405" max="6405" width="11.7109375" style="168" customWidth="1"/>
    <col min="6406" max="6406" width="19.28515625" style="168" customWidth="1"/>
    <col min="6407" max="6407" width="10.28515625" style="168" customWidth="1"/>
    <col min="6408" max="6408" width="19.42578125" style="168" customWidth="1"/>
    <col min="6409" max="6409" width="10.28515625" style="168" customWidth="1"/>
    <col min="6410" max="6410" width="19.5703125" style="168" customWidth="1"/>
    <col min="6411" max="6411" width="10.42578125" style="168" customWidth="1"/>
    <col min="6412" max="6412" width="21.140625" style="168" customWidth="1"/>
    <col min="6413" max="6413" width="11.7109375" style="168" customWidth="1"/>
    <col min="6414" max="6655" width="11.42578125" style="168"/>
    <col min="6656" max="6656" width="13.28515625" style="168" customWidth="1"/>
    <col min="6657" max="6657" width="32.140625" style="168" customWidth="1"/>
    <col min="6658" max="6658" width="20.7109375" style="168" customWidth="1"/>
    <col min="6659" max="6659" width="10.42578125" style="168" customWidth="1"/>
    <col min="6660" max="6660" width="18.5703125" style="168" customWidth="1"/>
    <col min="6661" max="6661" width="11.7109375" style="168" customWidth="1"/>
    <col min="6662" max="6662" width="19.28515625" style="168" customWidth="1"/>
    <col min="6663" max="6663" width="10.28515625" style="168" customWidth="1"/>
    <col min="6664" max="6664" width="19.42578125" style="168" customWidth="1"/>
    <col min="6665" max="6665" width="10.28515625" style="168" customWidth="1"/>
    <col min="6666" max="6666" width="19.5703125" style="168" customWidth="1"/>
    <col min="6667" max="6667" width="10.42578125" style="168" customWidth="1"/>
    <col min="6668" max="6668" width="21.140625" style="168" customWidth="1"/>
    <col min="6669" max="6669" width="11.7109375" style="168" customWidth="1"/>
    <col min="6670" max="6911" width="11.42578125" style="168"/>
    <col min="6912" max="6912" width="13.28515625" style="168" customWidth="1"/>
    <col min="6913" max="6913" width="32.140625" style="168" customWidth="1"/>
    <col min="6914" max="6914" width="20.7109375" style="168" customWidth="1"/>
    <col min="6915" max="6915" width="10.42578125" style="168" customWidth="1"/>
    <col min="6916" max="6916" width="18.5703125" style="168" customWidth="1"/>
    <col min="6917" max="6917" width="11.7109375" style="168" customWidth="1"/>
    <col min="6918" max="6918" width="19.28515625" style="168" customWidth="1"/>
    <col min="6919" max="6919" width="10.28515625" style="168" customWidth="1"/>
    <col min="6920" max="6920" width="19.42578125" style="168" customWidth="1"/>
    <col min="6921" max="6921" width="10.28515625" style="168" customWidth="1"/>
    <col min="6922" max="6922" width="19.5703125" style="168" customWidth="1"/>
    <col min="6923" max="6923" width="10.42578125" style="168" customWidth="1"/>
    <col min="6924" max="6924" width="21.140625" style="168" customWidth="1"/>
    <col min="6925" max="6925" width="11.7109375" style="168" customWidth="1"/>
    <col min="6926" max="7167" width="11.42578125" style="168"/>
    <col min="7168" max="7168" width="13.28515625" style="168" customWidth="1"/>
    <col min="7169" max="7169" width="32.140625" style="168" customWidth="1"/>
    <col min="7170" max="7170" width="20.7109375" style="168" customWidth="1"/>
    <col min="7171" max="7171" width="10.42578125" style="168" customWidth="1"/>
    <col min="7172" max="7172" width="18.5703125" style="168" customWidth="1"/>
    <col min="7173" max="7173" width="11.7109375" style="168" customWidth="1"/>
    <col min="7174" max="7174" width="19.28515625" style="168" customWidth="1"/>
    <col min="7175" max="7175" width="10.28515625" style="168" customWidth="1"/>
    <col min="7176" max="7176" width="19.42578125" style="168" customWidth="1"/>
    <col min="7177" max="7177" width="10.28515625" style="168" customWidth="1"/>
    <col min="7178" max="7178" width="19.5703125" style="168" customWidth="1"/>
    <col min="7179" max="7179" width="10.42578125" style="168" customWidth="1"/>
    <col min="7180" max="7180" width="21.140625" style="168" customWidth="1"/>
    <col min="7181" max="7181" width="11.7109375" style="168" customWidth="1"/>
    <col min="7182" max="7423" width="11.42578125" style="168"/>
    <col min="7424" max="7424" width="13.28515625" style="168" customWidth="1"/>
    <col min="7425" max="7425" width="32.140625" style="168" customWidth="1"/>
    <col min="7426" max="7426" width="20.7109375" style="168" customWidth="1"/>
    <col min="7427" max="7427" width="10.42578125" style="168" customWidth="1"/>
    <col min="7428" max="7428" width="18.5703125" style="168" customWidth="1"/>
    <col min="7429" max="7429" width="11.7109375" style="168" customWidth="1"/>
    <col min="7430" max="7430" width="19.28515625" style="168" customWidth="1"/>
    <col min="7431" max="7431" width="10.28515625" style="168" customWidth="1"/>
    <col min="7432" max="7432" width="19.42578125" style="168" customWidth="1"/>
    <col min="7433" max="7433" width="10.28515625" style="168" customWidth="1"/>
    <col min="7434" max="7434" width="19.5703125" style="168" customWidth="1"/>
    <col min="7435" max="7435" width="10.42578125" style="168" customWidth="1"/>
    <col min="7436" max="7436" width="21.140625" style="168" customWidth="1"/>
    <col min="7437" max="7437" width="11.7109375" style="168" customWidth="1"/>
    <col min="7438" max="7679" width="11.42578125" style="168"/>
    <col min="7680" max="7680" width="13.28515625" style="168" customWidth="1"/>
    <col min="7681" max="7681" width="32.140625" style="168" customWidth="1"/>
    <col min="7682" max="7682" width="20.7109375" style="168" customWidth="1"/>
    <col min="7683" max="7683" width="10.42578125" style="168" customWidth="1"/>
    <col min="7684" max="7684" width="18.5703125" style="168" customWidth="1"/>
    <col min="7685" max="7685" width="11.7109375" style="168" customWidth="1"/>
    <col min="7686" max="7686" width="19.28515625" style="168" customWidth="1"/>
    <col min="7687" max="7687" width="10.28515625" style="168" customWidth="1"/>
    <col min="7688" max="7688" width="19.42578125" style="168" customWidth="1"/>
    <col min="7689" max="7689" width="10.28515625" style="168" customWidth="1"/>
    <col min="7690" max="7690" width="19.5703125" style="168" customWidth="1"/>
    <col min="7691" max="7691" width="10.42578125" style="168" customWidth="1"/>
    <col min="7692" max="7692" width="21.140625" style="168" customWidth="1"/>
    <col min="7693" max="7693" width="11.7109375" style="168" customWidth="1"/>
    <col min="7694" max="7935" width="11.42578125" style="168"/>
    <col min="7936" max="7936" width="13.28515625" style="168" customWidth="1"/>
    <col min="7937" max="7937" width="32.140625" style="168" customWidth="1"/>
    <col min="7938" max="7938" width="20.7109375" style="168" customWidth="1"/>
    <col min="7939" max="7939" width="10.42578125" style="168" customWidth="1"/>
    <col min="7940" max="7940" width="18.5703125" style="168" customWidth="1"/>
    <col min="7941" max="7941" width="11.7109375" style="168" customWidth="1"/>
    <col min="7942" max="7942" width="19.28515625" style="168" customWidth="1"/>
    <col min="7943" max="7943" width="10.28515625" style="168" customWidth="1"/>
    <col min="7944" max="7944" width="19.42578125" style="168" customWidth="1"/>
    <col min="7945" max="7945" width="10.28515625" style="168" customWidth="1"/>
    <col min="7946" max="7946" width="19.5703125" style="168" customWidth="1"/>
    <col min="7947" max="7947" width="10.42578125" style="168" customWidth="1"/>
    <col min="7948" max="7948" width="21.140625" style="168" customWidth="1"/>
    <col min="7949" max="7949" width="11.7109375" style="168" customWidth="1"/>
    <col min="7950" max="8191" width="11.42578125" style="168"/>
    <col min="8192" max="8192" width="13.28515625" style="168" customWidth="1"/>
    <col min="8193" max="8193" width="32.140625" style="168" customWidth="1"/>
    <col min="8194" max="8194" width="20.7109375" style="168" customWidth="1"/>
    <col min="8195" max="8195" width="10.42578125" style="168" customWidth="1"/>
    <col min="8196" max="8196" width="18.5703125" style="168" customWidth="1"/>
    <col min="8197" max="8197" width="11.7109375" style="168" customWidth="1"/>
    <col min="8198" max="8198" width="19.28515625" style="168" customWidth="1"/>
    <col min="8199" max="8199" width="10.28515625" style="168" customWidth="1"/>
    <col min="8200" max="8200" width="19.42578125" style="168" customWidth="1"/>
    <col min="8201" max="8201" width="10.28515625" style="168" customWidth="1"/>
    <col min="8202" max="8202" width="19.5703125" style="168" customWidth="1"/>
    <col min="8203" max="8203" width="10.42578125" style="168" customWidth="1"/>
    <col min="8204" max="8204" width="21.140625" style="168" customWidth="1"/>
    <col min="8205" max="8205" width="11.7109375" style="168" customWidth="1"/>
    <col min="8206" max="8447" width="11.42578125" style="168"/>
    <col min="8448" max="8448" width="13.28515625" style="168" customWidth="1"/>
    <col min="8449" max="8449" width="32.140625" style="168" customWidth="1"/>
    <col min="8450" max="8450" width="20.7109375" style="168" customWidth="1"/>
    <col min="8451" max="8451" width="10.42578125" style="168" customWidth="1"/>
    <col min="8452" max="8452" width="18.5703125" style="168" customWidth="1"/>
    <col min="8453" max="8453" width="11.7109375" style="168" customWidth="1"/>
    <col min="8454" max="8454" width="19.28515625" style="168" customWidth="1"/>
    <col min="8455" max="8455" width="10.28515625" style="168" customWidth="1"/>
    <col min="8456" max="8456" width="19.42578125" style="168" customWidth="1"/>
    <col min="8457" max="8457" width="10.28515625" style="168" customWidth="1"/>
    <col min="8458" max="8458" width="19.5703125" style="168" customWidth="1"/>
    <col min="8459" max="8459" width="10.42578125" style="168" customWidth="1"/>
    <col min="8460" max="8460" width="21.140625" style="168" customWidth="1"/>
    <col min="8461" max="8461" width="11.7109375" style="168" customWidth="1"/>
    <col min="8462" max="8703" width="11.42578125" style="168"/>
    <col min="8704" max="8704" width="13.28515625" style="168" customWidth="1"/>
    <col min="8705" max="8705" width="32.140625" style="168" customWidth="1"/>
    <col min="8706" max="8706" width="20.7109375" style="168" customWidth="1"/>
    <col min="8707" max="8707" width="10.42578125" style="168" customWidth="1"/>
    <col min="8708" max="8708" width="18.5703125" style="168" customWidth="1"/>
    <col min="8709" max="8709" width="11.7109375" style="168" customWidth="1"/>
    <col min="8710" max="8710" width="19.28515625" style="168" customWidth="1"/>
    <col min="8711" max="8711" width="10.28515625" style="168" customWidth="1"/>
    <col min="8712" max="8712" width="19.42578125" style="168" customWidth="1"/>
    <col min="8713" max="8713" width="10.28515625" style="168" customWidth="1"/>
    <col min="8714" max="8714" width="19.5703125" style="168" customWidth="1"/>
    <col min="8715" max="8715" width="10.42578125" style="168" customWidth="1"/>
    <col min="8716" max="8716" width="21.140625" style="168" customWidth="1"/>
    <col min="8717" max="8717" width="11.7109375" style="168" customWidth="1"/>
    <col min="8718" max="8959" width="11.42578125" style="168"/>
    <col min="8960" max="8960" width="13.28515625" style="168" customWidth="1"/>
    <col min="8961" max="8961" width="32.140625" style="168" customWidth="1"/>
    <col min="8962" max="8962" width="20.7109375" style="168" customWidth="1"/>
    <col min="8963" max="8963" width="10.42578125" style="168" customWidth="1"/>
    <col min="8964" max="8964" width="18.5703125" style="168" customWidth="1"/>
    <col min="8965" max="8965" width="11.7109375" style="168" customWidth="1"/>
    <col min="8966" max="8966" width="19.28515625" style="168" customWidth="1"/>
    <col min="8967" max="8967" width="10.28515625" style="168" customWidth="1"/>
    <col min="8968" max="8968" width="19.42578125" style="168" customWidth="1"/>
    <col min="8969" max="8969" width="10.28515625" style="168" customWidth="1"/>
    <col min="8970" max="8970" width="19.5703125" style="168" customWidth="1"/>
    <col min="8971" max="8971" width="10.42578125" style="168" customWidth="1"/>
    <col min="8972" max="8972" width="21.140625" style="168" customWidth="1"/>
    <col min="8973" max="8973" width="11.7109375" style="168" customWidth="1"/>
    <col min="8974" max="9215" width="11.42578125" style="168"/>
    <col min="9216" max="9216" width="13.28515625" style="168" customWidth="1"/>
    <col min="9217" max="9217" width="32.140625" style="168" customWidth="1"/>
    <col min="9218" max="9218" width="20.7109375" style="168" customWidth="1"/>
    <col min="9219" max="9219" width="10.42578125" style="168" customWidth="1"/>
    <col min="9220" max="9220" width="18.5703125" style="168" customWidth="1"/>
    <col min="9221" max="9221" width="11.7109375" style="168" customWidth="1"/>
    <col min="9222" max="9222" width="19.28515625" style="168" customWidth="1"/>
    <col min="9223" max="9223" width="10.28515625" style="168" customWidth="1"/>
    <col min="9224" max="9224" width="19.42578125" style="168" customWidth="1"/>
    <col min="9225" max="9225" width="10.28515625" style="168" customWidth="1"/>
    <col min="9226" max="9226" width="19.5703125" style="168" customWidth="1"/>
    <col min="9227" max="9227" width="10.42578125" style="168" customWidth="1"/>
    <col min="9228" max="9228" width="21.140625" style="168" customWidth="1"/>
    <col min="9229" max="9229" width="11.7109375" style="168" customWidth="1"/>
    <col min="9230" max="9471" width="11.42578125" style="168"/>
    <col min="9472" max="9472" width="13.28515625" style="168" customWidth="1"/>
    <col min="9473" max="9473" width="32.140625" style="168" customWidth="1"/>
    <col min="9474" max="9474" width="20.7109375" style="168" customWidth="1"/>
    <col min="9475" max="9475" width="10.42578125" style="168" customWidth="1"/>
    <col min="9476" max="9476" width="18.5703125" style="168" customWidth="1"/>
    <col min="9477" max="9477" width="11.7109375" style="168" customWidth="1"/>
    <col min="9478" max="9478" width="19.28515625" style="168" customWidth="1"/>
    <col min="9479" max="9479" width="10.28515625" style="168" customWidth="1"/>
    <col min="9480" max="9480" width="19.42578125" style="168" customWidth="1"/>
    <col min="9481" max="9481" width="10.28515625" style="168" customWidth="1"/>
    <col min="9482" max="9482" width="19.5703125" style="168" customWidth="1"/>
    <col min="9483" max="9483" width="10.42578125" style="168" customWidth="1"/>
    <col min="9484" max="9484" width="21.140625" style="168" customWidth="1"/>
    <col min="9485" max="9485" width="11.7109375" style="168" customWidth="1"/>
    <col min="9486" max="9727" width="11.42578125" style="168"/>
    <col min="9728" max="9728" width="13.28515625" style="168" customWidth="1"/>
    <col min="9729" max="9729" width="32.140625" style="168" customWidth="1"/>
    <col min="9730" max="9730" width="20.7109375" style="168" customWidth="1"/>
    <col min="9731" max="9731" width="10.42578125" style="168" customWidth="1"/>
    <col min="9732" max="9732" width="18.5703125" style="168" customWidth="1"/>
    <col min="9733" max="9733" width="11.7109375" style="168" customWidth="1"/>
    <col min="9734" max="9734" width="19.28515625" style="168" customWidth="1"/>
    <col min="9735" max="9735" width="10.28515625" style="168" customWidth="1"/>
    <col min="9736" max="9736" width="19.42578125" style="168" customWidth="1"/>
    <col min="9737" max="9737" width="10.28515625" style="168" customWidth="1"/>
    <col min="9738" max="9738" width="19.5703125" style="168" customWidth="1"/>
    <col min="9739" max="9739" width="10.42578125" style="168" customWidth="1"/>
    <col min="9740" max="9740" width="21.140625" style="168" customWidth="1"/>
    <col min="9741" max="9741" width="11.7109375" style="168" customWidth="1"/>
    <col min="9742" max="9983" width="11.42578125" style="168"/>
    <col min="9984" max="9984" width="13.28515625" style="168" customWidth="1"/>
    <col min="9985" max="9985" width="32.140625" style="168" customWidth="1"/>
    <col min="9986" max="9986" width="20.7109375" style="168" customWidth="1"/>
    <col min="9987" max="9987" width="10.42578125" style="168" customWidth="1"/>
    <col min="9988" max="9988" width="18.5703125" style="168" customWidth="1"/>
    <col min="9989" max="9989" width="11.7109375" style="168" customWidth="1"/>
    <col min="9990" max="9990" width="19.28515625" style="168" customWidth="1"/>
    <col min="9991" max="9991" width="10.28515625" style="168" customWidth="1"/>
    <col min="9992" max="9992" width="19.42578125" style="168" customWidth="1"/>
    <col min="9993" max="9993" width="10.28515625" style="168" customWidth="1"/>
    <col min="9994" max="9994" width="19.5703125" style="168" customWidth="1"/>
    <col min="9995" max="9995" width="10.42578125" style="168" customWidth="1"/>
    <col min="9996" max="9996" width="21.140625" style="168" customWidth="1"/>
    <col min="9997" max="9997" width="11.7109375" style="168" customWidth="1"/>
    <col min="9998" max="10239" width="11.42578125" style="168"/>
    <col min="10240" max="10240" width="13.28515625" style="168" customWidth="1"/>
    <col min="10241" max="10241" width="32.140625" style="168" customWidth="1"/>
    <col min="10242" max="10242" width="20.7109375" style="168" customWidth="1"/>
    <col min="10243" max="10243" width="10.42578125" style="168" customWidth="1"/>
    <col min="10244" max="10244" width="18.5703125" style="168" customWidth="1"/>
    <col min="10245" max="10245" width="11.7109375" style="168" customWidth="1"/>
    <col min="10246" max="10246" width="19.28515625" style="168" customWidth="1"/>
    <col min="10247" max="10247" width="10.28515625" style="168" customWidth="1"/>
    <col min="10248" max="10248" width="19.42578125" style="168" customWidth="1"/>
    <col min="10249" max="10249" width="10.28515625" style="168" customWidth="1"/>
    <col min="10250" max="10250" width="19.5703125" style="168" customWidth="1"/>
    <col min="10251" max="10251" width="10.42578125" style="168" customWidth="1"/>
    <col min="10252" max="10252" width="21.140625" style="168" customWidth="1"/>
    <col min="10253" max="10253" width="11.7109375" style="168" customWidth="1"/>
    <col min="10254" max="10495" width="11.42578125" style="168"/>
    <col min="10496" max="10496" width="13.28515625" style="168" customWidth="1"/>
    <col min="10497" max="10497" width="32.140625" style="168" customWidth="1"/>
    <col min="10498" max="10498" width="20.7109375" style="168" customWidth="1"/>
    <col min="10499" max="10499" width="10.42578125" style="168" customWidth="1"/>
    <col min="10500" max="10500" width="18.5703125" style="168" customWidth="1"/>
    <col min="10501" max="10501" width="11.7109375" style="168" customWidth="1"/>
    <col min="10502" max="10502" width="19.28515625" style="168" customWidth="1"/>
    <col min="10503" max="10503" width="10.28515625" style="168" customWidth="1"/>
    <col min="10504" max="10504" width="19.42578125" style="168" customWidth="1"/>
    <col min="10505" max="10505" width="10.28515625" style="168" customWidth="1"/>
    <col min="10506" max="10506" width="19.5703125" style="168" customWidth="1"/>
    <col min="10507" max="10507" width="10.42578125" style="168" customWidth="1"/>
    <col min="10508" max="10508" width="21.140625" style="168" customWidth="1"/>
    <col min="10509" max="10509" width="11.7109375" style="168" customWidth="1"/>
    <col min="10510" max="10751" width="11.42578125" style="168"/>
    <col min="10752" max="10752" width="13.28515625" style="168" customWidth="1"/>
    <col min="10753" max="10753" width="32.140625" style="168" customWidth="1"/>
    <col min="10754" max="10754" width="20.7109375" style="168" customWidth="1"/>
    <col min="10755" max="10755" width="10.42578125" style="168" customWidth="1"/>
    <col min="10756" max="10756" width="18.5703125" style="168" customWidth="1"/>
    <col min="10757" max="10757" width="11.7109375" style="168" customWidth="1"/>
    <col min="10758" max="10758" width="19.28515625" style="168" customWidth="1"/>
    <col min="10759" max="10759" width="10.28515625" style="168" customWidth="1"/>
    <col min="10760" max="10760" width="19.42578125" style="168" customWidth="1"/>
    <col min="10761" max="10761" width="10.28515625" style="168" customWidth="1"/>
    <col min="10762" max="10762" width="19.5703125" style="168" customWidth="1"/>
    <col min="10763" max="10763" width="10.42578125" style="168" customWidth="1"/>
    <col min="10764" max="10764" width="21.140625" style="168" customWidth="1"/>
    <col min="10765" max="10765" width="11.7109375" style="168" customWidth="1"/>
    <col min="10766" max="11007" width="11.42578125" style="168"/>
    <col min="11008" max="11008" width="13.28515625" style="168" customWidth="1"/>
    <col min="11009" max="11009" width="32.140625" style="168" customWidth="1"/>
    <col min="11010" max="11010" width="20.7109375" style="168" customWidth="1"/>
    <col min="11011" max="11011" width="10.42578125" style="168" customWidth="1"/>
    <col min="11012" max="11012" width="18.5703125" style="168" customWidth="1"/>
    <col min="11013" max="11013" width="11.7109375" style="168" customWidth="1"/>
    <col min="11014" max="11014" width="19.28515625" style="168" customWidth="1"/>
    <col min="11015" max="11015" width="10.28515625" style="168" customWidth="1"/>
    <col min="11016" max="11016" width="19.42578125" style="168" customWidth="1"/>
    <col min="11017" max="11017" width="10.28515625" style="168" customWidth="1"/>
    <col min="11018" max="11018" width="19.5703125" style="168" customWidth="1"/>
    <col min="11019" max="11019" width="10.42578125" style="168" customWidth="1"/>
    <col min="11020" max="11020" width="21.140625" style="168" customWidth="1"/>
    <col min="11021" max="11021" width="11.7109375" style="168" customWidth="1"/>
    <col min="11022" max="11263" width="11.42578125" style="168"/>
    <col min="11264" max="11264" width="13.28515625" style="168" customWidth="1"/>
    <col min="11265" max="11265" width="32.140625" style="168" customWidth="1"/>
    <col min="11266" max="11266" width="20.7109375" style="168" customWidth="1"/>
    <col min="11267" max="11267" width="10.42578125" style="168" customWidth="1"/>
    <col min="11268" max="11268" width="18.5703125" style="168" customWidth="1"/>
    <col min="11269" max="11269" width="11.7109375" style="168" customWidth="1"/>
    <col min="11270" max="11270" width="19.28515625" style="168" customWidth="1"/>
    <col min="11271" max="11271" width="10.28515625" style="168" customWidth="1"/>
    <col min="11272" max="11272" width="19.42578125" style="168" customWidth="1"/>
    <col min="11273" max="11273" width="10.28515625" style="168" customWidth="1"/>
    <col min="11274" max="11274" width="19.5703125" style="168" customWidth="1"/>
    <col min="11275" max="11275" width="10.42578125" style="168" customWidth="1"/>
    <col min="11276" max="11276" width="21.140625" style="168" customWidth="1"/>
    <col min="11277" max="11277" width="11.7109375" style="168" customWidth="1"/>
    <col min="11278" max="11519" width="11.42578125" style="168"/>
    <col min="11520" max="11520" width="13.28515625" style="168" customWidth="1"/>
    <col min="11521" max="11521" width="32.140625" style="168" customWidth="1"/>
    <col min="11522" max="11522" width="20.7109375" style="168" customWidth="1"/>
    <col min="11523" max="11523" width="10.42578125" style="168" customWidth="1"/>
    <col min="11524" max="11524" width="18.5703125" style="168" customWidth="1"/>
    <col min="11525" max="11525" width="11.7109375" style="168" customWidth="1"/>
    <col min="11526" max="11526" width="19.28515625" style="168" customWidth="1"/>
    <col min="11527" max="11527" width="10.28515625" style="168" customWidth="1"/>
    <col min="11528" max="11528" width="19.42578125" style="168" customWidth="1"/>
    <col min="11529" max="11529" width="10.28515625" style="168" customWidth="1"/>
    <col min="11530" max="11530" width="19.5703125" style="168" customWidth="1"/>
    <col min="11531" max="11531" width="10.42578125" style="168" customWidth="1"/>
    <col min="11532" max="11532" width="21.140625" style="168" customWidth="1"/>
    <col min="11533" max="11533" width="11.7109375" style="168" customWidth="1"/>
    <col min="11534" max="11775" width="11.42578125" style="168"/>
    <col min="11776" max="11776" width="13.28515625" style="168" customWidth="1"/>
    <col min="11777" max="11777" width="32.140625" style="168" customWidth="1"/>
    <col min="11778" max="11778" width="20.7109375" style="168" customWidth="1"/>
    <col min="11779" max="11779" width="10.42578125" style="168" customWidth="1"/>
    <col min="11780" max="11780" width="18.5703125" style="168" customWidth="1"/>
    <col min="11781" max="11781" width="11.7109375" style="168" customWidth="1"/>
    <col min="11782" max="11782" width="19.28515625" style="168" customWidth="1"/>
    <col min="11783" max="11783" width="10.28515625" style="168" customWidth="1"/>
    <col min="11784" max="11784" width="19.42578125" style="168" customWidth="1"/>
    <col min="11785" max="11785" width="10.28515625" style="168" customWidth="1"/>
    <col min="11786" max="11786" width="19.5703125" style="168" customWidth="1"/>
    <col min="11787" max="11787" width="10.42578125" style="168" customWidth="1"/>
    <col min="11788" max="11788" width="21.140625" style="168" customWidth="1"/>
    <col min="11789" max="11789" width="11.7109375" style="168" customWidth="1"/>
    <col min="11790" max="12031" width="11.42578125" style="168"/>
    <col min="12032" max="12032" width="13.28515625" style="168" customWidth="1"/>
    <col min="12033" max="12033" width="32.140625" style="168" customWidth="1"/>
    <col min="12034" max="12034" width="20.7109375" style="168" customWidth="1"/>
    <col min="12035" max="12035" width="10.42578125" style="168" customWidth="1"/>
    <col min="12036" max="12036" width="18.5703125" style="168" customWidth="1"/>
    <col min="12037" max="12037" width="11.7109375" style="168" customWidth="1"/>
    <col min="12038" max="12038" width="19.28515625" style="168" customWidth="1"/>
    <col min="12039" max="12039" width="10.28515625" style="168" customWidth="1"/>
    <col min="12040" max="12040" width="19.42578125" style="168" customWidth="1"/>
    <col min="12041" max="12041" width="10.28515625" style="168" customWidth="1"/>
    <col min="12042" max="12042" width="19.5703125" style="168" customWidth="1"/>
    <col min="12043" max="12043" width="10.42578125" style="168" customWidth="1"/>
    <col min="12044" max="12044" width="21.140625" style="168" customWidth="1"/>
    <col min="12045" max="12045" width="11.7109375" style="168" customWidth="1"/>
    <col min="12046" max="12287" width="11.42578125" style="168"/>
    <col min="12288" max="12288" width="13.28515625" style="168" customWidth="1"/>
    <col min="12289" max="12289" width="32.140625" style="168" customWidth="1"/>
    <col min="12290" max="12290" width="20.7109375" style="168" customWidth="1"/>
    <col min="12291" max="12291" width="10.42578125" style="168" customWidth="1"/>
    <col min="12292" max="12292" width="18.5703125" style="168" customWidth="1"/>
    <col min="12293" max="12293" width="11.7109375" style="168" customWidth="1"/>
    <col min="12294" max="12294" width="19.28515625" style="168" customWidth="1"/>
    <col min="12295" max="12295" width="10.28515625" style="168" customWidth="1"/>
    <col min="12296" max="12296" width="19.42578125" style="168" customWidth="1"/>
    <col min="12297" max="12297" width="10.28515625" style="168" customWidth="1"/>
    <col min="12298" max="12298" width="19.5703125" style="168" customWidth="1"/>
    <col min="12299" max="12299" width="10.42578125" style="168" customWidth="1"/>
    <col min="12300" max="12300" width="21.140625" style="168" customWidth="1"/>
    <col min="12301" max="12301" width="11.7109375" style="168" customWidth="1"/>
    <col min="12302" max="12543" width="11.42578125" style="168"/>
    <col min="12544" max="12544" width="13.28515625" style="168" customWidth="1"/>
    <col min="12545" max="12545" width="32.140625" style="168" customWidth="1"/>
    <col min="12546" max="12546" width="20.7109375" style="168" customWidth="1"/>
    <col min="12547" max="12547" width="10.42578125" style="168" customWidth="1"/>
    <col min="12548" max="12548" width="18.5703125" style="168" customWidth="1"/>
    <col min="12549" max="12549" width="11.7109375" style="168" customWidth="1"/>
    <col min="12550" max="12550" width="19.28515625" style="168" customWidth="1"/>
    <col min="12551" max="12551" width="10.28515625" style="168" customWidth="1"/>
    <col min="12552" max="12552" width="19.42578125" style="168" customWidth="1"/>
    <col min="12553" max="12553" width="10.28515625" style="168" customWidth="1"/>
    <col min="12554" max="12554" width="19.5703125" style="168" customWidth="1"/>
    <col min="12555" max="12555" width="10.42578125" style="168" customWidth="1"/>
    <col min="12556" max="12556" width="21.140625" style="168" customWidth="1"/>
    <col min="12557" max="12557" width="11.7109375" style="168" customWidth="1"/>
    <col min="12558" max="12799" width="11.42578125" style="168"/>
    <col min="12800" max="12800" width="13.28515625" style="168" customWidth="1"/>
    <col min="12801" max="12801" width="32.140625" style="168" customWidth="1"/>
    <col min="12802" max="12802" width="20.7109375" style="168" customWidth="1"/>
    <col min="12803" max="12803" width="10.42578125" style="168" customWidth="1"/>
    <col min="12804" max="12804" width="18.5703125" style="168" customWidth="1"/>
    <col min="12805" max="12805" width="11.7109375" style="168" customWidth="1"/>
    <col min="12806" max="12806" width="19.28515625" style="168" customWidth="1"/>
    <col min="12807" max="12807" width="10.28515625" style="168" customWidth="1"/>
    <col min="12808" max="12808" width="19.42578125" style="168" customWidth="1"/>
    <col min="12809" max="12809" width="10.28515625" style="168" customWidth="1"/>
    <col min="12810" max="12810" width="19.5703125" style="168" customWidth="1"/>
    <col min="12811" max="12811" width="10.42578125" style="168" customWidth="1"/>
    <col min="12812" max="12812" width="21.140625" style="168" customWidth="1"/>
    <col min="12813" max="12813" width="11.7109375" style="168" customWidth="1"/>
    <col min="12814" max="13055" width="11.42578125" style="168"/>
    <col min="13056" max="13056" width="13.28515625" style="168" customWidth="1"/>
    <col min="13057" max="13057" width="32.140625" style="168" customWidth="1"/>
    <col min="13058" max="13058" width="20.7109375" style="168" customWidth="1"/>
    <col min="13059" max="13059" width="10.42578125" style="168" customWidth="1"/>
    <col min="13060" max="13060" width="18.5703125" style="168" customWidth="1"/>
    <col min="13061" max="13061" width="11.7109375" style="168" customWidth="1"/>
    <col min="13062" max="13062" width="19.28515625" style="168" customWidth="1"/>
    <col min="13063" max="13063" width="10.28515625" style="168" customWidth="1"/>
    <col min="13064" max="13064" width="19.42578125" style="168" customWidth="1"/>
    <col min="13065" max="13065" width="10.28515625" style="168" customWidth="1"/>
    <col min="13066" max="13066" width="19.5703125" style="168" customWidth="1"/>
    <col min="13067" max="13067" width="10.42578125" style="168" customWidth="1"/>
    <col min="13068" max="13068" width="21.140625" style="168" customWidth="1"/>
    <col min="13069" max="13069" width="11.7109375" style="168" customWidth="1"/>
    <col min="13070" max="13311" width="11.42578125" style="168"/>
    <col min="13312" max="13312" width="13.28515625" style="168" customWidth="1"/>
    <col min="13313" max="13313" width="32.140625" style="168" customWidth="1"/>
    <col min="13314" max="13314" width="20.7109375" style="168" customWidth="1"/>
    <col min="13315" max="13315" width="10.42578125" style="168" customWidth="1"/>
    <col min="13316" max="13316" width="18.5703125" style="168" customWidth="1"/>
    <col min="13317" max="13317" width="11.7109375" style="168" customWidth="1"/>
    <col min="13318" max="13318" width="19.28515625" style="168" customWidth="1"/>
    <col min="13319" max="13319" width="10.28515625" style="168" customWidth="1"/>
    <col min="13320" max="13320" width="19.42578125" style="168" customWidth="1"/>
    <col min="13321" max="13321" width="10.28515625" style="168" customWidth="1"/>
    <col min="13322" max="13322" width="19.5703125" style="168" customWidth="1"/>
    <col min="13323" max="13323" width="10.42578125" style="168" customWidth="1"/>
    <col min="13324" max="13324" width="21.140625" style="168" customWidth="1"/>
    <col min="13325" max="13325" width="11.7109375" style="168" customWidth="1"/>
    <col min="13326" max="13567" width="11.42578125" style="168"/>
    <col min="13568" max="13568" width="13.28515625" style="168" customWidth="1"/>
    <col min="13569" max="13569" width="32.140625" style="168" customWidth="1"/>
    <col min="13570" max="13570" width="20.7109375" style="168" customWidth="1"/>
    <col min="13571" max="13571" width="10.42578125" style="168" customWidth="1"/>
    <col min="13572" max="13572" width="18.5703125" style="168" customWidth="1"/>
    <col min="13573" max="13573" width="11.7109375" style="168" customWidth="1"/>
    <col min="13574" max="13574" width="19.28515625" style="168" customWidth="1"/>
    <col min="13575" max="13575" width="10.28515625" style="168" customWidth="1"/>
    <col min="13576" max="13576" width="19.42578125" style="168" customWidth="1"/>
    <col min="13577" max="13577" width="10.28515625" style="168" customWidth="1"/>
    <col min="13578" max="13578" width="19.5703125" style="168" customWidth="1"/>
    <col min="13579" max="13579" width="10.42578125" style="168" customWidth="1"/>
    <col min="13580" max="13580" width="21.140625" style="168" customWidth="1"/>
    <col min="13581" max="13581" width="11.7109375" style="168" customWidth="1"/>
    <col min="13582" max="13823" width="11.42578125" style="168"/>
    <col min="13824" max="13824" width="13.28515625" style="168" customWidth="1"/>
    <col min="13825" max="13825" width="32.140625" style="168" customWidth="1"/>
    <col min="13826" max="13826" width="20.7109375" style="168" customWidth="1"/>
    <col min="13827" max="13827" width="10.42578125" style="168" customWidth="1"/>
    <col min="13828" max="13828" width="18.5703125" style="168" customWidth="1"/>
    <col min="13829" max="13829" width="11.7109375" style="168" customWidth="1"/>
    <col min="13830" max="13830" width="19.28515625" style="168" customWidth="1"/>
    <col min="13831" max="13831" width="10.28515625" style="168" customWidth="1"/>
    <col min="13832" max="13832" width="19.42578125" style="168" customWidth="1"/>
    <col min="13833" max="13833" width="10.28515625" style="168" customWidth="1"/>
    <col min="13834" max="13834" width="19.5703125" style="168" customWidth="1"/>
    <col min="13835" max="13835" width="10.42578125" style="168" customWidth="1"/>
    <col min="13836" max="13836" width="21.140625" style="168" customWidth="1"/>
    <col min="13837" max="13837" width="11.7109375" style="168" customWidth="1"/>
    <col min="13838" max="14079" width="11.42578125" style="168"/>
    <col min="14080" max="14080" width="13.28515625" style="168" customWidth="1"/>
    <col min="14081" max="14081" width="32.140625" style="168" customWidth="1"/>
    <col min="14082" max="14082" width="20.7109375" style="168" customWidth="1"/>
    <col min="14083" max="14083" width="10.42578125" style="168" customWidth="1"/>
    <col min="14084" max="14084" width="18.5703125" style="168" customWidth="1"/>
    <col min="14085" max="14085" width="11.7109375" style="168" customWidth="1"/>
    <col min="14086" max="14086" width="19.28515625" style="168" customWidth="1"/>
    <col min="14087" max="14087" width="10.28515625" style="168" customWidth="1"/>
    <col min="14088" max="14088" width="19.42578125" style="168" customWidth="1"/>
    <col min="14089" max="14089" width="10.28515625" style="168" customWidth="1"/>
    <col min="14090" max="14090" width="19.5703125" style="168" customWidth="1"/>
    <col min="14091" max="14091" width="10.42578125" style="168" customWidth="1"/>
    <col min="14092" max="14092" width="21.140625" style="168" customWidth="1"/>
    <col min="14093" max="14093" width="11.7109375" style="168" customWidth="1"/>
    <col min="14094" max="14335" width="11.42578125" style="168"/>
    <col min="14336" max="14336" width="13.28515625" style="168" customWidth="1"/>
    <col min="14337" max="14337" width="32.140625" style="168" customWidth="1"/>
    <col min="14338" max="14338" width="20.7109375" style="168" customWidth="1"/>
    <col min="14339" max="14339" width="10.42578125" style="168" customWidth="1"/>
    <col min="14340" max="14340" width="18.5703125" style="168" customWidth="1"/>
    <col min="14341" max="14341" width="11.7109375" style="168" customWidth="1"/>
    <col min="14342" max="14342" width="19.28515625" style="168" customWidth="1"/>
    <col min="14343" max="14343" width="10.28515625" style="168" customWidth="1"/>
    <col min="14344" max="14344" width="19.42578125" style="168" customWidth="1"/>
    <col min="14345" max="14345" width="10.28515625" style="168" customWidth="1"/>
    <col min="14346" max="14346" width="19.5703125" style="168" customWidth="1"/>
    <col min="14347" max="14347" width="10.42578125" style="168" customWidth="1"/>
    <col min="14348" max="14348" width="21.140625" style="168" customWidth="1"/>
    <col min="14349" max="14349" width="11.7109375" style="168" customWidth="1"/>
    <col min="14350" max="14591" width="11.42578125" style="168"/>
    <col min="14592" max="14592" width="13.28515625" style="168" customWidth="1"/>
    <col min="14593" max="14593" width="32.140625" style="168" customWidth="1"/>
    <col min="14594" max="14594" width="20.7109375" style="168" customWidth="1"/>
    <col min="14595" max="14595" width="10.42578125" style="168" customWidth="1"/>
    <col min="14596" max="14596" width="18.5703125" style="168" customWidth="1"/>
    <col min="14597" max="14597" width="11.7109375" style="168" customWidth="1"/>
    <col min="14598" max="14598" width="19.28515625" style="168" customWidth="1"/>
    <col min="14599" max="14599" width="10.28515625" style="168" customWidth="1"/>
    <col min="14600" max="14600" width="19.42578125" style="168" customWidth="1"/>
    <col min="14601" max="14601" width="10.28515625" style="168" customWidth="1"/>
    <col min="14602" max="14602" width="19.5703125" style="168" customWidth="1"/>
    <col min="14603" max="14603" width="10.42578125" style="168" customWidth="1"/>
    <col min="14604" max="14604" width="21.140625" style="168" customWidth="1"/>
    <col min="14605" max="14605" width="11.7109375" style="168" customWidth="1"/>
    <col min="14606" max="14847" width="11.42578125" style="168"/>
    <col min="14848" max="14848" width="13.28515625" style="168" customWidth="1"/>
    <col min="14849" max="14849" width="32.140625" style="168" customWidth="1"/>
    <col min="14850" max="14850" width="20.7109375" style="168" customWidth="1"/>
    <col min="14851" max="14851" width="10.42578125" style="168" customWidth="1"/>
    <col min="14852" max="14852" width="18.5703125" style="168" customWidth="1"/>
    <col min="14853" max="14853" width="11.7109375" style="168" customWidth="1"/>
    <col min="14854" max="14854" width="19.28515625" style="168" customWidth="1"/>
    <col min="14855" max="14855" width="10.28515625" style="168" customWidth="1"/>
    <col min="14856" max="14856" width="19.42578125" style="168" customWidth="1"/>
    <col min="14857" max="14857" width="10.28515625" style="168" customWidth="1"/>
    <col min="14858" max="14858" width="19.5703125" style="168" customWidth="1"/>
    <col min="14859" max="14859" width="10.42578125" style="168" customWidth="1"/>
    <col min="14860" max="14860" width="21.140625" style="168" customWidth="1"/>
    <col min="14861" max="14861" width="11.7109375" style="168" customWidth="1"/>
    <col min="14862" max="15103" width="11.42578125" style="168"/>
    <col min="15104" max="15104" width="13.28515625" style="168" customWidth="1"/>
    <col min="15105" max="15105" width="32.140625" style="168" customWidth="1"/>
    <col min="15106" max="15106" width="20.7109375" style="168" customWidth="1"/>
    <col min="15107" max="15107" width="10.42578125" style="168" customWidth="1"/>
    <col min="15108" max="15108" width="18.5703125" style="168" customWidth="1"/>
    <col min="15109" max="15109" width="11.7109375" style="168" customWidth="1"/>
    <col min="15110" max="15110" width="19.28515625" style="168" customWidth="1"/>
    <col min="15111" max="15111" width="10.28515625" style="168" customWidth="1"/>
    <col min="15112" max="15112" width="19.42578125" style="168" customWidth="1"/>
    <col min="15113" max="15113" width="10.28515625" style="168" customWidth="1"/>
    <col min="15114" max="15114" width="19.5703125" style="168" customWidth="1"/>
    <col min="15115" max="15115" width="10.42578125" style="168" customWidth="1"/>
    <col min="15116" max="15116" width="21.140625" style="168" customWidth="1"/>
    <col min="15117" max="15117" width="11.7109375" style="168" customWidth="1"/>
    <col min="15118" max="15359" width="11.42578125" style="168"/>
    <col min="15360" max="15360" width="13.28515625" style="168" customWidth="1"/>
    <col min="15361" max="15361" width="32.140625" style="168" customWidth="1"/>
    <col min="15362" max="15362" width="20.7109375" style="168" customWidth="1"/>
    <col min="15363" max="15363" width="10.42578125" style="168" customWidth="1"/>
    <col min="15364" max="15364" width="18.5703125" style="168" customWidth="1"/>
    <col min="15365" max="15365" width="11.7109375" style="168" customWidth="1"/>
    <col min="15366" max="15366" width="19.28515625" style="168" customWidth="1"/>
    <col min="15367" max="15367" width="10.28515625" style="168" customWidth="1"/>
    <col min="15368" max="15368" width="19.42578125" style="168" customWidth="1"/>
    <col min="15369" max="15369" width="10.28515625" style="168" customWidth="1"/>
    <col min="15370" max="15370" width="19.5703125" style="168" customWidth="1"/>
    <col min="15371" max="15371" width="10.42578125" style="168" customWidth="1"/>
    <col min="15372" max="15372" width="21.140625" style="168" customWidth="1"/>
    <col min="15373" max="15373" width="11.7109375" style="168" customWidth="1"/>
    <col min="15374" max="15615" width="11.42578125" style="168"/>
    <col min="15616" max="15616" width="13.28515625" style="168" customWidth="1"/>
    <col min="15617" max="15617" width="32.140625" style="168" customWidth="1"/>
    <col min="15618" max="15618" width="20.7109375" style="168" customWidth="1"/>
    <col min="15619" max="15619" width="10.42578125" style="168" customWidth="1"/>
    <col min="15620" max="15620" width="18.5703125" style="168" customWidth="1"/>
    <col min="15621" max="15621" width="11.7109375" style="168" customWidth="1"/>
    <col min="15622" max="15622" width="19.28515625" style="168" customWidth="1"/>
    <col min="15623" max="15623" width="10.28515625" style="168" customWidth="1"/>
    <col min="15624" max="15624" width="19.42578125" style="168" customWidth="1"/>
    <col min="15625" max="15625" width="10.28515625" style="168" customWidth="1"/>
    <col min="15626" max="15626" width="19.5703125" style="168" customWidth="1"/>
    <col min="15627" max="15627" width="10.42578125" style="168" customWidth="1"/>
    <col min="15628" max="15628" width="21.140625" style="168" customWidth="1"/>
    <col min="15629" max="15629" width="11.7109375" style="168" customWidth="1"/>
    <col min="15630" max="15871" width="11.42578125" style="168"/>
    <col min="15872" max="15872" width="13.28515625" style="168" customWidth="1"/>
    <col min="15873" max="15873" width="32.140625" style="168" customWidth="1"/>
    <col min="15874" max="15874" width="20.7109375" style="168" customWidth="1"/>
    <col min="15875" max="15875" width="10.42578125" style="168" customWidth="1"/>
    <col min="15876" max="15876" width="18.5703125" style="168" customWidth="1"/>
    <col min="15877" max="15877" width="11.7109375" style="168" customWidth="1"/>
    <col min="15878" max="15878" width="19.28515625" style="168" customWidth="1"/>
    <col min="15879" max="15879" width="10.28515625" style="168" customWidth="1"/>
    <col min="15880" max="15880" width="19.42578125" style="168" customWidth="1"/>
    <col min="15881" max="15881" width="10.28515625" style="168" customWidth="1"/>
    <col min="15882" max="15882" width="19.5703125" style="168" customWidth="1"/>
    <col min="15883" max="15883" width="10.42578125" style="168" customWidth="1"/>
    <col min="15884" max="15884" width="21.140625" style="168" customWidth="1"/>
    <col min="15885" max="15885" width="11.7109375" style="168" customWidth="1"/>
    <col min="15886" max="16127" width="11.42578125" style="168"/>
    <col min="16128" max="16128" width="13.28515625" style="168" customWidth="1"/>
    <col min="16129" max="16129" width="32.140625" style="168" customWidth="1"/>
    <col min="16130" max="16130" width="20.7109375" style="168" customWidth="1"/>
    <col min="16131" max="16131" width="10.42578125" style="168" customWidth="1"/>
    <col min="16132" max="16132" width="18.5703125" style="168" customWidth="1"/>
    <col min="16133" max="16133" width="11.7109375" style="168" customWidth="1"/>
    <col min="16134" max="16134" width="19.28515625" style="168" customWidth="1"/>
    <col min="16135" max="16135" width="10.28515625" style="168" customWidth="1"/>
    <col min="16136" max="16136" width="19.42578125" style="168" customWidth="1"/>
    <col min="16137" max="16137" width="10.28515625" style="168" customWidth="1"/>
    <col min="16138" max="16138" width="19.5703125" style="168" customWidth="1"/>
    <col min="16139" max="16139" width="10.42578125" style="168" customWidth="1"/>
    <col min="16140" max="16140" width="21.140625" style="168" customWidth="1"/>
    <col min="16141" max="16141" width="11.7109375" style="168" customWidth="1"/>
    <col min="16142" max="16384" width="11.42578125" style="168"/>
  </cols>
  <sheetData>
    <row r="1" spans="1:13" ht="67.5" hidden="1" customHeight="1">
      <c r="A1" s="564" t="s">
        <v>1511</v>
      </c>
      <c r="B1" s="564"/>
      <c r="C1" s="564"/>
      <c r="D1" s="564"/>
      <c r="E1" s="564"/>
      <c r="F1" s="564"/>
      <c r="G1" s="564"/>
      <c r="H1" s="564"/>
      <c r="I1" s="564"/>
      <c r="J1" s="564"/>
      <c r="K1" s="564"/>
      <c r="L1" s="564"/>
      <c r="M1" s="565"/>
    </row>
    <row r="2" spans="1:13" s="169" customFormat="1" ht="44.25" customHeight="1">
      <c r="A2" s="222" t="s">
        <v>22</v>
      </c>
      <c r="B2" s="223" t="s">
        <v>1512</v>
      </c>
      <c r="C2" s="223" t="s">
        <v>1509</v>
      </c>
      <c r="D2" s="223" t="s">
        <v>1478</v>
      </c>
      <c r="E2" s="223" t="s">
        <v>1479</v>
      </c>
      <c r="F2" s="223" t="s">
        <v>1466</v>
      </c>
      <c r="G2" s="223" t="s">
        <v>1480</v>
      </c>
      <c r="H2" s="223" t="s">
        <v>1481</v>
      </c>
      <c r="I2" s="223" t="s">
        <v>1482</v>
      </c>
      <c r="J2" s="223" t="s">
        <v>1483</v>
      </c>
      <c r="K2" s="223" t="s">
        <v>1484</v>
      </c>
      <c r="L2" s="224" t="s">
        <v>1485</v>
      </c>
      <c r="M2" s="223" t="s">
        <v>1486</v>
      </c>
    </row>
    <row r="3" spans="1:13" s="181" customFormat="1">
      <c r="A3" s="170" t="s">
        <v>1487</v>
      </c>
      <c r="B3" s="173">
        <f>'RELACIÓN PROYECTOS'!D3</f>
        <v>10549509202</v>
      </c>
      <c r="C3" s="172">
        <f>B3/B3</f>
        <v>1</v>
      </c>
      <c r="D3" s="173">
        <v>4770200730</v>
      </c>
      <c r="E3" s="174">
        <f>D3/B3</f>
        <v>0.45217276355336555</v>
      </c>
      <c r="F3" s="173">
        <f>'RELACIÓN PROYECTOS'!E3</f>
        <v>4687830730</v>
      </c>
      <c r="G3" s="175">
        <f>F3/B3</f>
        <v>0.44436481738043987</v>
      </c>
      <c r="H3" s="176">
        <f>'RELACIÓN PROYECTOS'!G3</f>
        <v>209642000</v>
      </c>
      <c r="I3" s="175">
        <f>H3/B3</f>
        <v>1.9872204098391192E-2</v>
      </c>
      <c r="J3" s="177">
        <f t="shared" ref="J3:J15" si="0">H3</f>
        <v>209642000</v>
      </c>
      <c r="K3" s="178">
        <f>J3/B3</f>
        <v>1.9872204098391192E-2</v>
      </c>
      <c r="L3" s="179">
        <f t="shared" ref="L3:L15" si="1">B3-D3</f>
        <v>5779308472</v>
      </c>
      <c r="M3" s="180">
        <f>L3/B3</f>
        <v>0.54782723644663445</v>
      </c>
    </row>
    <row r="4" spans="1:13" s="181" customFormat="1">
      <c r="A4" s="170" t="s">
        <v>1412</v>
      </c>
      <c r="B4" s="173">
        <f>'RELACIÓN PROYECTOS'!D9</f>
        <v>1182099650</v>
      </c>
      <c r="C4" s="172">
        <f t="shared" ref="C4:C22" si="2">B4/B4</f>
        <v>1</v>
      </c>
      <c r="D4" s="173">
        <v>399660001</v>
      </c>
      <c r="E4" s="174">
        <f t="shared" ref="E4:E15" si="3">D4/B4</f>
        <v>0.33809332487324567</v>
      </c>
      <c r="F4" s="173">
        <f>'RELACIÓN PROYECTOS'!E9</f>
        <v>350060001</v>
      </c>
      <c r="G4" s="175">
        <f t="shared" ref="G4:G16" si="4">F4/B4</f>
        <v>0.29613408734195973</v>
      </c>
      <c r="H4" s="176">
        <f>'RELACIÓN PROYECTOS'!G9</f>
        <v>153550000</v>
      </c>
      <c r="I4" s="175">
        <f t="shared" ref="I4:I20" si="5">H4/B4</f>
        <v>0.12989598634937419</v>
      </c>
      <c r="J4" s="177">
        <f t="shared" si="0"/>
        <v>153550000</v>
      </c>
      <c r="K4" s="178">
        <f t="shared" ref="K4:K20" si="6">J4/B4</f>
        <v>0.12989598634937419</v>
      </c>
      <c r="L4" s="179">
        <f t="shared" si="1"/>
        <v>782439649</v>
      </c>
      <c r="M4" s="180">
        <f t="shared" ref="M4:M15" si="7">L4/B4</f>
        <v>0.66190667512675438</v>
      </c>
    </row>
    <row r="5" spans="1:13" s="181" customFormat="1">
      <c r="A5" s="170" t="s">
        <v>1488</v>
      </c>
      <c r="B5" s="173">
        <f>'RELACIÓN PROYECTOS'!D18</f>
        <v>3041154599.1599998</v>
      </c>
      <c r="C5" s="172">
        <f t="shared" si="2"/>
        <v>1</v>
      </c>
      <c r="D5" s="173">
        <v>2004890667</v>
      </c>
      <c r="E5" s="174">
        <f t="shared" si="3"/>
        <v>0.65925312299275174</v>
      </c>
      <c r="F5" s="173">
        <f>'RELACIÓN PROYECTOS'!E18</f>
        <v>1634890667</v>
      </c>
      <c r="G5" s="175">
        <f t="shared" si="4"/>
        <v>0.53758880507146023</v>
      </c>
      <c r="H5" s="176">
        <f>'RELACIÓN PROYECTOS'!G18</f>
        <v>446404000</v>
      </c>
      <c r="I5" s="175">
        <f t="shared" si="5"/>
        <v>0.14678767074955731</v>
      </c>
      <c r="J5" s="177">
        <f t="shared" si="0"/>
        <v>446404000</v>
      </c>
      <c r="K5" s="178">
        <f t="shared" si="6"/>
        <v>0.14678767074955731</v>
      </c>
      <c r="L5" s="179">
        <f t="shared" si="1"/>
        <v>1036263932.1599998</v>
      </c>
      <c r="M5" s="180">
        <f t="shared" si="7"/>
        <v>0.34074687700724826</v>
      </c>
    </row>
    <row r="6" spans="1:13" s="181" customFormat="1">
      <c r="A6" s="170" t="s">
        <v>1413</v>
      </c>
      <c r="B6" s="182">
        <f>'RELACIÓN PROYECTOS'!D22</f>
        <v>91905449878.459991</v>
      </c>
      <c r="C6" s="172">
        <f t="shared" si="2"/>
        <v>1</v>
      </c>
      <c r="D6" s="173">
        <v>39908226366</v>
      </c>
      <c r="E6" s="174">
        <f t="shared" si="3"/>
        <v>0.43423133686605614</v>
      </c>
      <c r="F6" s="182">
        <f>'RELACIÓN PROYECTOS'!E22</f>
        <v>5560583941</v>
      </c>
      <c r="G6" s="175">
        <f t="shared" si="4"/>
        <v>6.050331017750931E-2</v>
      </c>
      <c r="H6" s="176">
        <f>'RELACIÓN PROYECTOS'!G22</f>
        <v>258300000</v>
      </c>
      <c r="I6" s="175">
        <f t="shared" si="5"/>
        <v>2.8104970961089666E-3</v>
      </c>
      <c r="J6" s="177">
        <f t="shared" si="0"/>
        <v>258300000</v>
      </c>
      <c r="K6" s="178">
        <f t="shared" si="6"/>
        <v>2.8104970961089666E-3</v>
      </c>
      <c r="L6" s="179">
        <f t="shared" si="1"/>
        <v>51997223512.459991</v>
      </c>
      <c r="M6" s="180">
        <f t="shared" si="7"/>
        <v>0.56576866313394381</v>
      </c>
    </row>
    <row r="7" spans="1:13" s="181" customFormat="1">
      <c r="A7" s="170" t="s">
        <v>1414</v>
      </c>
      <c r="B7" s="182">
        <f>'RELACIÓN PROYECTOS'!D47</f>
        <v>9005666049.1399994</v>
      </c>
      <c r="C7" s="172">
        <f t="shared" si="2"/>
        <v>1</v>
      </c>
      <c r="D7" s="173">
        <v>4495334951.8500004</v>
      </c>
      <c r="E7" s="174">
        <f t="shared" si="3"/>
        <v>0.4991674049782564</v>
      </c>
      <c r="F7" s="182">
        <f>'RELACIÓN PROYECTOS'!E47</f>
        <v>1519297794.3499999</v>
      </c>
      <c r="G7" s="175">
        <f t="shared" si="4"/>
        <v>0.1687046561642252</v>
      </c>
      <c r="H7" s="176">
        <f>'RELACIÓN PROYECTOS'!G47</f>
        <v>336093935.85000002</v>
      </c>
      <c r="I7" s="175">
        <f t="shared" si="5"/>
        <v>3.7320275259606753E-2</v>
      </c>
      <c r="J7" s="177">
        <f t="shared" si="0"/>
        <v>336093935.85000002</v>
      </c>
      <c r="K7" s="178">
        <f t="shared" si="6"/>
        <v>3.7320275259606753E-2</v>
      </c>
      <c r="L7" s="179">
        <f t="shared" si="1"/>
        <v>4510331097.289999</v>
      </c>
      <c r="M7" s="180">
        <f t="shared" si="7"/>
        <v>0.5008325950217436</v>
      </c>
    </row>
    <row r="8" spans="1:13" s="181" customFormat="1">
      <c r="A8" s="170" t="s">
        <v>170</v>
      </c>
      <c r="B8" s="173">
        <f>'RELACIÓN PROYECTOS'!D63</f>
        <v>3959930987.3400002</v>
      </c>
      <c r="C8" s="172">
        <f t="shared" si="2"/>
        <v>1</v>
      </c>
      <c r="D8" s="173">
        <v>2548150845.6700001</v>
      </c>
      <c r="E8" s="174">
        <f t="shared" si="3"/>
        <v>0.64348365004756469</v>
      </c>
      <c r="F8" s="182">
        <f>'RELACIÓN PROYECTOS'!E63</f>
        <v>581014999.67000008</v>
      </c>
      <c r="G8" s="175">
        <f t="shared" si="4"/>
        <v>0.14672351652781823</v>
      </c>
      <c r="H8" s="176">
        <f>'RELACIÓN PROYECTOS'!G63</f>
        <v>216539999.67000002</v>
      </c>
      <c r="I8" s="175">
        <f t="shared" si="5"/>
        <v>5.4682771079163722E-2</v>
      </c>
      <c r="J8" s="177">
        <f t="shared" si="0"/>
        <v>216539999.67000002</v>
      </c>
      <c r="K8" s="178">
        <f t="shared" si="6"/>
        <v>5.4682771079163722E-2</v>
      </c>
      <c r="L8" s="179">
        <f t="shared" si="1"/>
        <v>1411780141.6700001</v>
      </c>
      <c r="M8" s="180">
        <f t="shared" si="7"/>
        <v>0.35651634995243531</v>
      </c>
    </row>
    <row r="9" spans="1:13" s="181" customFormat="1" ht="19.5" customHeight="1">
      <c r="A9" s="183" t="s">
        <v>1415</v>
      </c>
      <c r="B9" s="173">
        <f>'RELACIÓN PROYECTOS'!D69</f>
        <v>2740910173.9000001</v>
      </c>
      <c r="C9" s="172">
        <f t="shared" si="2"/>
        <v>1</v>
      </c>
      <c r="D9" s="173">
        <v>1737995000</v>
      </c>
      <c r="E9" s="174">
        <f t="shared" si="3"/>
        <v>0.6340941109817666</v>
      </c>
      <c r="F9" s="182">
        <f>'RELACIÓN PROYECTOS'!E69</f>
        <v>981947000</v>
      </c>
      <c r="G9" s="175">
        <f t="shared" si="4"/>
        <v>0.35825581201108914</v>
      </c>
      <c r="H9" s="176">
        <f>'RELACIÓN PROYECTOS'!G69</f>
        <v>356901999.00999999</v>
      </c>
      <c r="I9" s="175">
        <f t="shared" si="5"/>
        <v>0.13021294984730181</v>
      </c>
      <c r="J9" s="177">
        <f t="shared" si="0"/>
        <v>356901999.00999999</v>
      </c>
      <c r="K9" s="178">
        <f t="shared" si="6"/>
        <v>0.13021294984730181</v>
      </c>
      <c r="L9" s="179">
        <f t="shared" si="1"/>
        <v>1002915173.9000001</v>
      </c>
      <c r="M9" s="180">
        <f t="shared" si="7"/>
        <v>0.36590588901823334</v>
      </c>
    </row>
    <row r="10" spans="1:13" s="181" customFormat="1" ht="25.5">
      <c r="A10" s="183" t="s">
        <v>1489</v>
      </c>
      <c r="B10" s="173">
        <f>'RELACIÓN PROYECTOS'!D77</f>
        <v>4551806900</v>
      </c>
      <c r="C10" s="172">
        <f t="shared" si="2"/>
        <v>1</v>
      </c>
      <c r="D10" s="173">
        <v>1401788542</v>
      </c>
      <c r="E10" s="174">
        <f t="shared" si="3"/>
        <v>0.30796309527102306</v>
      </c>
      <c r="F10" s="182">
        <f>'RELACIÓN PROYECTOS'!E77</f>
        <v>590241617</v>
      </c>
      <c r="G10" s="175">
        <f t="shared" si="4"/>
        <v>0.12967193687412354</v>
      </c>
      <c r="H10" s="176">
        <f>'RELACIÓN PROYECTOS'!G77</f>
        <v>203196666</v>
      </c>
      <c r="I10" s="175">
        <f t="shared" si="5"/>
        <v>4.4640880086543211E-2</v>
      </c>
      <c r="J10" s="177">
        <f t="shared" si="0"/>
        <v>203196666</v>
      </c>
      <c r="K10" s="178">
        <f t="shared" si="6"/>
        <v>4.4640880086543211E-2</v>
      </c>
      <c r="L10" s="179">
        <f t="shared" si="1"/>
        <v>3150018358</v>
      </c>
      <c r="M10" s="180">
        <f t="shared" si="7"/>
        <v>0.69203690472897694</v>
      </c>
    </row>
    <row r="11" spans="1:13" s="185" customFormat="1">
      <c r="A11" s="170" t="s">
        <v>1422</v>
      </c>
      <c r="B11" s="250">
        <f>'RELACIÓN PROYECTOS'!D99</f>
        <v>3343243430</v>
      </c>
      <c r="C11" s="172">
        <f t="shared" si="2"/>
        <v>1</v>
      </c>
      <c r="D11" s="173">
        <v>2408300000</v>
      </c>
      <c r="E11" s="174">
        <f t="shared" si="3"/>
        <v>0.72034838336614937</v>
      </c>
      <c r="F11" s="182">
        <f>'RELACIÓN PROYECTOS'!E99</f>
        <v>1018928000</v>
      </c>
      <c r="G11" s="175">
        <f t="shared" si="4"/>
        <v>0.30477230310447362</v>
      </c>
      <c r="H11" s="176">
        <f>'RELACIÓN PROYECTOS'!G99</f>
        <v>235130000</v>
      </c>
      <c r="I11" s="175">
        <f t="shared" si="5"/>
        <v>7.0329907146486195E-2</v>
      </c>
      <c r="J11" s="177">
        <f t="shared" si="0"/>
        <v>235130000</v>
      </c>
      <c r="K11" s="178">
        <f t="shared" si="6"/>
        <v>7.0329907146486195E-2</v>
      </c>
      <c r="L11" s="179">
        <f t="shared" si="1"/>
        <v>934943430</v>
      </c>
      <c r="M11" s="180">
        <f t="shared" si="7"/>
        <v>0.27965161663385069</v>
      </c>
    </row>
    <row r="12" spans="1:13" s="185" customFormat="1">
      <c r="A12" s="170" t="s">
        <v>160</v>
      </c>
      <c r="B12" s="251">
        <f>'RELACIÓN PROYECTOS'!D105</f>
        <v>213645814849.25</v>
      </c>
      <c r="C12" s="172">
        <f t="shared" si="2"/>
        <v>1</v>
      </c>
      <c r="D12" s="173">
        <f>'[1]EJECUCIÓN MARZO'!$Y$1046+'[1]EJECUCIÓN MARZO'!$Y$1663+'[1]EJECUCIÓN MARZO'!$Y$1840+'[1]EJECUCIÓN MARZO'!$Y$1995+'[1]EJECUCIÓN MARZO'!$Y$2177+'[1]EJECUCIÓN MARZO'!$Y$2333</f>
        <v>62876703404.440002</v>
      </c>
      <c r="E12" s="174">
        <f t="shared" si="3"/>
        <v>0.29430346411796671</v>
      </c>
      <c r="F12" s="182">
        <f>'RELACIÓN PROYECTOS'!E105</f>
        <v>58593949470.360001</v>
      </c>
      <c r="G12" s="175">
        <f t="shared" si="4"/>
        <v>0.27425741764098821</v>
      </c>
      <c r="H12" s="176">
        <f>'RELACIÓN PROYECTOS'!G105</f>
        <v>40947479903.300003</v>
      </c>
      <c r="I12" s="175">
        <f t="shared" si="5"/>
        <v>0.19166057585632013</v>
      </c>
      <c r="J12" s="177">
        <f t="shared" si="0"/>
        <v>40947479903.300003</v>
      </c>
      <c r="K12" s="178">
        <f t="shared" si="6"/>
        <v>0.19166057585632013</v>
      </c>
      <c r="L12" s="179">
        <f t="shared" si="1"/>
        <v>150769111444.81</v>
      </c>
      <c r="M12" s="180">
        <f t="shared" si="7"/>
        <v>0.70569653588203329</v>
      </c>
    </row>
    <row r="13" spans="1:13" s="181" customFormat="1">
      <c r="A13" s="170" t="s">
        <v>1416</v>
      </c>
      <c r="B13" s="250">
        <f>'RELACIÓN PROYECTOS'!D117</f>
        <v>7537461518.4300003</v>
      </c>
      <c r="C13" s="172">
        <f t="shared" si="2"/>
        <v>1</v>
      </c>
      <c r="D13" s="173">
        <f>'[1]EJECUCIÓN MARZO'!$Y$1235</f>
        <v>2320305106.4299998</v>
      </c>
      <c r="E13" s="174">
        <f t="shared" si="3"/>
        <v>0.30783641160310732</v>
      </c>
      <c r="F13" s="182">
        <f>'RELACIÓN PROYECTOS'!E117</f>
        <v>1710985106.4300001</v>
      </c>
      <c r="G13" s="175">
        <f t="shared" si="4"/>
        <v>0.22699752459716518</v>
      </c>
      <c r="H13" s="176">
        <f>'RELACIÓN PROYECTOS'!G117</f>
        <v>1241735106.4300001</v>
      </c>
      <c r="I13" s="175">
        <f t="shared" si="5"/>
        <v>0.16474181704195881</v>
      </c>
      <c r="J13" s="177">
        <f t="shared" si="0"/>
        <v>1241735106.4300001</v>
      </c>
      <c r="K13" s="178">
        <f t="shared" si="6"/>
        <v>0.16474181704195881</v>
      </c>
      <c r="L13" s="179">
        <f t="shared" si="1"/>
        <v>5217156412</v>
      </c>
      <c r="M13" s="180">
        <f t="shared" si="7"/>
        <v>0.69216358839689263</v>
      </c>
    </row>
    <row r="14" spans="1:13" s="181" customFormat="1">
      <c r="A14" s="170" t="s">
        <v>1417</v>
      </c>
      <c r="B14" s="173">
        <f>'RELACIÓN PROYECTOS'!D146</f>
        <v>53313292857.790001</v>
      </c>
      <c r="C14" s="172">
        <f t="shared" si="2"/>
        <v>1</v>
      </c>
      <c r="D14" s="173">
        <f>'[1]EJECUCIÓN MARZO'!$Y$1435+'[1]EJECUCIÓN MARZO'!$Y$2391+'[1]EJECUCIÓN MARZO'!$Y$2414+'[1]EJECUCIÓN MARZO'!$Y$2435+'[1]EJECUCIÓN MARZO'!$Y$2593</f>
        <v>39599217693.099998</v>
      </c>
      <c r="E14" s="174">
        <f t="shared" si="3"/>
        <v>0.74276443210380061</v>
      </c>
      <c r="F14" s="182">
        <f>'RELACIÓN PROYECTOS'!E146</f>
        <v>39176601827.099998</v>
      </c>
      <c r="G14" s="175">
        <f t="shared" si="4"/>
        <v>0.73483740596554836</v>
      </c>
      <c r="H14" s="176">
        <f>'RELACIÓN PROYECTOS'!G146</f>
        <v>8534465634.1400003</v>
      </c>
      <c r="I14" s="175">
        <f t="shared" si="5"/>
        <v>0.16008138264701027</v>
      </c>
      <c r="J14" s="177">
        <f t="shared" si="0"/>
        <v>8534465634.1400003</v>
      </c>
      <c r="K14" s="178">
        <f t="shared" si="6"/>
        <v>0.16008138264701027</v>
      </c>
      <c r="L14" s="179">
        <f t="shared" si="1"/>
        <v>13714075164.690002</v>
      </c>
      <c r="M14" s="180">
        <f t="shared" si="7"/>
        <v>0.25723556789619939</v>
      </c>
    </row>
    <row r="15" spans="1:13" s="181" customFormat="1" ht="25.5">
      <c r="A15" s="183" t="s">
        <v>1490</v>
      </c>
      <c r="B15" s="173">
        <f>'RELACIÓN PROYECTOS'!D171</f>
        <v>1266894018</v>
      </c>
      <c r="C15" s="172">
        <f t="shared" si="2"/>
        <v>1</v>
      </c>
      <c r="D15" s="173">
        <f>'[1]EJECUCIÓN MARZO'!$Y$1518</f>
        <v>808474500</v>
      </c>
      <c r="E15" s="174">
        <f t="shared" si="3"/>
        <v>0.63815480104350764</v>
      </c>
      <c r="F15" s="182">
        <f>'RELACIÓN PROYECTOS'!E171</f>
        <v>579300000</v>
      </c>
      <c r="G15" s="175">
        <f t="shared" si="4"/>
        <v>0.45726003262255516</v>
      </c>
      <c r="H15" s="176">
        <f>'RELACIÓN PROYECTOS'!G171</f>
        <v>242300000</v>
      </c>
      <c r="I15" s="175">
        <f t="shared" si="5"/>
        <v>0.19125514570075111</v>
      </c>
      <c r="J15" s="177">
        <f t="shared" si="0"/>
        <v>242300000</v>
      </c>
      <c r="K15" s="178">
        <f t="shared" si="6"/>
        <v>0.19125514570075111</v>
      </c>
      <c r="L15" s="179">
        <f t="shared" si="1"/>
        <v>458419518</v>
      </c>
      <c r="M15" s="180">
        <f t="shared" si="7"/>
        <v>0.36184519895649236</v>
      </c>
    </row>
    <row r="16" spans="1:13" s="191" customFormat="1" ht="16.5" customHeight="1">
      <c r="A16" s="186" t="s">
        <v>1491</v>
      </c>
      <c r="B16" s="187">
        <f>SUM(B3:B15)</f>
        <v>406043234113.46997</v>
      </c>
      <c r="C16" s="188">
        <f t="shared" si="2"/>
        <v>1</v>
      </c>
      <c r="D16" s="187">
        <f>SUM(D3:D15)</f>
        <v>165279247807.48999</v>
      </c>
      <c r="E16" s="189">
        <f>D16/B16</f>
        <v>0.40704839761300449</v>
      </c>
      <c r="F16" s="187">
        <f>SUM(F3:F15)</f>
        <v>116985631153.91</v>
      </c>
      <c r="G16" s="175">
        <f t="shared" si="4"/>
        <v>0.28811126827252592</v>
      </c>
      <c r="H16" s="187">
        <f>SUM(H3:H15)</f>
        <v>53381739244.400002</v>
      </c>
      <c r="I16" s="175">
        <f t="shared" si="5"/>
        <v>0.13146811659342245</v>
      </c>
      <c r="J16" s="187">
        <f>SUM(J3:J15)</f>
        <v>53381739244.400002</v>
      </c>
      <c r="K16" s="190">
        <f t="shared" si="6"/>
        <v>0.13146811659342245</v>
      </c>
      <c r="L16" s="187">
        <f>SUM(L3:L15)</f>
        <v>240763986305.97998</v>
      </c>
      <c r="M16" s="189">
        <f>L16/B16</f>
        <v>0.59295160238699551</v>
      </c>
    </row>
    <row r="17" spans="1:16">
      <c r="A17" s="170" t="s">
        <v>1492</v>
      </c>
      <c r="B17" s="184">
        <f>'RELACIÓN PROYECTOS'!D181</f>
        <v>9310061302.6199989</v>
      </c>
      <c r="C17" s="172">
        <f t="shared" si="2"/>
        <v>1</v>
      </c>
      <c r="D17" s="192">
        <v>3713504846.75</v>
      </c>
      <c r="E17" s="174">
        <f>D17/B17</f>
        <v>0.39887007464762458</v>
      </c>
      <c r="F17" s="182">
        <f>'RELACIÓN PROYECTOS'!E181</f>
        <v>2357978628</v>
      </c>
      <c r="G17" s="175">
        <f>F17/B17</f>
        <v>0.2532720839696756</v>
      </c>
      <c r="H17" s="176">
        <f>'RELACIÓN PROYECTOS'!G181</f>
        <v>436643218</v>
      </c>
      <c r="I17" s="175">
        <f t="shared" si="5"/>
        <v>4.6900144242564938E-2</v>
      </c>
      <c r="J17" s="177">
        <f>H17</f>
        <v>436643218</v>
      </c>
      <c r="K17" s="178">
        <f t="shared" si="6"/>
        <v>4.6900144242564938E-2</v>
      </c>
      <c r="L17" s="179">
        <f>B17-D17</f>
        <v>5596556455.8699989</v>
      </c>
      <c r="M17" s="180">
        <f>L17/B17</f>
        <v>0.60112992535237542</v>
      </c>
    </row>
    <row r="18" spans="1:16" s="193" customFormat="1">
      <c r="A18" s="170" t="s">
        <v>1418</v>
      </c>
      <c r="B18" s="171">
        <f>'RELACIÓN PROYECTOS'!D186</f>
        <v>4454923248</v>
      </c>
      <c r="C18" s="172">
        <f t="shared" si="2"/>
        <v>1</v>
      </c>
      <c r="D18" s="192">
        <v>778829000</v>
      </c>
      <c r="E18" s="174">
        <f>D18/B18</f>
        <v>0.17482433627776836</v>
      </c>
      <c r="F18" s="182">
        <f>'RELACIÓN PROYECTOS'!E186</f>
        <v>778829000</v>
      </c>
      <c r="G18" s="175">
        <f>F18/B18</f>
        <v>0.17482433627776836</v>
      </c>
      <c r="H18" s="176">
        <f>'RELACIÓN PROYECTOS'!G186</f>
        <v>198298500</v>
      </c>
      <c r="I18" s="175">
        <f t="shared" si="5"/>
        <v>4.4512214680471639E-2</v>
      </c>
      <c r="J18" s="177">
        <f>H18</f>
        <v>198298500</v>
      </c>
      <c r="K18" s="178">
        <f t="shared" si="6"/>
        <v>4.4512214680471639E-2</v>
      </c>
      <c r="L18" s="179">
        <f>B18-D18</f>
        <v>3676094248</v>
      </c>
      <c r="M18" s="180">
        <f>L18/B18</f>
        <v>0.82517566372223161</v>
      </c>
    </row>
    <row r="19" spans="1:16" s="193" customFormat="1">
      <c r="A19" s="183" t="s">
        <v>1493</v>
      </c>
      <c r="B19" s="171">
        <f>'RELACIÓN PROYECTOS'!D196</f>
        <v>118932650</v>
      </c>
      <c r="C19" s="172">
        <f t="shared" si="2"/>
        <v>1</v>
      </c>
      <c r="D19" s="192">
        <v>61000000</v>
      </c>
      <c r="E19" s="174">
        <f>D19/B19</f>
        <v>0.51289532352974565</v>
      </c>
      <c r="F19" s="182">
        <f>'RELACIÓN PROYECTOS'!E196</f>
        <v>61000000</v>
      </c>
      <c r="G19" s="175">
        <f>F19/B19</f>
        <v>0.51289532352974565</v>
      </c>
      <c r="H19" s="176">
        <f>'RELACIÓN PROYECTOS'!G196</f>
        <v>25750000</v>
      </c>
      <c r="I19" s="175">
        <f t="shared" si="5"/>
        <v>0.21650909149001557</v>
      </c>
      <c r="J19" s="177">
        <f>H19</f>
        <v>25750000</v>
      </c>
      <c r="K19" s="178">
        <f t="shared" si="6"/>
        <v>0.21650909149001557</v>
      </c>
      <c r="L19" s="179">
        <f>B19-D19</f>
        <v>57932650</v>
      </c>
      <c r="M19" s="180">
        <f>L19/B19</f>
        <v>0.48710467647025441</v>
      </c>
    </row>
    <row r="20" spans="1:16" s="193" customFormat="1">
      <c r="A20" s="194" t="s">
        <v>1494</v>
      </c>
      <c r="B20" s="187">
        <f>SUM(B17:B19)</f>
        <v>13883917200.619999</v>
      </c>
      <c r="C20" s="188">
        <f t="shared" si="2"/>
        <v>1</v>
      </c>
      <c r="D20" s="187">
        <f>SUM(D17:D19)</f>
        <v>4553333846.75</v>
      </c>
      <c r="E20" s="189">
        <f>D20/B20</f>
        <v>0.32795743311885112</v>
      </c>
      <c r="F20" s="187">
        <f>SUM(F17:F19)</f>
        <v>3197807628</v>
      </c>
      <c r="G20" s="195">
        <f>F20/B20</f>
        <v>0.23032459656682475</v>
      </c>
      <c r="H20" s="187">
        <f>SUM(H17:H19)</f>
        <v>660691718</v>
      </c>
      <c r="I20" s="175">
        <f t="shared" si="5"/>
        <v>4.7586837954528872E-2</v>
      </c>
      <c r="J20" s="187">
        <f>SUM(J17:J19)</f>
        <v>660691718</v>
      </c>
      <c r="K20" s="190">
        <f t="shared" si="6"/>
        <v>4.7586837954528872E-2</v>
      </c>
      <c r="L20" s="187">
        <f>SUM(L17:L19)</f>
        <v>9330583353.8699989</v>
      </c>
      <c r="M20" s="189">
        <f>L20/B20</f>
        <v>0.67204256688114883</v>
      </c>
    </row>
    <row r="21" spans="1:16" s="193" customFormat="1">
      <c r="A21" s="196"/>
      <c r="B21" s="197"/>
      <c r="C21" s="198"/>
      <c r="D21" s="198"/>
      <c r="E21" s="199"/>
      <c r="G21" s="200"/>
      <c r="I21" s="200"/>
      <c r="K21" s="200"/>
      <c r="M21" s="201"/>
    </row>
    <row r="22" spans="1:16" s="193" customFormat="1">
      <c r="A22" s="225" t="s">
        <v>1495</v>
      </c>
      <c r="B22" s="226">
        <f>B16+B20</f>
        <v>419927151314.08997</v>
      </c>
      <c r="C22" s="227">
        <f t="shared" si="2"/>
        <v>1</v>
      </c>
      <c r="D22" s="226">
        <f>D16+D20</f>
        <v>169832581654.23999</v>
      </c>
      <c r="E22" s="228">
        <f>D22/B22</f>
        <v>0.40443343833038198</v>
      </c>
      <c r="F22" s="226">
        <f>F16+F20</f>
        <v>120183438781.91</v>
      </c>
      <c r="G22" s="229">
        <f>F22/B22</f>
        <v>0.28620068601379206</v>
      </c>
      <c r="H22" s="226">
        <f>H16+H20</f>
        <v>54042430962.400002</v>
      </c>
      <c r="I22" s="229">
        <f>H22/B22</f>
        <v>0.12869477668515475</v>
      </c>
      <c r="J22" s="226">
        <f>J16+J20</f>
        <v>54042430962.400002</v>
      </c>
      <c r="K22" s="230">
        <f>J22/B22</f>
        <v>0.12869477668515475</v>
      </c>
      <c r="L22" s="226">
        <f>L16+L20</f>
        <v>250094569659.84998</v>
      </c>
      <c r="M22" s="228">
        <f>L22/B22</f>
        <v>0.59556656166961797</v>
      </c>
    </row>
    <row r="23" spans="1:16" s="207" customFormat="1" ht="14.25">
      <c r="A23" s="202"/>
      <c r="B23" s="203"/>
      <c r="C23" s="204"/>
      <c r="D23" s="203"/>
      <c r="E23" s="205"/>
      <c r="F23" s="203"/>
      <c r="G23" s="203"/>
      <c r="H23" s="203"/>
      <c r="I23" s="206"/>
      <c r="J23" s="203"/>
      <c r="K23" s="206"/>
      <c r="L23" s="203"/>
      <c r="M23" s="205"/>
    </row>
    <row r="24" spans="1:16" s="193" customFormat="1" ht="15">
      <c r="A24" s="231" t="s">
        <v>1496</v>
      </c>
      <c r="B24" s="232" t="s">
        <v>1510</v>
      </c>
      <c r="C24" s="233" t="s">
        <v>1497</v>
      </c>
      <c r="D24" s="234"/>
      <c r="E24" s="234"/>
      <c r="F24" s="212"/>
      <c r="J24" s="209"/>
      <c r="L24" s="210"/>
      <c r="M24" s="211"/>
      <c r="N24" s="208"/>
      <c r="O24" s="212"/>
      <c r="P24" s="212"/>
    </row>
    <row r="25" spans="1:16" s="193" customFormat="1" ht="16.5" thickBot="1">
      <c r="A25" s="235" t="s">
        <v>1513</v>
      </c>
      <c r="B25" s="236">
        <f>B16</f>
        <v>406043234113.46997</v>
      </c>
      <c r="C25" s="237">
        <f>B25/B25</f>
        <v>1</v>
      </c>
      <c r="D25" s="237"/>
      <c r="E25" s="238"/>
      <c r="F25" s="212"/>
      <c r="L25" s="214"/>
      <c r="M25" s="215"/>
      <c r="N25" s="213"/>
      <c r="O25" s="212"/>
      <c r="P25" s="212"/>
    </row>
    <row r="26" spans="1:16" s="193" customFormat="1" ht="15.75">
      <c r="A26" s="235" t="s">
        <v>1498</v>
      </c>
      <c r="B26" s="236">
        <f>D16</f>
        <v>165279247807.48999</v>
      </c>
      <c r="C26" s="239">
        <f>B26/B25</f>
        <v>0.40704839761300449</v>
      </c>
      <c r="D26" s="518" t="s">
        <v>1508</v>
      </c>
      <c r="E26" s="519"/>
      <c r="F26" s="212"/>
      <c r="L26" s="214"/>
      <c r="M26" s="215"/>
      <c r="N26" s="216"/>
      <c r="O26" s="212"/>
      <c r="P26" s="212"/>
    </row>
    <row r="27" spans="1:16" s="193" customFormat="1" ht="15.75">
      <c r="A27" s="235" t="s">
        <v>1499</v>
      </c>
      <c r="B27" s="236">
        <f>F16</f>
        <v>116985631153.91</v>
      </c>
      <c r="C27" s="240">
        <f>B27/B25</f>
        <v>0.28811126827252592</v>
      </c>
      <c r="D27" s="520" t="s">
        <v>1500</v>
      </c>
      <c r="E27" s="521"/>
      <c r="F27" s="212"/>
      <c r="L27" s="214"/>
      <c r="M27" s="215"/>
      <c r="N27" s="217"/>
      <c r="O27" s="212"/>
      <c r="P27" s="212"/>
    </row>
    <row r="28" spans="1:16" s="193" customFormat="1" ht="15.75">
      <c r="A28" s="235" t="s">
        <v>1501</v>
      </c>
      <c r="B28" s="236">
        <f>H16</f>
        <v>53381739244.400002</v>
      </c>
      <c r="C28" s="240">
        <f>B28/B25</f>
        <v>0.13146811659342245</v>
      </c>
      <c r="D28" s="522" t="s">
        <v>1502</v>
      </c>
      <c r="E28" s="523"/>
      <c r="F28" s="212"/>
      <c r="L28" s="214"/>
      <c r="M28" s="215"/>
      <c r="N28" s="217"/>
      <c r="O28" s="212"/>
      <c r="P28" s="212"/>
    </row>
    <row r="29" spans="1:16" s="193" customFormat="1" ht="15.75">
      <c r="A29" s="235" t="s">
        <v>1503</v>
      </c>
      <c r="B29" s="236">
        <f>J16</f>
        <v>53381739244.400002</v>
      </c>
      <c r="C29" s="240">
        <f>B29/B25</f>
        <v>0.13146811659342245</v>
      </c>
      <c r="D29" s="503" t="s">
        <v>1504</v>
      </c>
      <c r="E29" s="504"/>
      <c r="F29" s="212"/>
      <c r="L29" s="214"/>
      <c r="M29" s="215"/>
      <c r="N29" s="217"/>
      <c r="O29" s="212"/>
      <c r="P29" s="212"/>
    </row>
    <row r="30" spans="1:16" ht="15.75">
      <c r="A30" s="241" t="s">
        <v>1505</v>
      </c>
      <c r="B30" s="236">
        <f>L16</f>
        <v>240763986305.97998</v>
      </c>
      <c r="C30" s="240">
        <f>B30/B25</f>
        <v>0.59295160238699551</v>
      </c>
      <c r="D30" s="505" t="s">
        <v>1506</v>
      </c>
      <c r="E30" s="506"/>
      <c r="F30" s="212"/>
      <c r="L30" s="218"/>
      <c r="M30" s="215"/>
      <c r="N30" s="217"/>
      <c r="O30" s="219"/>
      <c r="P30" s="219"/>
    </row>
    <row r="31" spans="1:16" ht="15">
      <c r="A31" s="242"/>
      <c r="B31" s="243"/>
      <c r="C31" s="243"/>
      <c r="D31" s="507" t="s">
        <v>1507</v>
      </c>
      <c r="E31" s="508"/>
      <c r="F31" s="212"/>
      <c r="L31" s="212"/>
      <c r="M31" s="219"/>
      <c r="N31" s="219"/>
      <c r="O31" s="219"/>
      <c r="P31" s="219"/>
    </row>
    <row r="32" spans="1:16">
      <c r="A32" s="244"/>
      <c r="B32" s="198"/>
      <c r="C32" s="220"/>
      <c r="D32" s="220"/>
      <c r="E32" s="220"/>
      <c r="F32" s="212"/>
      <c r="L32" s="212"/>
      <c r="M32" s="219"/>
      <c r="N32" s="219"/>
      <c r="O32" s="219"/>
      <c r="P32" s="219"/>
    </row>
    <row r="33" spans="1:16" ht="15">
      <c r="A33" s="231" t="s">
        <v>1496</v>
      </c>
      <c r="B33" s="232" t="s">
        <v>1510</v>
      </c>
      <c r="C33" s="233" t="s">
        <v>1497</v>
      </c>
      <c r="D33" s="220"/>
      <c r="E33" s="220"/>
      <c r="F33" s="212"/>
      <c r="L33" s="212"/>
      <c r="M33" s="219"/>
      <c r="N33" s="219"/>
      <c r="O33" s="219"/>
      <c r="P33" s="219"/>
    </row>
    <row r="34" spans="1:16" ht="15.75">
      <c r="A34" s="235" t="s">
        <v>1513</v>
      </c>
      <c r="B34" s="236">
        <f>B20</f>
        <v>13883917200.619999</v>
      </c>
      <c r="C34" s="237">
        <f>B34/B34</f>
        <v>1</v>
      </c>
      <c r="D34" s="220"/>
      <c r="E34" s="220"/>
      <c r="F34" s="212"/>
      <c r="L34" s="212"/>
      <c r="M34" s="219"/>
      <c r="N34" s="219"/>
      <c r="O34" s="219"/>
      <c r="P34" s="219"/>
    </row>
    <row r="35" spans="1:16" ht="15.75">
      <c r="A35" s="235" t="s">
        <v>1498</v>
      </c>
      <c r="B35" s="236">
        <f>D20</f>
        <v>4553333846.75</v>
      </c>
      <c r="C35" s="239">
        <f>B35/B34</f>
        <v>0.32795743311885112</v>
      </c>
      <c r="D35" s="220"/>
      <c r="E35" s="220"/>
      <c r="F35" s="212"/>
      <c r="L35" s="212"/>
      <c r="M35" s="219"/>
      <c r="N35" s="219"/>
      <c r="O35" s="219"/>
      <c r="P35" s="219"/>
    </row>
    <row r="36" spans="1:16" ht="15.75">
      <c r="A36" s="235" t="s">
        <v>1499</v>
      </c>
      <c r="B36" s="236">
        <f>F20</f>
        <v>3197807628</v>
      </c>
      <c r="C36" s="240">
        <f>B36/B34</f>
        <v>0.23032459656682475</v>
      </c>
      <c r="D36" s="220"/>
      <c r="E36" s="220"/>
      <c r="F36" s="212"/>
      <c r="L36" s="212"/>
      <c r="M36" s="219"/>
      <c r="N36" s="219"/>
      <c r="O36" s="219"/>
      <c r="P36" s="219"/>
    </row>
    <row r="37" spans="1:16" ht="15.75">
      <c r="A37" s="235" t="s">
        <v>1501</v>
      </c>
      <c r="B37" s="236">
        <f>H20</f>
        <v>660691718</v>
      </c>
      <c r="C37" s="240">
        <f>B37/B34</f>
        <v>4.7586837954528872E-2</v>
      </c>
      <c r="D37" s="220"/>
      <c r="E37" s="220"/>
      <c r="F37" s="212"/>
      <c r="L37" s="212"/>
      <c r="M37" s="219"/>
      <c r="N37" s="219"/>
      <c r="O37" s="219"/>
      <c r="P37" s="219"/>
    </row>
    <row r="38" spans="1:16" ht="15.75">
      <c r="A38" s="235" t="s">
        <v>1503</v>
      </c>
      <c r="B38" s="236">
        <f>J20</f>
        <v>660691718</v>
      </c>
      <c r="C38" s="240">
        <f>B38/B34</f>
        <v>4.7586837954528872E-2</v>
      </c>
      <c r="D38" s="220"/>
      <c r="E38" s="220"/>
      <c r="F38" s="212"/>
      <c r="L38" s="212"/>
      <c r="M38" s="219"/>
      <c r="N38" s="219"/>
      <c r="O38" s="219"/>
      <c r="P38" s="219"/>
    </row>
    <row r="39" spans="1:16" ht="15.75">
      <c r="A39" s="241" t="s">
        <v>1505</v>
      </c>
      <c r="B39" s="236">
        <f>L20</f>
        <v>9330583353.8699989</v>
      </c>
      <c r="C39" s="240">
        <f>B39/B34</f>
        <v>0.67204256688114883</v>
      </c>
      <c r="D39" s="220"/>
      <c r="E39" s="220"/>
      <c r="F39" s="212"/>
      <c r="L39" s="212"/>
      <c r="M39" s="219"/>
      <c r="N39" s="219"/>
      <c r="O39" s="219"/>
      <c r="P39" s="219"/>
    </row>
    <row r="40" spans="1:16">
      <c r="A40" s="244"/>
      <c r="B40" s="198"/>
      <c r="C40" s="198"/>
      <c r="D40" s="198"/>
      <c r="E40" s="198"/>
      <c r="F40" s="212"/>
      <c r="L40" s="212"/>
      <c r="M40" s="219"/>
      <c r="N40" s="219"/>
      <c r="O40" s="219"/>
      <c r="P40" s="219"/>
    </row>
    <row r="41" spans="1:16" s="193" customFormat="1">
      <c r="A41" s="244"/>
      <c r="B41" s="198"/>
      <c r="C41" s="198"/>
      <c r="D41" s="198"/>
      <c r="E41" s="198"/>
      <c r="F41" s="212"/>
      <c r="M41" s="168"/>
      <c r="N41" s="168"/>
      <c r="O41" s="168"/>
      <c r="P41" s="168"/>
    </row>
    <row r="42" spans="1:16" s="193" customFormat="1">
      <c r="A42" s="242"/>
      <c r="B42" s="243"/>
      <c r="C42" s="243"/>
      <c r="D42" s="212"/>
      <c r="E42" s="212"/>
      <c r="F42" s="212"/>
      <c r="M42" s="168"/>
      <c r="N42" s="168"/>
      <c r="O42" s="168"/>
      <c r="P42" s="168"/>
    </row>
    <row r="43" spans="1:16">
      <c r="A43" s="242"/>
      <c r="B43" s="243"/>
      <c r="C43" s="243"/>
      <c r="D43" s="212"/>
      <c r="E43" s="212"/>
      <c r="F43" s="212"/>
    </row>
    <row r="44" spans="1:16">
      <c r="A44" s="242"/>
      <c r="B44" s="243"/>
      <c r="C44" s="243"/>
      <c r="D44" s="212"/>
      <c r="E44" s="212"/>
      <c r="F44" s="212"/>
    </row>
    <row r="45" spans="1:16">
      <c r="A45" s="242"/>
      <c r="B45" s="243"/>
      <c r="C45" s="243"/>
      <c r="D45" s="212"/>
      <c r="E45" s="212"/>
      <c r="F45" s="212"/>
    </row>
    <row r="46" spans="1:16">
      <c r="A46" s="242"/>
      <c r="B46" s="243"/>
      <c r="C46" s="243"/>
      <c r="D46" s="212"/>
      <c r="E46" s="212"/>
      <c r="F46" s="212"/>
    </row>
    <row r="47" spans="1:16" ht="15">
      <c r="A47" s="231" t="s">
        <v>1496</v>
      </c>
      <c r="B47" s="232" t="s">
        <v>1510</v>
      </c>
      <c r="C47" s="233" t="s">
        <v>1497</v>
      </c>
      <c r="D47" s="212"/>
      <c r="E47" s="212"/>
      <c r="F47" s="212"/>
    </row>
    <row r="48" spans="1:16" ht="15.75">
      <c r="A48" s="235" t="s">
        <v>1513</v>
      </c>
      <c r="B48" s="236">
        <f>B22</f>
        <v>419927151314.08997</v>
      </c>
      <c r="C48" s="237">
        <f>B48/B48</f>
        <v>1</v>
      </c>
      <c r="D48" s="212"/>
      <c r="E48" s="212"/>
      <c r="F48" s="212"/>
    </row>
    <row r="49" spans="1:6" ht="15.75">
      <c r="A49" s="235" t="s">
        <v>1498</v>
      </c>
      <c r="B49" s="236">
        <f>D22</f>
        <v>169832581654.23999</v>
      </c>
      <c r="C49" s="239">
        <f>B49/B48</f>
        <v>0.40443343833038198</v>
      </c>
      <c r="D49" s="212"/>
      <c r="E49" s="212"/>
      <c r="F49" s="212"/>
    </row>
    <row r="50" spans="1:6" ht="15.75">
      <c r="A50" s="235" t="s">
        <v>1499</v>
      </c>
      <c r="B50" s="236">
        <f>F22</f>
        <v>120183438781.91</v>
      </c>
      <c r="C50" s="240">
        <f>B50/B48</f>
        <v>0.28620068601379206</v>
      </c>
      <c r="D50" s="212"/>
      <c r="E50" s="212"/>
      <c r="F50" s="212"/>
    </row>
    <row r="51" spans="1:6" ht="15.75">
      <c r="A51" s="235" t="s">
        <v>1501</v>
      </c>
      <c r="B51" s="236">
        <f>H22</f>
        <v>54042430962.400002</v>
      </c>
      <c r="C51" s="240">
        <f>B51/B48</f>
        <v>0.12869477668515475</v>
      </c>
      <c r="D51" s="212"/>
      <c r="E51" s="212"/>
      <c r="F51" s="212"/>
    </row>
    <row r="52" spans="1:6" ht="15.75">
      <c r="A52" s="235" t="s">
        <v>1503</v>
      </c>
      <c r="B52" s="236">
        <f>J22</f>
        <v>54042430962.400002</v>
      </c>
      <c r="C52" s="240">
        <f>B52/B48</f>
        <v>0.12869477668515475</v>
      </c>
      <c r="D52" s="212"/>
      <c r="E52" s="212"/>
      <c r="F52" s="212"/>
    </row>
    <row r="53" spans="1:6" ht="15.75">
      <c r="A53" s="241" t="s">
        <v>1505</v>
      </c>
      <c r="B53" s="236">
        <f>L22</f>
        <v>250094569659.84998</v>
      </c>
      <c r="C53" s="240">
        <f>B53/B48</f>
        <v>0.59556656166961797</v>
      </c>
      <c r="D53" s="212"/>
      <c r="E53" s="212"/>
      <c r="F53" s="212"/>
    </row>
    <row r="54" spans="1:6">
      <c r="A54" s="221"/>
      <c r="B54" s="212"/>
      <c r="C54" s="212"/>
      <c r="D54" s="212"/>
      <c r="E54" s="212"/>
      <c r="F54" s="212"/>
    </row>
    <row r="55" spans="1:6">
      <c r="A55" s="221"/>
      <c r="B55" s="212"/>
      <c r="C55" s="212"/>
      <c r="D55" s="212"/>
      <c r="E55" s="212"/>
      <c r="F55" s="212"/>
    </row>
    <row r="56" spans="1:6">
      <c r="A56" s="221"/>
      <c r="B56" s="212"/>
      <c r="C56" s="212"/>
      <c r="D56" s="212"/>
      <c r="E56" s="212"/>
      <c r="F56" s="212"/>
    </row>
    <row r="57" spans="1:6">
      <c r="A57" s="221"/>
      <c r="B57" s="212"/>
      <c r="C57" s="212"/>
      <c r="D57" s="212"/>
      <c r="E57" s="212"/>
      <c r="F57" s="212"/>
    </row>
    <row r="58" spans="1:6">
      <c r="A58" s="219"/>
      <c r="B58" s="212"/>
      <c r="C58" s="212"/>
      <c r="D58" s="212"/>
      <c r="E58" s="212"/>
      <c r="F58" s="212"/>
    </row>
    <row r="59" spans="1:6">
      <c r="A59" s="219"/>
      <c r="B59" s="212"/>
      <c r="C59" s="212"/>
      <c r="D59" s="212"/>
      <c r="E59" s="212"/>
      <c r="F59" s="212"/>
    </row>
    <row r="60" spans="1:6">
      <c r="A60" s="219"/>
      <c r="B60" s="212"/>
      <c r="C60" s="212"/>
      <c r="D60" s="212"/>
      <c r="E60" s="212"/>
      <c r="F60" s="212"/>
    </row>
    <row r="61" spans="1:6">
      <c r="A61" s="168"/>
      <c r="B61" s="212"/>
      <c r="C61" s="212"/>
      <c r="D61" s="212"/>
      <c r="E61" s="212"/>
      <c r="F61" s="212"/>
    </row>
    <row r="62" spans="1:6">
      <c r="A62" s="168"/>
      <c r="B62" s="212"/>
      <c r="C62" s="212"/>
      <c r="D62" s="212"/>
      <c r="E62" s="212"/>
      <c r="F62" s="212"/>
    </row>
    <row r="63" spans="1:6">
      <c r="A63" s="168"/>
      <c r="B63" s="212"/>
      <c r="C63" s="212"/>
      <c r="D63" s="212"/>
      <c r="E63" s="212"/>
      <c r="F63" s="212"/>
    </row>
    <row r="64" spans="1:6">
      <c r="B64" s="212"/>
      <c r="C64" s="212"/>
      <c r="D64" s="212"/>
      <c r="E64" s="212"/>
      <c r="F64" s="212"/>
    </row>
    <row r="65" spans="1:16">
      <c r="B65" s="212"/>
      <c r="C65" s="212"/>
      <c r="D65" s="212"/>
      <c r="E65" s="212"/>
      <c r="F65" s="212"/>
    </row>
    <row r="66" spans="1:16">
      <c r="B66" s="212"/>
      <c r="C66" s="212"/>
      <c r="D66" s="212"/>
      <c r="E66" s="212"/>
      <c r="F66" s="212"/>
    </row>
    <row r="67" spans="1:16">
      <c r="B67" s="212"/>
      <c r="C67" s="212"/>
      <c r="D67" s="212"/>
      <c r="E67" s="212"/>
      <c r="F67" s="212"/>
    </row>
    <row r="68" spans="1:16">
      <c r="B68" s="212"/>
      <c r="C68" s="212"/>
      <c r="D68" s="212"/>
      <c r="E68" s="212"/>
      <c r="F68" s="212"/>
    </row>
    <row r="69" spans="1:16">
      <c r="B69" s="212"/>
      <c r="C69" s="212"/>
      <c r="D69" s="212"/>
      <c r="E69" s="212"/>
      <c r="F69" s="212"/>
    </row>
    <row r="70" spans="1:16">
      <c r="B70" s="212"/>
      <c r="C70" s="212"/>
      <c r="D70" s="212"/>
      <c r="E70" s="212"/>
      <c r="F70" s="212"/>
    </row>
    <row r="72" spans="1:16" s="193" customFormat="1">
      <c r="A72" s="196"/>
      <c r="M72" s="168"/>
      <c r="N72" s="168"/>
      <c r="O72" s="168"/>
      <c r="P72" s="168"/>
    </row>
    <row r="73" spans="1:16" s="193" customFormat="1">
      <c r="M73" s="168"/>
      <c r="N73" s="168"/>
      <c r="O73" s="168"/>
      <c r="P73" s="168"/>
    </row>
    <row r="74" spans="1:16" s="193" customFormat="1">
      <c r="M74" s="168"/>
      <c r="N74" s="168"/>
      <c r="O74" s="168"/>
      <c r="P74" s="168"/>
    </row>
    <row r="75" spans="1:16" s="193" customFormat="1">
      <c r="M75" s="168"/>
      <c r="N75" s="168"/>
      <c r="O75" s="168"/>
      <c r="P75" s="168"/>
    </row>
    <row r="76" spans="1:16" s="193" customFormat="1">
      <c r="M76" s="168"/>
      <c r="N76" s="168"/>
      <c r="O76" s="168"/>
      <c r="P76" s="168"/>
    </row>
    <row r="77" spans="1:16" s="193" customFormat="1">
      <c r="M77" s="168"/>
      <c r="N77" s="168"/>
      <c r="O77" s="168"/>
      <c r="P77" s="168"/>
    </row>
    <row r="78" spans="1:16" s="193" customFormat="1">
      <c r="M78" s="168"/>
      <c r="N78" s="168"/>
      <c r="O78" s="168"/>
      <c r="P78" s="168"/>
    </row>
  </sheetData>
  <mergeCells count="7">
    <mergeCell ref="D31:E31"/>
    <mergeCell ref="A1:M1"/>
    <mergeCell ref="D26:E26"/>
    <mergeCell ref="D27:E27"/>
    <mergeCell ref="D28:E28"/>
    <mergeCell ref="D29:E29"/>
    <mergeCell ref="D30:E30"/>
  </mergeCells>
  <conditionalFormatting sqref="G3">
    <cfRule type="cellIs" dxfId="44" priority="41" operator="between">
      <formula>0</formula>
      <formula>0.3999</formula>
    </cfRule>
    <cfRule type="cellIs" dxfId="43" priority="42" operator="between">
      <formula>0.4</formula>
      <formula>0.59</formula>
    </cfRule>
    <cfRule type="cellIs" dxfId="42" priority="43" operator="between">
      <formula>0.6</formula>
      <formula>0.69</formula>
    </cfRule>
    <cfRule type="cellIs" dxfId="41" priority="44" operator="between">
      <formula>0.7</formula>
      <formula>0.79</formula>
    </cfRule>
    <cfRule type="cellIs" dxfId="40" priority="45" operator="between">
      <formula>0.8</formula>
      <formula>1</formula>
    </cfRule>
  </conditionalFormatting>
  <conditionalFormatting sqref="G4:G15">
    <cfRule type="cellIs" dxfId="39" priority="36" operator="between">
      <formula>0</formula>
      <formula>0.3999</formula>
    </cfRule>
    <cfRule type="cellIs" dxfId="38" priority="37" operator="between">
      <formula>0.395</formula>
      <formula>0.5949</formula>
    </cfRule>
    <cfRule type="cellIs" dxfId="37" priority="38" operator="between">
      <formula>0.6</formula>
      <formula>0.695</formula>
    </cfRule>
    <cfRule type="cellIs" dxfId="36" priority="39" operator="between">
      <formula>0.695</formula>
      <formula>0.7949</formula>
    </cfRule>
    <cfRule type="cellIs" dxfId="35" priority="40" operator="between">
      <formula>0.795</formula>
      <formula>1</formula>
    </cfRule>
  </conditionalFormatting>
  <conditionalFormatting sqref="G17:G19">
    <cfRule type="cellIs" dxfId="34" priority="31" operator="between">
      <formula>0</formula>
      <formula>0.3999</formula>
    </cfRule>
    <cfRule type="cellIs" dxfId="33" priority="32" operator="between">
      <formula>0.4</formula>
      <formula>0.59</formula>
    </cfRule>
    <cfRule type="cellIs" dxfId="32" priority="33" operator="between">
      <formula>0.6</formula>
      <formula>0.695</formula>
    </cfRule>
    <cfRule type="cellIs" dxfId="31" priority="34" operator="between">
      <formula>0.695</formula>
      <formula>0.7949</formula>
    </cfRule>
    <cfRule type="cellIs" dxfId="30" priority="35" operator="between">
      <formula>0.8</formula>
      <formula>1</formula>
    </cfRule>
  </conditionalFormatting>
  <conditionalFormatting sqref="G20">
    <cfRule type="cellIs" dxfId="29" priority="26" operator="between">
      <formula>0</formula>
      <formula>0.3999</formula>
    </cfRule>
    <cfRule type="cellIs" dxfId="28" priority="27" operator="between">
      <formula>0.4</formula>
      <formula>0.59</formula>
    </cfRule>
    <cfRule type="cellIs" dxfId="27" priority="28" operator="between">
      <formula>0.595</formula>
      <formula>0.6949</formula>
    </cfRule>
    <cfRule type="cellIs" dxfId="26" priority="29" operator="between">
      <formula>0.69</formula>
      <formula>0.79</formula>
    </cfRule>
    <cfRule type="cellIs" dxfId="25" priority="30" operator="between">
      <formula>0.8</formula>
      <formula>1</formula>
    </cfRule>
  </conditionalFormatting>
  <conditionalFormatting sqref="G22">
    <cfRule type="cellIs" dxfId="24" priority="21" operator="between">
      <formula>0</formula>
      <formula>0.3999</formula>
    </cfRule>
    <cfRule type="cellIs" dxfId="23" priority="22" operator="between">
      <formula>0.4</formula>
      <formula>0.59</formula>
    </cfRule>
    <cfRule type="cellIs" dxfId="22" priority="23" operator="between">
      <formula>0.595</formula>
      <formula>0.6949</formula>
    </cfRule>
    <cfRule type="cellIs" dxfId="21" priority="24" operator="between">
      <formula>0.7</formula>
      <formula>0.79</formula>
    </cfRule>
    <cfRule type="cellIs" dxfId="20" priority="25" operator="between">
      <formula>0.8</formula>
      <formula>1</formula>
    </cfRule>
  </conditionalFormatting>
  <conditionalFormatting sqref="G16">
    <cfRule type="cellIs" dxfId="19" priority="16" operator="between">
      <formula>0</formula>
      <formula>0.3999</formula>
    </cfRule>
    <cfRule type="cellIs" dxfId="18" priority="17" operator="between">
      <formula>0.4</formula>
      <formula>0.59</formula>
    </cfRule>
    <cfRule type="cellIs" dxfId="17" priority="18" operator="between">
      <formula>0.6</formula>
      <formula>0.695</formula>
    </cfRule>
    <cfRule type="cellIs" dxfId="16" priority="19" operator="between">
      <formula>0.695</formula>
      <formula>0.7949</formula>
    </cfRule>
    <cfRule type="cellIs" dxfId="15" priority="20" operator="greaterThan">
      <formula>0.795</formula>
    </cfRule>
  </conditionalFormatting>
  <conditionalFormatting sqref="I3">
    <cfRule type="cellIs" dxfId="14" priority="11" operator="between">
      <formula>0</formula>
      <formula>0.3999</formula>
    </cfRule>
    <cfRule type="cellIs" dxfId="13" priority="12" operator="between">
      <formula>0.4</formula>
      <formula>0.59</formula>
    </cfRule>
    <cfRule type="cellIs" dxfId="12" priority="13" operator="between">
      <formula>0.6</formula>
      <formula>0.69</formula>
    </cfRule>
    <cfRule type="cellIs" dxfId="11" priority="14" operator="between">
      <formula>0.7</formula>
      <formula>0.79</formula>
    </cfRule>
    <cfRule type="cellIs" dxfId="10" priority="15" operator="between">
      <formula>0.8</formula>
      <formula>1</formula>
    </cfRule>
  </conditionalFormatting>
  <conditionalFormatting sqref="I4:I20">
    <cfRule type="cellIs" dxfId="9" priority="6" operator="between">
      <formula>0</formula>
      <formula>0.3999</formula>
    </cfRule>
    <cfRule type="cellIs" dxfId="8" priority="7" operator="between">
      <formula>0.4</formula>
      <formula>0.59</formula>
    </cfRule>
    <cfRule type="cellIs" dxfId="7" priority="8" operator="between">
      <formula>0.6</formula>
      <formula>0.69</formula>
    </cfRule>
    <cfRule type="cellIs" dxfId="6" priority="9" operator="between">
      <formula>0.7</formula>
      <formula>0.79</formula>
    </cfRule>
    <cfRule type="cellIs" dxfId="5" priority="10" operator="between">
      <formula>0.8</formula>
      <formula>1</formula>
    </cfRule>
  </conditionalFormatting>
  <conditionalFormatting sqref="I22">
    <cfRule type="cellIs" dxfId="4" priority="1" operator="between">
      <formula>0</formula>
      <formula>0.3999</formula>
    </cfRule>
    <cfRule type="cellIs" dxfId="3" priority="2" operator="between">
      <formula>0.4</formula>
      <formula>0.59</formula>
    </cfRule>
    <cfRule type="cellIs" dxfId="2" priority="3" operator="between">
      <formula>0.6</formula>
      <formula>0.69</formula>
    </cfRule>
    <cfRule type="cellIs" dxfId="1" priority="4" operator="between">
      <formula>0.7</formula>
      <formula>0.79</formula>
    </cfRule>
    <cfRule type="cellIs" dxfId="0" priority="5" operator="between">
      <formula>0.8</formula>
      <formula>1</formula>
    </cfRule>
  </conditionalFormatting>
  <pageMargins left="0.7" right="0.7" top="0.75" bottom="0.75" header="0.3" footer="0.3"/>
  <pageSetup orientation="portrait" verticalDpi="36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C19"/>
  <sheetViews>
    <sheetView showGridLines="0" workbookViewId="0">
      <selection activeCell="F12" sqref="F12"/>
    </sheetView>
  </sheetViews>
  <sheetFormatPr baseColWidth="10" defaultRowHeight="15"/>
  <cols>
    <col min="2" max="2" width="50.85546875" customWidth="1"/>
    <col min="3" max="3" width="16.140625" customWidth="1"/>
  </cols>
  <sheetData>
    <row r="1" spans="2:3" ht="51" customHeight="1">
      <c r="B1" s="566" t="s">
        <v>1516</v>
      </c>
      <c r="C1" s="567"/>
    </row>
    <row r="2" spans="2:3" ht="25.5">
      <c r="B2" s="222" t="s">
        <v>22</v>
      </c>
      <c r="C2" s="246" t="s">
        <v>1514</v>
      </c>
    </row>
    <row r="3" spans="2:3" ht="17.25" customHeight="1">
      <c r="B3" s="170" t="s">
        <v>1487</v>
      </c>
      <c r="C3" s="247">
        <f>'RELACIÓN PROYECTOS'!A8</f>
        <v>4</v>
      </c>
    </row>
    <row r="4" spans="2:3" ht="17.25" customHeight="1">
      <c r="B4" s="170" t="s">
        <v>1412</v>
      </c>
      <c r="C4" s="247">
        <f>'RELACIÓN PROYECTOS'!A17-'RELACIÓN PROYECTOS'!A8</f>
        <v>7</v>
      </c>
    </row>
    <row r="5" spans="2:3" ht="17.25" customHeight="1">
      <c r="B5" s="170" t="s">
        <v>1488</v>
      </c>
      <c r="C5" s="247">
        <f>'RELACIÓN PROYECTOS'!A21-'RELACIÓN PROYECTOS'!A17</f>
        <v>2</v>
      </c>
    </row>
    <row r="6" spans="2:3" ht="17.25" customHeight="1">
      <c r="B6" s="170" t="s">
        <v>1413</v>
      </c>
      <c r="C6" s="247">
        <f>'RELACIÓN PROYECTOS'!A46-'RELACIÓN PROYECTOS'!A21</f>
        <v>20</v>
      </c>
    </row>
    <row r="7" spans="2:3" ht="17.25" customHeight="1">
      <c r="B7" s="170" t="s">
        <v>1414</v>
      </c>
      <c r="C7" s="247">
        <f>'RELACIÓN PROYECTOS'!A62-'RELACIÓN PROYECTOS'!A46</f>
        <v>12</v>
      </c>
    </row>
    <row r="8" spans="2:3" ht="17.25" customHeight="1">
      <c r="B8" s="170" t="s">
        <v>170</v>
      </c>
      <c r="C8" s="247">
        <f>'RELACIÓN PROYECTOS'!A68-'RELACIÓN PROYECTOS'!A62</f>
        <v>4</v>
      </c>
    </row>
    <row r="9" spans="2:3" ht="17.25" customHeight="1">
      <c r="B9" s="183" t="s">
        <v>1415</v>
      </c>
      <c r="C9" s="247">
        <f>'RELACIÓN PROYECTOS'!A76-'RELACIÓN PROYECTOS'!A68</f>
        <v>6</v>
      </c>
    </row>
    <row r="10" spans="2:3" ht="17.25" customHeight="1">
      <c r="B10" s="183" t="s">
        <v>1489</v>
      </c>
      <c r="C10" s="248">
        <f>'RELACIÓN PROYECTOS'!A98-'RELACIÓN PROYECTOS'!A76</f>
        <v>19</v>
      </c>
    </row>
    <row r="11" spans="2:3" ht="17.25" customHeight="1">
      <c r="B11" s="170" t="s">
        <v>1422</v>
      </c>
      <c r="C11" s="247">
        <f>'RELACIÓN PROYECTOS'!A104-'RELACIÓN PROYECTOS'!A98</f>
        <v>4</v>
      </c>
    </row>
    <row r="12" spans="2:3" ht="17.25" customHeight="1">
      <c r="B12" s="170" t="s">
        <v>160</v>
      </c>
      <c r="C12" s="247">
        <f>'RELACIÓN PROYECTOS'!A116-'RELACIÓN PROYECTOS'!A104</f>
        <v>9</v>
      </c>
    </row>
    <row r="13" spans="2:3" ht="17.25" customHeight="1">
      <c r="B13" s="170" t="s">
        <v>1416</v>
      </c>
      <c r="C13" s="247">
        <f>'RELACIÓN PROYECTOS'!A145-'RELACIÓN PROYECTOS'!A116</f>
        <v>25</v>
      </c>
    </row>
    <row r="14" spans="2:3" ht="17.25" customHeight="1">
      <c r="B14" s="170" t="s">
        <v>1417</v>
      </c>
      <c r="C14" s="247">
        <f>'RELACIÓN PROYECTOS'!A170-'RELACIÓN PROYECTOS'!A145</f>
        <v>23</v>
      </c>
    </row>
    <row r="15" spans="2:3" ht="17.25" customHeight="1">
      <c r="B15" s="183" t="s">
        <v>1490</v>
      </c>
      <c r="C15" s="248">
        <f>'RELACIÓN PROYECTOS'!A180-'RELACIÓN PROYECTOS'!A170</f>
        <v>6</v>
      </c>
    </row>
    <row r="16" spans="2:3" ht="17.25" customHeight="1">
      <c r="B16" s="170" t="s">
        <v>1492</v>
      </c>
      <c r="C16" s="247">
        <f>'RELACIÓN PROYECTOS'!A185-'RELACIÓN PROYECTOS'!A180</f>
        <v>3</v>
      </c>
    </row>
    <row r="17" spans="2:3" ht="17.25" customHeight="1">
      <c r="B17" s="170" t="s">
        <v>1418</v>
      </c>
      <c r="C17" s="247">
        <f>'RELACIÓN PROYECTOS'!A198-'RELACIÓN PROYECTOS'!A188</f>
        <v>6</v>
      </c>
    </row>
    <row r="18" spans="2:3" ht="17.25" customHeight="1">
      <c r="B18" s="183" t="s">
        <v>1493</v>
      </c>
      <c r="C18" s="247">
        <f>'RELACIÓN PROYECTOS'!A198-'RELACIÓN PROYECTOS'!A195</f>
        <v>1</v>
      </c>
    </row>
    <row r="19" spans="2:3" ht="23.25" customHeight="1">
      <c r="B19" s="245" t="s">
        <v>1515</v>
      </c>
      <c r="C19" s="249">
        <f>SUM(C3:C18)</f>
        <v>151</v>
      </c>
    </row>
  </sheetData>
  <mergeCells count="1">
    <mergeCell ref="B1:C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SGTO POAI 2023 MARZO</vt:lpstr>
      <vt:lpstr>RESUMEN PROGRAMAS</vt:lpstr>
      <vt:lpstr>FUENTES POR UNIDAD</vt:lpstr>
      <vt:lpstr>LÍNEA ESTRATEGICA</vt:lpstr>
      <vt:lpstr>RELACIÓN PROYECTOS</vt:lpstr>
      <vt:lpstr>CONSOLIDADO UNIDADES</vt:lpstr>
      <vt:lpstr>No. DE PROYECTOS</vt:lpstr>
      <vt:lpstr>'SGTO POAI 2023 MARZO'!Área_de_impresión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Lucia</dc:creator>
  <cp:keywords/>
  <dc:description/>
  <cp:lastModifiedBy>AUXPLANEACION19</cp:lastModifiedBy>
  <cp:revision/>
  <dcterms:created xsi:type="dcterms:W3CDTF">2020-08-12T15:20:51Z</dcterms:created>
  <dcterms:modified xsi:type="dcterms:W3CDTF">2023-07-27T07:55:17Z</dcterms:modified>
  <cp:category/>
  <cp:contentStatus/>
</cp:coreProperties>
</file>