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mc:AlternateContent xmlns:mc="http://schemas.openxmlformats.org/markup-compatibility/2006">
    <mc:Choice Requires="x15">
      <x15ac:absPath xmlns:x15ac="http://schemas.microsoft.com/office/spreadsheetml/2010/11/ac" url="C:\Gobernacion 2023\Sgto PDD 2023\IV TRIMESTRE 2023\"/>
    </mc:Choice>
  </mc:AlternateContent>
  <bookViews>
    <workbookView xWindow="0" yWindow="0" windowWidth="13890" windowHeight="8640"/>
  </bookViews>
  <sheets>
    <sheet name="SGTO POAI 2023 NOV-DIC" sheetId="14" r:id="rId1"/>
    <sheet name="RESUMEN PROGRAMAS" sheetId="15" r:id="rId2"/>
    <sheet name="FUENTES POR UNIDAD" sheetId="23" r:id="rId3"/>
    <sheet name="LÍNEA ESTRATEGICA" sheetId="18" r:id="rId4"/>
    <sheet name="RELACIÓN PROYECTOS" sheetId="20" r:id="rId5"/>
    <sheet name="CONSOLIDADO UNIDADES" sheetId="24" r:id="rId6"/>
  </sheets>
  <externalReferences>
    <externalReference r:id="rId7"/>
  </externalReferences>
  <definedNames>
    <definedName name="_1._Apoyo_con_equipos_para_la_seguridad_vial_Licenciamiento_de_software_para_comunicaciones" localSheetId="5">#REF!</definedName>
    <definedName name="_1._Apoyo_con_equipos_para_la_seguridad_vial_Licenciamiento_de_software_para_comunicaciones" localSheetId="2">#REF!</definedName>
    <definedName name="_1._Apoyo_con_equipos_para_la_seguridad_vial_Licenciamiento_de_software_para_comunicaciones">#REF!</definedName>
    <definedName name="_xlnm._FilterDatabase" localSheetId="2" hidden="1">'FUENTES POR UNIDAD'!$C$1:$C$86</definedName>
    <definedName name="_xlnm._FilterDatabase" localSheetId="4" hidden="1">'RELACIÓN PROYECTOS'!$B$2:$D$201</definedName>
    <definedName name="_xlnm._FilterDatabase" localSheetId="1" hidden="1">'RESUMEN PROGRAMAS'!$E$1:$E$195</definedName>
    <definedName name="_xlnm._FilterDatabase" localSheetId="0" hidden="1">'SGTO POAI 2023 NOV-DIC'!$A$7:$BQ$310</definedName>
    <definedName name="aa" localSheetId="5">#REF!</definedName>
    <definedName name="aa" localSheetId="2">#REF!</definedName>
    <definedName name="aa">#REF!</definedName>
    <definedName name="_xlnm.Print_Area" localSheetId="0">'SGTO POAI 2023 NOV-DIC'!$A$1:$BF$82</definedName>
    <definedName name="CODIGO_DIVIPOLA" localSheetId="5">#REF!</definedName>
    <definedName name="CODIGO_DIVIPOLA" localSheetId="2">#REF!</definedName>
    <definedName name="CODIGO_DIVIPOLA">#REF!</definedName>
    <definedName name="DboREGISTRO_LEY_617" localSheetId="5">#REF!</definedName>
    <definedName name="DboREGISTRO_LEY_617" localSheetId="2">#REF!</definedName>
    <definedName name="DboREGISTRO_LEY_617">#REF!</definedName>
    <definedName name="ññ" localSheetId="5">#REF!</definedName>
    <definedName name="ññ" localSheetId="2">#REF!</definedName>
    <definedName name="ññ">#REF!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310" i="14" l="1"/>
  <c r="AD310" i="14"/>
  <c r="AF310" i="14"/>
  <c r="AG310" i="14"/>
  <c r="AJ310" i="14"/>
  <c r="AM310" i="14"/>
  <c r="AO310" i="14"/>
  <c r="AP310" i="14"/>
  <c r="AR310" i="14"/>
  <c r="AS310" i="14"/>
  <c r="AV310" i="14"/>
  <c r="AY310" i="14"/>
  <c r="BA310" i="14"/>
  <c r="BB310" i="14"/>
  <c r="BD310" i="14"/>
  <c r="BE310" i="14"/>
  <c r="W296" i="14" l="1"/>
  <c r="E25" i="23"/>
  <c r="F21" i="23"/>
  <c r="AW35" i="14"/>
  <c r="F79" i="23" l="1"/>
  <c r="D79" i="23"/>
  <c r="F78" i="23"/>
  <c r="D78" i="23"/>
  <c r="F75" i="23"/>
  <c r="D75" i="23"/>
  <c r="F74" i="23"/>
  <c r="D74" i="23"/>
  <c r="F73" i="23"/>
  <c r="D73" i="23"/>
  <c r="F72" i="23"/>
  <c r="D72" i="23"/>
  <c r="F71" i="23"/>
  <c r="D71" i="23"/>
  <c r="F70" i="23"/>
  <c r="D70" i="23"/>
  <c r="F65" i="23"/>
  <c r="D65" i="23"/>
  <c r="F62" i="23"/>
  <c r="D62" i="23"/>
  <c r="F61" i="23"/>
  <c r="F60" i="23"/>
  <c r="F59" i="23"/>
  <c r="F58" i="23"/>
  <c r="D58" i="23"/>
  <c r="F55" i="23"/>
  <c r="F54" i="23"/>
  <c r="D54" i="23"/>
  <c r="F51" i="23"/>
  <c r="D51" i="23"/>
  <c r="F50" i="23"/>
  <c r="F49" i="23"/>
  <c r="D49" i="23"/>
  <c r="F48" i="23"/>
  <c r="D48" i="23"/>
  <c r="F45" i="23"/>
  <c r="D45" i="23"/>
  <c r="F42" i="23"/>
  <c r="D42" i="23"/>
  <c r="F39" i="23"/>
  <c r="D39" i="23"/>
  <c r="F38" i="23"/>
  <c r="D38" i="23"/>
  <c r="F35" i="23"/>
  <c r="D35" i="23"/>
  <c r="F34" i="23"/>
  <c r="D34" i="23"/>
  <c r="F33" i="23"/>
  <c r="D33" i="23"/>
  <c r="F30" i="23"/>
  <c r="D30" i="23"/>
  <c r="F29" i="23"/>
  <c r="D29" i="23"/>
  <c r="F26" i="23"/>
  <c r="D26" i="23"/>
  <c r="F24" i="23"/>
  <c r="D24" i="23"/>
  <c r="F23" i="23"/>
  <c r="D23" i="23"/>
  <c r="F22" i="23"/>
  <c r="D22" i="23"/>
  <c r="D21" i="23"/>
  <c r="F20" i="23"/>
  <c r="D20" i="23"/>
  <c r="F19" i="23"/>
  <c r="D19" i="23"/>
  <c r="F18" i="23"/>
  <c r="D18" i="23"/>
  <c r="F15" i="23"/>
  <c r="D15" i="23"/>
  <c r="F14" i="23"/>
  <c r="D14" i="23"/>
  <c r="F11" i="23"/>
  <c r="F8" i="23"/>
  <c r="D8" i="23"/>
  <c r="F7" i="23"/>
  <c r="D7" i="23"/>
  <c r="F17" i="23" l="1"/>
  <c r="D17" i="23"/>
  <c r="AE292" i="14" l="1"/>
  <c r="AE289" i="14"/>
  <c r="AU262" i="14" l="1"/>
  <c r="D61" i="23" s="1"/>
  <c r="AL262" i="14"/>
  <c r="AI259" i="14"/>
  <c r="AI244" i="14"/>
  <c r="AI238" i="14"/>
  <c r="D60" i="23" l="1"/>
  <c r="AL310" i="14"/>
  <c r="AU169" i="14"/>
  <c r="AU168" i="14"/>
  <c r="AU167" i="14"/>
  <c r="D50" i="23" l="1"/>
  <c r="AU193" i="14"/>
  <c r="D55" i="23" s="1"/>
  <c r="AB197" i="14" l="1"/>
  <c r="AT204" i="14"/>
  <c r="AT203" i="14"/>
  <c r="AT202" i="14"/>
  <c r="AT201" i="14"/>
  <c r="AT200" i="14"/>
  <c r="AT198" i="14"/>
  <c r="AT196" i="14"/>
  <c r="AT194" i="14"/>
  <c r="AT192" i="14"/>
  <c r="AT189" i="14"/>
  <c r="AT188" i="14"/>
  <c r="AT187" i="14"/>
  <c r="AT186" i="14"/>
  <c r="AT185" i="14"/>
  <c r="AT181" i="14"/>
  <c r="AT180" i="14"/>
  <c r="AT179" i="14"/>
  <c r="AT174" i="14"/>
  <c r="AU22" i="14" l="1"/>
  <c r="AU21" i="14"/>
  <c r="AU20" i="14"/>
  <c r="AU19" i="14"/>
  <c r="AU18" i="14"/>
  <c r="AU17" i="14"/>
  <c r="AU310" i="14" l="1"/>
  <c r="D11" i="23"/>
  <c r="AT286" i="14"/>
  <c r="AT285" i="14"/>
  <c r="AT284" i="14"/>
  <c r="AT283" i="14"/>
  <c r="AT282" i="14"/>
  <c r="AT268" i="14"/>
  <c r="BC249" i="14"/>
  <c r="BF206" i="14"/>
  <c r="BF207" i="14"/>
  <c r="BF208" i="14"/>
  <c r="BF211" i="14"/>
  <c r="BF212" i="14"/>
  <c r="BF213" i="14"/>
  <c r="BF215" i="14"/>
  <c r="BF217" i="14"/>
  <c r="BF218" i="14"/>
  <c r="BF219" i="14"/>
  <c r="BF220" i="14"/>
  <c r="BF221" i="14"/>
  <c r="BF222" i="14"/>
  <c r="BF226" i="14"/>
  <c r="BF227" i="14"/>
  <c r="BF229" i="14"/>
  <c r="BF230" i="14"/>
  <c r="BF231" i="14"/>
  <c r="BF236" i="14"/>
  <c r="BF237" i="14"/>
  <c r="BF238" i="14"/>
  <c r="BF239" i="14"/>
  <c r="BF240" i="14"/>
  <c r="BF242" i="14"/>
  <c r="BF244" i="14"/>
  <c r="BF246" i="14"/>
  <c r="D168" i="20" s="1"/>
  <c r="BF251" i="14"/>
  <c r="BF252" i="14"/>
  <c r="BF255" i="14"/>
  <c r="BF256" i="14"/>
  <c r="BF257" i="14"/>
  <c r="BF261" i="14"/>
  <c r="BF262" i="14"/>
  <c r="AK254" i="14"/>
  <c r="AK253" i="14"/>
  <c r="BF253" i="14" s="1"/>
  <c r="AK225" i="14"/>
  <c r="BF225" i="14" s="1"/>
  <c r="D159" i="20" l="1"/>
  <c r="D160" i="20"/>
  <c r="D157" i="20"/>
  <c r="AK223" i="14"/>
  <c r="BF223" i="14" l="1"/>
  <c r="AH216" i="14"/>
  <c r="BF216" i="14" s="1"/>
  <c r="AH214" i="14"/>
  <c r="BF214" i="14" s="1"/>
  <c r="BC143" i="14"/>
  <c r="AT163" i="14"/>
  <c r="AT160" i="14"/>
  <c r="AT143" i="14"/>
  <c r="AT145" i="14"/>
  <c r="AN163" i="14"/>
  <c r="AN147" i="14"/>
  <c r="AT135" i="14"/>
  <c r="AT134" i="14"/>
  <c r="AT91" i="14"/>
  <c r="AT90" i="14"/>
  <c r="AT89" i="14"/>
  <c r="AT88" i="14"/>
  <c r="AT86" i="14"/>
  <c r="AT61" i="14" l="1"/>
  <c r="AT60" i="14"/>
  <c r="AT59" i="14"/>
  <c r="AT58" i="14"/>
  <c r="AT25" i="14"/>
  <c r="AT24" i="14"/>
  <c r="AT23" i="14"/>
  <c r="AT21" i="14"/>
  <c r="AT22" i="14" l="1"/>
  <c r="AT20" i="14"/>
  <c r="AT18" i="14"/>
  <c r="AT16" i="14"/>
  <c r="AT290" i="14" l="1"/>
  <c r="AW309" i="14" l="1"/>
  <c r="AX309" i="14" s="1"/>
  <c r="AX310" i="14" s="1"/>
  <c r="AW298" i="14"/>
  <c r="AW297" i="14"/>
  <c r="AW296" i="14"/>
  <c r="AW294" i="14"/>
  <c r="BC290" i="14"/>
  <c r="BC289" i="14"/>
  <c r="BC288" i="14"/>
  <c r="AT274" i="14" l="1"/>
  <c r="AT275" i="14"/>
  <c r="AK248" i="14" l="1"/>
  <c r="BF248" i="14" s="1"/>
  <c r="D171" i="20" s="1"/>
  <c r="AT74" i="14" l="1"/>
  <c r="AT73" i="14"/>
  <c r="AT72" i="14"/>
  <c r="AT131" i="14" l="1"/>
  <c r="AT129" i="14"/>
  <c r="AT128" i="14"/>
  <c r="AT127" i="14"/>
  <c r="AT126" i="14"/>
  <c r="AT125" i="14"/>
  <c r="AT121" i="14"/>
  <c r="AT112" i="14" l="1"/>
  <c r="AT107" i="14"/>
  <c r="AT103" i="14"/>
  <c r="AT97" i="14"/>
  <c r="AT264" i="14" l="1"/>
  <c r="AT276" i="14" l="1"/>
  <c r="AT273" i="14"/>
  <c r="AT271" i="14"/>
  <c r="AT272" i="14"/>
  <c r="AT267" i="14"/>
  <c r="AT266" i="14"/>
  <c r="AT265" i="14"/>
  <c r="BC209" i="14"/>
  <c r="BF209" i="14" s="1"/>
  <c r="AT258" i="14"/>
  <c r="BF258" i="14" s="1"/>
  <c r="D161" i="20" s="1"/>
  <c r="AT254" i="14"/>
  <c r="BF254" i="14" s="1"/>
  <c r="D173" i="20" s="1"/>
  <c r="AT247" i="14"/>
  <c r="BF247" i="14" s="1"/>
  <c r="D169" i="20" s="1"/>
  <c r="AH233" i="14"/>
  <c r="BF233" i="14" s="1"/>
  <c r="AH232" i="14"/>
  <c r="BF232" i="14" s="1"/>
  <c r="AH205" i="14"/>
  <c r="BF38" i="14"/>
  <c r="BF205" i="14" l="1"/>
  <c r="AE163" i="14"/>
  <c r="AE143" i="14"/>
  <c r="AT19" i="14" l="1"/>
  <c r="AT17" i="14" l="1"/>
  <c r="AT15" i="14" l="1"/>
  <c r="AT14" i="14"/>
  <c r="AW36" i="14" l="1"/>
  <c r="AW39" i="14"/>
  <c r="BH305" i="14" l="1"/>
  <c r="BG305" i="14"/>
  <c r="AW305" i="14"/>
  <c r="BF305" i="14" s="1"/>
  <c r="AW302" i="14"/>
  <c r="G198" i="20" l="1"/>
  <c r="H186" i="15"/>
  <c r="F186" i="15"/>
  <c r="E198" i="20"/>
  <c r="E186" i="15"/>
  <c r="D198" i="20"/>
  <c r="AH245" i="14"/>
  <c r="BF245" i="14" s="1"/>
  <c r="AH210" i="14"/>
  <c r="AT81" i="14"/>
  <c r="AT77" i="14"/>
  <c r="BF210" i="14" l="1"/>
  <c r="I186" i="15"/>
  <c r="AT100" i="14" l="1"/>
  <c r="AT35" i="14" l="1"/>
  <c r="AT27" i="14"/>
  <c r="AT29" i="14"/>
  <c r="AT31" i="14" l="1"/>
  <c r="AT136" i="14" l="1"/>
  <c r="C73" i="23" l="1"/>
  <c r="E73" i="23" s="1"/>
  <c r="C72" i="23"/>
  <c r="E72" i="23" s="1"/>
  <c r="AT71" i="14" l="1"/>
  <c r="AT69" i="14"/>
  <c r="AT67" i="14"/>
  <c r="AT66" i="14"/>
  <c r="AT55" i="14"/>
  <c r="AB299" i="14" l="1"/>
  <c r="AB298" i="14"/>
  <c r="AB294" i="14"/>
  <c r="BF97" i="14" l="1"/>
  <c r="AT95" i="14"/>
  <c r="AT94" i="14"/>
  <c r="AT93" i="14"/>
  <c r="AT87" i="14"/>
  <c r="AT75" i="14"/>
  <c r="AT70" i="14"/>
  <c r="AK224" i="14" l="1"/>
  <c r="AH234" i="14"/>
  <c r="AH235" i="14"/>
  <c r="BF235" i="14" s="1"/>
  <c r="AH241" i="14"/>
  <c r="BF241" i="14" s="1"/>
  <c r="AH243" i="14"/>
  <c r="BF243" i="14" s="1"/>
  <c r="AH228" i="14"/>
  <c r="AE249" i="14"/>
  <c r="AK249" i="14"/>
  <c r="AE250" i="14"/>
  <c r="AH250" i="14"/>
  <c r="AK250" i="14"/>
  <c r="BC259" i="14"/>
  <c r="BF259" i="14" s="1"/>
  <c r="D163" i="20" s="1"/>
  <c r="BC260" i="14"/>
  <c r="BF260" i="14" s="1"/>
  <c r="D164" i="20" s="1"/>
  <c r="AH263" i="14"/>
  <c r="BF263" i="14" s="1"/>
  <c r="AT199" i="14"/>
  <c r="AT195" i="14"/>
  <c r="AT152" i="14"/>
  <c r="BF228" i="14" l="1"/>
  <c r="AH310" i="14"/>
  <c r="BF224" i="14"/>
  <c r="AK310" i="14"/>
  <c r="D170" i="20"/>
  <c r="BF250" i="14"/>
  <c r="BF249" i="14"/>
  <c r="D162" i="20"/>
  <c r="AI234" i="14"/>
  <c r="BF234" i="14"/>
  <c r="AT316" i="14"/>
  <c r="D158" i="20" l="1"/>
  <c r="AI232" i="14"/>
  <c r="D172" i="20"/>
  <c r="AB27" i="14"/>
  <c r="D59" i="23" l="1"/>
  <c r="AI310" i="14"/>
  <c r="W244" i="14"/>
  <c r="W234" i="14"/>
  <c r="W218" i="14"/>
  <c r="C24" i="23" l="1"/>
  <c r="E24" i="23" s="1"/>
  <c r="AT50" i="14"/>
  <c r="W37" i="14"/>
  <c r="W38" i="14"/>
  <c r="W54" i="14" l="1"/>
  <c r="W49" i="14"/>
  <c r="AW308" i="14" l="1"/>
  <c r="AW307" i="14"/>
  <c r="AW306" i="14"/>
  <c r="AE290" i="14" l="1"/>
  <c r="AB289" i="14" l="1"/>
  <c r="AT172" i="14" l="1"/>
  <c r="AT164" i="14"/>
  <c r="AT162" i="14"/>
  <c r="AT161" i="14"/>
  <c r="AT159" i="14"/>
  <c r="AT158" i="14"/>
  <c r="AT157" i="14"/>
  <c r="AT149" i="14"/>
  <c r="AT146" i="14"/>
  <c r="AT142" i="14"/>
  <c r="AT140" i="14"/>
  <c r="AT139" i="14"/>
  <c r="BH54" i="14" l="1"/>
  <c r="H41" i="15" s="1"/>
  <c r="BG54" i="14"/>
  <c r="F41" i="15" s="1"/>
  <c r="BF54" i="14"/>
  <c r="E41" i="15" s="1"/>
  <c r="E40" i="15" s="1"/>
  <c r="W55" i="14"/>
  <c r="G35" i="20" l="1"/>
  <c r="F40" i="15"/>
  <c r="G41" i="15"/>
  <c r="I41" i="15"/>
  <c r="H40" i="15"/>
  <c r="I40" i="15" s="1"/>
  <c r="D35" i="20"/>
  <c r="E35" i="20"/>
  <c r="F35" i="20" l="1"/>
  <c r="H35" i="20"/>
  <c r="G40" i="15"/>
  <c r="AE293" i="14"/>
  <c r="AW85" i="14" l="1"/>
  <c r="BH277" i="14" l="1"/>
  <c r="BG277" i="14"/>
  <c r="BF277" i="14"/>
  <c r="AT281" i="14"/>
  <c r="AT287" i="14"/>
  <c r="AT279" i="14"/>
  <c r="AT269" i="14"/>
  <c r="AT191" i="14" l="1"/>
  <c r="AT190" i="14"/>
  <c r="AT183" i="14"/>
  <c r="AT182" i="14"/>
  <c r="AT178" i="14"/>
  <c r="AT177" i="14"/>
  <c r="AT176" i="14"/>
  <c r="AT175" i="14"/>
  <c r="AT171" i="14"/>
  <c r="AT170" i="14"/>
  <c r="AT132" i="14" l="1"/>
  <c r="BF129" i="14"/>
  <c r="AT124" i="14"/>
  <c r="AT123" i="14"/>
  <c r="AT120" i="14"/>
  <c r="AT119" i="14"/>
  <c r="AT114" i="14"/>
  <c r="AT111" i="14"/>
  <c r="AT113" i="14"/>
  <c r="AT110" i="14"/>
  <c r="AT109" i="14"/>
  <c r="AT108" i="14"/>
  <c r="AT106" i="14"/>
  <c r="AT105" i="14"/>
  <c r="AT102" i="14"/>
  <c r="AT98" i="14"/>
  <c r="AB77" i="14" l="1"/>
  <c r="AT92" i="14" l="1"/>
  <c r="AW91" i="14"/>
  <c r="AT84" i="14" l="1"/>
  <c r="AT85" i="14"/>
  <c r="AT82" i="14"/>
  <c r="AT79" i="14"/>
  <c r="AT76" i="14"/>
  <c r="AT68" i="14" l="1"/>
  <c r="AT64" i="14"/>
  <c r="AT63" i="14"/>
  <c r="AT48" i="14"/>
  <c r="AT26" i="14"/>
  <c r="AT10" i="14"/>
  <c r="AT9" i="14"/>
  <c r="AT8" i="14"/>
  <c r="AT118" i="14" l="1"/>
  <c r="BC24" i="14" l="1"/>
  <c r="BF24" i="14" l="1"/>
  <c r="D20" i="24"/>
  <c r="B35" i="24" s="1"/>
  <c r="D16" i="24"/>
  <c r="B26" i="24" s="1"/>
  <c r="A11" i="20"/>
  <c r="A12" i="20" s="1"/>
  <c r="A13" i="20" s="1"/>
  <c r="A14" i="20" s="1"/>
  <c r="A15" i="20" s="1"/>
  <c r="A16" i="20" s="1"/>
  <c r="A17" i="20" s="1"/>
  <c r="D44" i="23"/>
  <c r="F41" i="23"/>
  <c r="C15" i="23"/>
  <c r="E15" i="23" s="1"/>
  <c r="D10" i="23"/>
  <c r="C8" i="23"/>
  <c r="E8" i="23" s="1"/>
  <c r="H114" i="15"/>
  <c r="F114" i="15"/>
  <c r="H108" i="15"/>
  <c r="F108" i="15"/>
  <c r="H107" i="15"/>
  <c r="F107" i="15"/>
  <c r="H105" i="15"/>
  <c r="F105" i="15"/>
  <c r="H93" i="15"/>
  <c r="F93" i="15"/>
  <c r="C34" i="15"/>
  <c r="BH309" i="14"/>
  <c r="BG309" i="14"/>
  <c r="BF309" i="14"/>
  <c r="W309" i="14"/>
  <c r="BH308" i="14"/>
  <c r="BG308" i="14"/>
  <c r="BF308" i="14"/>
  <c r="W308" i="14"/>
  <c r="BH307" i="14"/>
  <c r="BG307" i="14"/>
  <c r="BF307" i="14"/>
  <c r="W307" i="14"/>
  <c r="BH306" i="14"/>
  <c r="BG306" i="14"/>
  <c r="BF306" i="14"/>
  <c r="W306" i="14"/>
  <c r="BH304" i="14"/>
  <c r="BG304" i="14"/>
  <c r="BF304" i="14"/>
  <c r="W304" i="14"/>
  <c r="BH303" i="14"/>
  <c r="BG303" i="14"/>
  <c r="AW303" i="14"/>
  <c r="W303" i="14"/>
  <c r="BH302" i="14"/>
  <c r="BG302" i="14"/>
  <c r="BF302" i="14"/>
  <c r="W302" i="14"/>
  <c r="BH301" i="14"/>
  <c r="BG301" i="14"/>
  <c r="BF301" i="14"/>
  <c r="W301" i="14"/>
  <c r="BH300" i="14"/>
  <c r="BG300" i="14"/>
  <c r="BF300" i="14"/>
  <c r="W300" i="14"/>
  <c r="BH299" i="14"/>
  <c r="BG299" i="14"/>
  <c r="BF299" i="14"/>
  <c r="W299" i="14"/>
  <c r="BH298" i="14"/>
  <c r="BG298" i="14"/>
  <c r="BF298" i="14"/>
  <c r="W298" i="14"/>
  <c r="BH297" i="14"/>
  <c r="BG297" i="14"/>
  <c r="BF297" i="14"/>
  <c r="W297" i="14"/>
  <c r="BH296" i="14"/>
  <c r="BG296" i="14"/>
  <c r="BH295" i="14"/>
  <c r="BG295" i="14"/>
  <c r="BF295" i="14"/>
  <c r="W295" i="14"/>
  <c r="BH294" i="14"/>
  <c r="BG294" i="14"/>
  <c r="W294" i="14"/>
  <c r="BH293" i="14"/>
  <c r="G188" i="20" s="1"/>
  <c r="BG293" i="14"/>
  <c r="E188" i="20" s="1"/>
  <c r="AB293" i="14"/>
  <c r="BF293" i="14" s="1"/>
  <c r="D188" i="20" s="1"/>
  <c r="W293" i="14"/>
  <c r="BH292" i="14"/>
  <c r="G187" i="20" s="1"/>
  <c r="BG292" i="14"/>
  <c r="AB292" i="14"/>
  <c r="W292" i="14"/>
  <c r="BH291" i="14"/>
  <c r="BG291" i="14"/>
  <c r="AE291" i="14"/>
  <c r="BF291" i="14" s="1"/>
  <c r="W291" i="14"/>
  <c r="BH290" i="14"/>
  <c r="BG290" i="14"/>
  <c r="C75" i="23"/>
  <c r="E75" i="23" s="1"/>
  <c r="AB290" i="14"/>
  <c r="W290" i="14"/>
  <c r="BH289" i="14"/>
  <c r="BG289" i="14"/>
  <c r="BF289" i="14"/>
  <c r="W289" i="14"/>
  <c r="BH288" i="14"/>
  <c r="BG288" i="14"/>
  <c r="AB288" i="14"/>
  <c r="W288" i="14"/>
  <c r="BH287" i="14"/>
  <c r="BG287" i="14"/>
  <c r="BF287" i="14"/>
  <c r="W287" i="14"/>
  <c r="BH286" i="14"/>
  <c r="BG286" i="14"/>
  <c r="BF286" i="14"/>
  <c r="W286" i="14"/>
  <c r="BH285" i="14"/>
  <c r="BG285" i="14"/>
  <c r="BF285" i="14"/>
  <c r="W285" i="14"/>
  <c r="BH284" i="14"/>
  <c r="BG284" i="14"/>
  <c r="BF284" i="14"/>
  <c r="W284" i="14"/>
  <c r="BH283" i="14"/>
  <c r="BG283" i="14"/>
  <c r="BF283" i="14"/>
  <c r="W283" i="14"/>
  <c r="BH282" i="14"/>
  <c r="BG282" i="14"/>
  <c r="BF282" i="14"/>
  <c r="W282" i="14"/>
  <c r="BH281" i="14"/>
  <c r="BG281" i="14"/>
  <c r="BF281" i="14"/>
  <c r="W281" i="14"/>
  <c r="BH280" i="14"/>
  <c r="BG280" i="14"/>
  <c r="AT280" i="14"/>
  <c r="BF280" i="14" s="1"/>
  <c r="W280" i="14"/>
  <c r="BH279" i="14"/>
  <c r="BG279" i="14"/>
  <c r="BF279" i="14"/>
  <c r="W279" i="14"/>
  <c r="BH278" i="14"/>
  <c r="BG278" i="14"/>
  <c r="BF278" i="14"/>
  <c r="W278" i="14"/>
  <c r="BH276" i="14"/>
  <c r="BG276" i="14"/>
  <c r="BF276" i="14"/>
  <c r="W276" i="14"/>
  <c r="BH275" i="14"/>
  <c r="BG275" i="14"/>
  <c r="BF275" i="14"/>
  <c r="W275" i="14"/>
  <c r="BH274" i="14"/>
  <c r="BG274" i="14"/>
  <c r="BF274" i="14"/>
  <c r="W274" i="14"/>
  <c r="BH273" i="14"/>
  <c r="BG273" i="14"/>
  <c r="BF273" i="14"/>
  <c r="W273" i="14"/>
  <c r="BH272" i="14"/>
  <c r="BG272" i="14"/>
  <c r="BF272" i="14"/>
  <c r="W272" i="14"/>
  <c r="BH271" i="14"/>
  <c r="BG271" i="14"/>
  <c r="BF271" i="14"/>
  <c r="W271" i="14"/>
  <c r="BH270" i="14"/>
  <c r="BG270" i="14"/>
  <c r="AT270" i="14"/>
  <c r="BF270" i="14" s="1"/>
  <c r="W270" i="14"/>
  <c r="BH269" i="14"/>
  <c r="BG269" i="14"/>
  <c r="BF269" i="14"/>
  <c r="W269" i="14"/>
  <c r="BH268" i="14"/>
  <c r="BG268" i="14"/>
  <c r="BF268" i="14"/>
  <c r="W268" i="14"/>
  <c r="BH267" i="14"/>
  <c r="BG267" i="14"/>
  <c r="BF267" i="14"/>
  <c r="W267" i="14"/>
  <c r="BH266" i="14"/>
  <c r="BG266" i="14"/>
  <c r="BF266" i="14"/>
  <c r="W266" i="14"/>
  <c r="BH265" i="14"/>
  <c r="BG265" i="14"/>
  <c r="BF265" i="14"/>
  <c r="W265" i="14"/>
  <c r="BH264" i="14"/>
  <c r="BG264" i="14"/>
  <c r="BF264" i="14"/>
  <c r="W264" i="14"/>
  <c r="BH263" i="14"/>
  <c r="G167" i="20" s="1"/>
  <c r="BG263" i="14"/>
  <c r="E167" i="20" s="1"/>
  <c r="D167" i="20"/>
  <c r="W263" i="14"/>
  <c r="BH262" i="14"/>
  <c r="G166" i="20" s="1"/>
  <c r="BG262" i="14"/>
  <c r="E166" i="20" s="1"/>
  <c r="D166" i="20"/>
  <c r="BH261" i="14"/>
  <c r="G165" i="20" s="1"/>
  <c r="BG261" i="14"/>
  <c r="E165" i="20" s="1"/>
  <c r="D165" i="20"/>
  <c r="BH260" i="14"/>
  <c r="BG260" i="14"/>
  <c r="BH259" i="14"/>
  <c r="BG259" i="14"/>
  <c r="BH258" i="14"/>
  <c r="BG258" i="14"/>
  <c r="BH257" i="14"/>
  <c r="BG257" i="14"/>
  <c r="BH256" i="14"/>
  <c r="BG256" i="14"/>
  <c r="BH255" i="14"/>
  <c r="BG255" i="14"/>
  <c r="BH254" i="14"/>
  <c r="BG254" i="14"/>
  <c r="C61" i="23"/>
  <c r="E61" i="23" s="1"/>
  <c r="W254" i="14"/>
  <c r="BG253" i="14"/>
  <c r="W253" i="14"/>
  <c r="BH252" i="14"/>
  <c r="BG252" i="14"/>
  <c r="BH251" i="14"/>
  <c r="BG251" i="14"/>
  <c r="BH250" i="14"/>
  <c r="BG250" i="14"/>
  <c r="BH249" i="14"/>
  <c r="BG249" i="14"/>
  <c r="BH248" i="14"/>
  <c r="G171" i="20" s="1"/>
  <c r="BG248" i="14"/>
  <c r="E171" i="20" s="1"/>
  <c r="BH228" i="14"/>
  <c r="G170" i="20" s="1"/>
  <c r="BG228" i="14"/>
  <c r="E170" i="20" s="1"/>
  <c r="BH247" i="14"/>
  <c r="G169" i="20" s="1"/>
  <c r="BG247" i="14"/>
  <c r="E169" i="20" s="1"/>
  <c r="BH246" i="14"/>
  <c r="G168" i="20" s="1"/>
  <c r="BG246" i="14"/>
  <c r="E168" i="20" s="1"/>
  <c r="BH245" i="14"/>
  <c r="BG245" i="14"/>
  <c r="BH244" i="14"/>
  <c r="BG244" i="14"/>
  <c r="BH243" i="14"/>
  <c r="BG243" i="14"/>
  <c r="BH242" i="14"/>
  <c r="BG242" i="14"/>
  <c r="BH241" i="14"/>
  <c r="BG241" i="14"/>
  <c r="BH227" i="14"/>
  <c r="BG227" i="14"/>
  <c r="BH240" i="14"/>
  <c r="BG240" i="14"/>
  <c r="BH239" i="14"/>
  <c r="BG239" i="14"/>
  <c r="BH238" i="14"/>
  <c r="BG238" i="14"/>
  <c r="BH237" i="14"/>
  <c r="BG237" i="14"/>
  <c r="BH236" i="14"/>
  <c r="BG236" i="14"/>
  <c r="BH235" i="14"/>
  <c r="BG235" i="14"/>
  <c r="BH234" i="14"/>
  <c r="BG234" i="14"/>
  <c r="BH233" i="14"/>
  <c r="BG233" i="14"/>
  <c r="BH232" i="14"/>
  <c r="BG232" i="14"/>
  <c r="BH231" i="14"/>
  <c r="BG231" i="14"/>
  <c r="BH230" i="14"/>
  <c r="BG230" i="14"/>
  <c r="BH226" i="14"/>
  <c r="BG226" i="14"/>
  <c r="BH229" i="14"/>
  <c r="BG229" i="14"/>
  <c r="BH225" i="14"/>
  <c r="BG225" i="14"/>
  <c r="BH224" i="14"/>
  <c r="BG224" i="14"/>
  <c r="BH223" i="14"/>
  <c r="BG223" i="14"/>
  <c r="BH222" i="14"/>
  <c r="BG222" i="14"/>
  <c r="BH221" i="14"/>
  <c r="BG221" i="14"/>
  <c r="BH220" i="14"/>
  <c r="BG220" i="14"/>
  <c r="BH219" i="14"/>
  <c r="BG219" i="14"/>
  <c r="BH218" i="14"/>
  <c r="BG218" i="14"/>
  <c r="BH217" i="14"/>
  <c r="G154" i="20" s="1"/>
  <c r="BG217" i="14"/>
  <c r="E154" i="20" s="1"/>
  <c r="BH216" i="14"/>
  <c r="BG216" i="14"/>
  <c r="BH215" i="14"/>
  <c r="BG215" i="14"/>
  <c r="BH214" i="14"/>
  <c r="BG214" i="14"/>
  <c r="BH213" i="14"/>
  <c r="BG213" i="14"/>
  <c r="BH212" i="14"/>
  <c r="BG212" i="14"/>
  <c r="BH211" i="14"/>
  <c r="BG211" i="14"/>
  <c r="BH210" i="14"/>
  <c r="BG210" i="14"/>
  <c r="C59" i="23"/>
  <c r="E59" i="23" s="1"/>
  <c r="BH209" i="14"/>
  <c r="BG209" i="14"/>
  <c r="C62" i="23"/>
  <c r="E62" i="23" s="1"/>
  <c r="BH208" i="14"/>
  <c r="BG208" i="14"/>
  <c r="BH207" i="14"/>
  <c r="BG207" i="14"/>
  <c r="BH206" i="14"/>
  <c r="BG206" i="14"/>
  <c r="BH205" i="14"/>
  <c r="BG205" i="14"/>
  <c r="BH204" i="14"/>
  <c r="G148" i="20" s="1"/>
  <c r="BG204" i="14"/>
  <c r="E148" i="20" s="1"/>
  <c r="BF204" i="14"/>
  <c r="D148" i="20" s="1"/>
  <c r="W204" i="14"/>
  <c r="BH203" i="14"/>
  <c r="G147" i="20" s="1"/>
  <c r="BG203" i="14"/>
  <c r="E147" i="20" s="1"/>
  <c r="BF203" i="14"/>
  <c r="D147" i="20" s="1"/>
  <c r="W203" i="14"/>
  <c r="BH202" i="14"/>
  <c r="G146" i="20" s="1"/>
  <c r="BG202" i="14"/>
  <c r="E146" i="20" s="1"/>
  <c r="BF202" i="14"/>
  <c r="D146" i="20" s="1"/>
  <c r="W202" i="14"/>
  <c r="BH201" i="14"/>
  <c r="G145" i="20" s="1"/>
  <c r="BG201" i="14"/>
  <c r="BF201" i="14"/>
  <c r="D145" i="20" s="1"/>
  <c r="W201" i="14"/>
  <c r="BH200" i="14"/>
  <c r="BG200" i="14"/>
  <c r="BF200" i="14"/>
  <c r="W200" i="14"/>
  <c r="BH199" i="14"/>
  <c r="G142" i="20" s="1"/>
  <c r="BG199" i="14"/>
  <c r="E142" i="20" s="1"/>
  <c r="BF199" i="14"/>
  <c r="W199" i="14"/>
  <c r="BH198" i="14"/>
  <c r="G141" i="20" s="1"/>
  <c r="BG198" i="14"/>
  <c r="BF198" i="14"/>
  <c r="D141" i="20" s="1"/>
  <c r="W198" i="14"/>
  <c r="BH197" i="14"/>
  <c r="BG197" i="14"/>
  <c r="BF197" i="14"/>
  <c r="C54" i="23"/>
  <c r="E54" i="23" s="1"/>
  <c r="W197" i="14"/>
  <c r="BH196" i="14"/>
  <c r="BG196" i="14"/>
  <c r="BF196" i="14"/>
  <c r="W196" i="14"/>
  <c r="BH195" i="14"/>
  <c r="G138" i="20" s="1"/>
  <c r="BG195" i="14"/>
  <c r="E138" i="20" s="1"/>
  <c r="BF195" i="14"/>
  <c r="D138" i="20" s="1"/>
  <c r="W195" i="14"/>
  <c r="BH194" i="14"/>
  <c r="BG194" i="14"/>
  <c r="BF194" i="14"/>
  <c r="W194" i="14"/>
  <c r="BH193" i="14"/>
  <c r="BG193" i="14"/>
  <c r="BF193" i="14"/>
  <c r="W193" i="14"/>
  <c r="BH192" i="14"/>
  <c r="G136" i="20" s="1"/>
  <c r="BG192" i="14"/>
  <c r="E136" i="20" s="1"/>
  <c r="BF192" i="14"/>
  <c r="D136" i="20" s="1"/>
  <c r="W192" i="14"/>
  <c r="BH191" i="14"/>
  <c r="BG191" i="14"/>
  <c r="BF191" i="14"/>
  <c r="W191" i="14"/>
  <c r="BH190" i="14"/>
  <c r="BG190" i="14"/>
  <c r="BF190" i="14"/>
  <c r="W190" i="14"/>
  <c r="BH189" i="14"/>
  <c r="G134" i="20" s="1"/>
  <c r="BG189" i="14"/>
  <c r="E134" i="20" s="1"/>
  <c r="BF189" i="14"/>
  <c r="D134" i="20" s="1"/>
  <c r="W189" i="14"/>
  <c r="BH188" i="14"/>
  <c r="G133" i="20" s="1"/>
  <c r="BG188" i="14"/>
  <c r="E133" i="20" s="1"/>
  <c r="BF188" i="14"/>
  <c r="D133" i="20" s="1"/>
  <c r="W188" i="14"/>
  <c r="BH187" i="14"/>
  <c r="G132" i="20" s="1"/>
  <c r="BG187" i="14"/>
  <c r="E132" i="20" s="1"/>
  <c r="BF187" i="14"/>
  <c r="D132" i="20" s="1"/>
  <c r="W187" i="14"/>
  <c r="BH186" i="14"/>
  <c r="BG186" i="14"/>
  <c r="BF186" i="14"/>
  <c r="D131" i="20" s="1"/>
  <c r="W186" i="14"/>
  <c r="BH185" i="14"/>
  <c r="G130" i="20" s="1"/>
  <c r="BG185" i="14"/>
  <c r="E130" i="20" s="1"/>
  <c r="BF185" i="14"/>
  <c r="D130" i="20" s="1"/>
  <c r="W185" i="14"/>
  <c r="BH184" i="14"/>
  <c r="BG184" i="14"/>
  <c r="BF184" i="14"/>
  <c r="W184" i="14"/>
  <c r="BH183" i="14"/>
  <c r="BG183" i="14"/>
  <c r="BF183" i="14"/>
  <c r="W183" i="14"/>
  <c r="BH182" i="14"/>
  <c r="G128" i="20" s="1"/>
  <c r="BG182" i="14"/>
  <c r="E128" i="20" s="1"/>
  <c r="BF182" i="14"/>
  <c r="D128" i="20" s="1"/>
  <c r="W182" i="14"/>
  <c r="BH181" i="14"/>
  <c r="G127" i="20" s="1"/>
  <c r="BG181" i="14"/>
  <c r="E127" i="20" s="1"/>
  <c r="BF181" i="14"/>
  <c r="D127" i="20" s="1"/>
  <c r="W181" i="14"/>
  <c r="BH180" i="14"/>
  <c r="G126" i="20" s="1"/>
  <c r="BG180" i="14"/>
  <c r="E126" i="20" s="1"/>
  <c r="BF180" i="14"/>
  <c r="D126" i="20" s="1"/>
  <c r="W180" i="14"/>
  <c r="BH179" i="14"/>
  <c r="G125" i="20" s="1"/>
  <c r="BG179" i="14"/>
  <c r="E125" i="20" s="1"/>
  <c r="BF179" i="14"/>
  <c r="D125" i="20" s="1"/>
  <c r="W179" i="14"/>
  <c r="BH178" i="14"/>
  <c r="BG178" i="14"/>
  <c r="BF178" i="14"/>
  <c r="W178" i="14"/>
  <c r="BH177" i="14"/>
  <c r="BG177" i="14"/>
  <c r="BF177" i="14"/>
  <c r="W177" i="14"/>
  <c r="BH176" i="14"/>
  <c r="G123" i="20" s="1"/>
  <c r="BG176" i="14"/>
  <c r="E123" i="20" s="1"/>
  <c r="BF176" i="14"/>
  <c r="W176" i="14"/>
  <c r="BH175" i="14"/>
  <c r="BG175" i="14"/>
  <c r="BF175" i="14"/>
  <c r="W175" i="14"/>
  <c r="BH174" i="14"/>
  <c r="BG174" i="14"/>
  <c r="BF174" i="14"/>
  <c r="W174" i="14"/>
  <c r="BH173" i="14"/>
  <c r="G119" i="20" s="1"/>
  <c r="BG173" i="14"/>
  <c r="E119" i="20" s="1"/>
  <c r="BF173" i="14"/>
  <c r="W173" i="14"/>
  <c r="BH172" i="14"/>
  <c r="BG172" i="14"/>
  <c r="AE172" i="14"/>
  <c r="W172" i="14"/>
  <c r="BH171" i="14"/>
  <c r="BG171" i="14"/>
  <c r="BF171" i="14"/>
  <c r="W171" i="14"/>
  <c r="BH170" i="14"/>
  <c r="BG170" i="14"/>
  <c r="BF170" i="14"/>
  <c r="W170" i="14"/>
  <c r="BH169" i="14"/>
  <c r="BG169" i="14"/>
  <c r="BF169" i="14"/>
  <c r="W169" i="14"/>
  <c r="BH168" i="14"/>
  <c r="BG168" i="14"/>
  <c r="BF168" i="14"/>
  <c r="W168" i="14"/>
  <c r="BH167" i="14"/>
  <c r="BG167" i="14"/>
  <c r="BF167" i="14"/>
  <c r="W167" i="14"/>
  <c r="BH166" i="14"/>
  <c r="BG166" i="14"/>
  <c r="BF166" i="14"/>
  <c r="W166" i="14"/>
  <c r="BH165" i="14"/>
  <c r="BG165" i="14"/>
  <c r="AN165" i="14"/>
  <c r="BF165" i="14" s="1"/>
  <c r="W165" i="14"/>
  <c r="BH164" i="14"/>
  <c r="BG164" i="14"/>
  <c r="BF164" i="14"/>
  <c r="W164" i="14"/>
  <c r="BH163" i="14"/>
  <c r="BG163" i="14"/>
  <c r="W163" i="14"/>
  <c r="BH162" i="14"/>
  <c r="BG162" i="14"/>
  <c r="BF162" i="14"/>
  <c r="W162" i="14"/>
  <c r="BH161" i="14"/>
  <c r="BG161" i="14"/>
  <c r="BF161" i="14"/>
  <c r="W161" i="14"/>
  <c r="BH160" i="14"/>
  <c r="BG160" i="14"/>
  <c r="BF160" i="14"/>
  <c r="W160" i="14"/>
  <c r="BH159" i="14"/>
  <c r="BG159" i="14"/>
  <c r="BF159" i="14"/>
  <c r="W159" i="14"/>
  <c r="BH158" i="14"/>
  <c r="BG158" i="14"/>
  <c r="BF158" i="14"/>
  <c r="W158" i="14"/>
  <c r="BH157" i="14"/>
  <c r="BG157" i="14"/>
  <c r="BF157" i="14"/>
  <c r="W157" i="14"/>
  <c r="BH156" i="14"/>
  <c r="BG156" i="14"/>
  <c r="BF156" i="14"/>
  <c r="W156" i="14"/>
  <c r="BH155" i="14"/>
  <c r="BG155" i="14"/>
  <c r="BF155" i="14"/>
  <c r="W155" i="14"/>
  <c r="BH154" i="14"/>
  <c r="BG154" i="14"/>
  <c r="BF154" i="14"/>
  <c r="W154" i="14"/>
  <c r="BH153" i="14"/>
  <c r="BG153" i="14"/>
  <c r="BF153" i="14"/>
  <c r="W153" i="14"/>
  <c r="BH152" i="14"/>
  <c r="BG152" i="14"/>
  <c r="AN152" i="14"/>
  <c r="W152" i="14"/>
  <c r="BH151" i="14"/>
  <c r="BG151" i="14"/>
  <c r="AT151" i="14"/>
  <c r="BF151" i="14" s="1"/>
  <c r="W151" i="14"/>
  <c r="BH150" i="14"/>
  <c r="BG150" i="14"/>
  <c r="AT150" i="14"/>
  <c r="BF150" i="14" s="1"/>
  <c r="W150" i="14"/>
  <c r="BH149" i="14"/>
  <c r="BG149" i="14"/>
  <c r="BF149" i="14"/>
  <c r="W149" i="14"/>
  <c r="BH148" i="14"/>
  <c r="BG148" i="14"/>
  <c r="BF148" i="14"/>
  <c r="W148" i="14"/>
  <c r="BH147" i="14"/>
  <c r="BG147" i="14"/>
  <c r="AT147" i="14"/>
  <c r="W147" i="14"/>
  <c r="BH146" i="14"/>
  <c r="BG146" i="14"/>
  <c r="BF146" i="14"/>
  <c r="W146" i="14"/>
  <c r="BH145" i="14"/>
  <c r="BG145" i="14"/>
  <c r="BF145" i="14"/>
  <c r="W145" i="14"/>
  <c r="BH144" i="14"/>
  <c r="BG144" i="14"/>
  <c r="AT144" i="14"/>
  <c r="AE144" i="14"/>
  <c r="W144" i="14"/>
  <c r="BH143" i="14"/>
  <c r="BG143" i="14"/>
  <c r="C51" i="23"/>
  <c r="E51" i="23" s="1"/>
  <c r="W143" i="14"/>
  <c r="BH142" i="14"/>
  <c r="BG142" i="14"/>
  <c r="BF142" i="14"/>
  <c r="W142" i="14"/>
  <c r="BH141" i="14"/>
  <c r="BG141" i="14"/>
  <c r="AN141" i="14"/>
  <c r="BF141" i="14" s="1"/>
  <c r="W141" i="14"/>
  <c r="BH140" i="14"/>
  <c r="BG140" i="14"/>
  <c r="BF140" i="14"/>
  <c r="W140" i="14"/>
  <c r="BH139" i="14"/>
  <c r="BG139" i="14"/>
  <c r="W139" i="14"/>
  <c r="BH138" i="14"/>
  <c r="BG138" i="14"/>
  <c r="AN138" i="14"/>
  <c r="W138" i="14"/>
  <c r="BH137" i="14"/>
  <c r="G107" i="20" s="1"/>
  <c r="BG137" i="14"/>
  <c r="E107" i="20" s="1"/>
  <c r="BF137" i="14"/>
  <c r="W137" i="14"/>
  <c r="BH136" i="14"/>
  <c r="BG136" i="14"/>
  <c r="BF136" i="14"/>
  <c r="W136" i="14"/>
  <c r="BH135" i="14"/>
  <c r="G105" i="20" s="1"/>
  <c r="BG135" i="14"/>
  <c r="E105" i="20" s="1"/>
  <c r="BF135" i="14"/>
  <c r="W135" i="14"/>
  <c r="BH134" i="14"/>
  <c r="G104" i="20" s="1"/>
  <c r="BG134" i="14"/>
  <c r="E104" i="20" s="1"/>
  <c r="BF134" i="14"/>
  <c r="C45" i="23"/>
  <c r="E45" i="23" s="1"/>
  <c r="W134" i="14"/>
  <c r="BH133" i="14"/>
  <c r="BG133" i="14"/>
  <c r="BF133" i="14"/>
  <c r="W133" i="14"/>
  <c r="BH132" i="14"/>
  <c r="BG132" i="14"/>
  <c r="BF132" i="14"/>
  <c r="W132" i="14"/>
  <c r="BH131" i="14"/>
  <c r="BG131" i="14"/>
  <c r="E108" i="15"/>
  <c r="W131" i="14"/>
  <c r="BH130" i="14"/>
  <c r="BG130" i="14"/>
  <c r="BF130" i="14"/>
  <c r="W130" i="14"/>
  <c r="BH129" i="14"/>
  <c r="BG129" i="14"/>
  <c r="E107" i="15"/>
  <c r="W129" i="14"/>
  <c r="BH128" i="14"/>
  <c r="BG128" i="14"/>
  <c r="BF128" i="14"/>
  <c r="W128" i="14"/>
  <c r="BH127" i="14"/>
  <c r="BG127" i="14"/>
  <c r="BF127" i="14"/>
  <c r="W127" i="14"/>
  <c r="BH126" i="14"/>
  <c r="G98" i="20" s="1"/>
  <c r="BG126" i="14"/>
  <c r="E98" i="20" s="1"/>
  <c r="BF126" i="14"/>
  <c r="W126" i="14"/>
  <c r="BH125" i="14"/>
  <c r="G97" i="20" s="1"/>
  <c r="BG125" i="14"/>
  <c r="E97" i="20" s="1"/>
  <c r="W125" i="14"/>
  <c r="BH124" i="14"/>
  <c r="BG124" i="14"/>
  <c r="BF124" i="14"/>
  <c r="W124" i="14"/>
  <c r="BH123" i="14"/>
  <c r="BG123" i="14"/>
  <c r="BF123" i="14"/>
  <c r="W123" i="14"/>
  <c r="BH122" i="14"/>
  <c r="BG122" i="14"/>
  <c r="AT122" i="14"/>
  <c r="E105" i="15" s="1"/>
  <c r="W122" i="14"/>
  <c r="BH121" i="14"/>
  <c r="BG121" i="14"/>
  <c r="BF121" i="14"/>
  <c r="W121" i="14"/>
  <c r="BH120" i="14"/>
  <c r="BG120" i="14"/>
  <c r="BF120" i="14"/>
  <c r="W120" i="14"/>
  <c r="BH119" i="14"/>
  <c r="BG119" i="14"/>
  <c r="BF119" i="14"/>
  <c r="W119" i="14"/>
  <c r="BH118" i="14"/>
  <c r="BG118" i="14"/>
  <c r="BF118" i="14"/>
  <c r="W118" i="14"/>
  <c r="BH117" i="14"/>
  <c r="BG117" i="14"/>
  <c r="BF117" i="14"/>
  <c r="W117" i="14"/>
  <c r="BH116" i="14"/>
  <c r="BG116" i="14"/>
  <c r="AT116" i="14"/>
  <c r="BF116" i="14" s="1"/>
  <c r="W116" i="14"/>
  <c r="BH115" i="14"/>
  <c r="BG115" i="14"/>
  <c r="BF115" i="14"/>
  <c r="W115" i="14"/>
  <c r="BH114" i="14"/>
  <c r="BG114" i="14"/>
  <c r="BF114" i="14"/>
  <c r="W114" i="14"/>
  <c r="BH113" i="14"/>
  <c r="BG113" i="14"/>
  <c r="BF113" i="14"/>
  <c r="W113" i="14"/>
  <c r="BH112" i="14"/>
  <c r="G90" i="20" s="1"/>
  <c r="BG112" i="14"/>
  <c r="E90" i="20" s="1"/>
  <c r="BF112" i="14"/>
  <c r="W112" i="14"/>
  <c r="BH111" i="14"/>
  <c r="BG111" i="14"/>
  <c r="F96" i="15" s="1"/>
  <c r="BF111" i="14"/>
  <c r="W111" i="14"/>
  <c r="BH110" i="14"/>
  <c r="BG110" i="14"/>
  <c r="BF110" i="14"/>
  <c r="W110" i="14"/>
  <c r="BH109" i="14"/>
  <c r="BG109" i="14"/>
  <c r="BF109" i="14"/>
  <c r="W109" i="14"/>
  <c r="BH108" i="14"/>
  <c r="BG108" i="14"/>
  <c r="BF108" i="14"/>
  <c r="W108" i="14"/>
  <c r="BH107" i="14"/>
  <c r="G86" i="20" s="1"/>
  <c r="BG107" i="14"/>
  <c r="E86" i="20" s="1"/>
  <c r="BF107" i="14"/>
  <c r="W107" i="14"/>
  <c r="BH106" i="14"/>
  <c r="BG106" i="14"/>
  <c r="BF106" i="14"/>
  <c r="W106" i="14"/>
  <c r="BH105" i="14"/>
  <c r="BG105" i="14"/>
  <c r="BF105" i="14"/>
  <c r="W105" i="14"/>
  <c r="BH104" i="14"/>
  <c r="BG104" i="14"/>
  <c r="BF104" i="14"/>
  <c r="W104" i="14"/>
  <c r="BH103" i="14"/>
  <c r="BG103" i="14"/>
  <c r="BF103" i="14"/>
  <c r="W103" i="14"/>
  <c r="BH102" i="14"/>
  <c r="BG102" i="14"/>
  <c r="BF102" i="14"/>
  <c r="W102" i="14"/>
  <c r="BH101" i="14"/>
  <c r="BG101" i="14"/>
  <c r="AT101" i="14"/>
  <c r="BF101" i="14" s="1"/>
  <c r="W101" i="14"/>
  <c r="BH100" i="14"/>
  <c r="BG100" i="14"/>
  <c r="BF100" i="14"/>
  <c r="W100" i="14"/>
  <c r="BH99" i="14"/>
  <c r="BG99" i="14"/>
  <c r="AT99" i="14"/>
  <c r="BF99" i="14" s="1"/>
  <c r="W99" i="14"/>
  <c r="BH98" i="14"/>
  <c r="BG98" i="14"/>
  <c r="BF98" i="14"/>
  <c r="W98" i="14"/>
  <c r="BH97" i="14"/>
  <c r="BG97" i="14"/>
  <c r="W97" i="14"/>
  <c r="BH96" i="14"/>
  <c r="G79" i="20" s="1"/>
  <c r="BG96" i="14"/>
  <c r="E79" i="20" s="1"/>
  <c r="BF96" i="14"/>
  <c r="D79" i="20" s="1"/>
  <c r="W96" i="14"/>
  <c r="BH95" i="14"/>
  <c r="BG95" i="14"/>
  <c r="BF95" i="14"/>
  <c r="W95" i="14"/>
  <c r="BH94" i="14"/>
  <c r="BG94" i="14"/>
  <c r="BF94" i="14"/>
  <c r="W94" i="14"/>
  <c r="BH93" i="14"/>
  <c r="BG93" i="14"/>
  <c r="BF93" i="14"/>
  <c r="W93" i="14"/>
  <c r="BH92" i="14"/>
  <c r="H88" i="15" s="1"/>
  <c r="BG92" i="14"/>
  <c r="F88" i="15" s="1"/>
  <c r="BF92" i="14"/>
  <c r="W92" i="14"/>
  <c r="BH91" i="14"/>
  <c r="BG91" i="14"/>
  <c r="C39" i="23"/>
  <c r="E39" i="23" s="1"/>
  <c r="BF91" i="14"/>
  <c r="W91" i="14"/>
  <c r="BH90" i="14"/>
  <c r="BG90" i="14"/>
  <c r="BF90" i="14"/>
  <c r="W90" i="14"/>
  <c r="BH89" i="14"/>
  <c r="BG89" i="14"/>
  <c r="BF89" i="14"/>
  <c r="W89" i="14"/>
  <c r="BH88" i="14"/>
  <c r="G75" i="20" s="1"/>
  <c r="BG88" i="14"/>
  <c r="E75" i="20" s="1"/>
  <c r="BF88" i="14"/>
  <c r="D75" i="20" s="1"/>
  <c r="W88" i="14"/>
  <c r="BH87" i="14"/>
  <c r="BG87" i="14"/>
  <c r="BF87" i="14"/>
  <c r="W87" i="14"/>
  <c r="BH86" i="14"/>
  <c r="BG86" i="14"/>
  <c r="C38" i="23"/>
  <c r="E38" i="23" s="1"/>
  <c r="W86" i="14"/>
  <c r="BH85" i="14"/>
  <c r="BG85" i="14"/>
  <c r="BF85" i="14"/>
  <c r="C35" i="23"/>
  <c r="E35" i="23" s="1"/>
  <c r="W85" i="14"/>
  <c r="BH84" i="14"/>
  <c r="BG84" i="14"/>
  <c r="BF84" i="14"/>
  <c r="W84" i="14"/>
  <c r="BH83" i="14"/>
  <c r="G70" i="20" s="1"/>
  <c r="BG83" i="14"/>
  <c r="E70" i="20" s="1"/>
  <c r="AB83" i="14"/>
  <c r="BF83" i="14" s="1"/>
  <c r="D70" i="20" s="1"/>
  <c r="W83" i="14"/>
  <c r="BH82" i="14"/>
  <c r="BG82" i="14"/>
  <c r="BF82" i="14"/>
  <c r="W82" i="14"/>
  <c r="BH81" i="14"/>
  <c r="BG81" i="14"/>
  <c r="AB81" i="14"/>
  <c r="BF81" i="14" s="1"/>
  <c r="W81" i="14"/>
  <c r="BH80" i="14"/>
  <c r="BG80" i="14"/>
  <c r="BF80" i="14"/>
  <c r="W80" i="14"/>
  <c r="BH79" i="14"/>
  <c r="BG79" i="14"/>
  <c r="BF79" i="14"/>
  <c r="W79" i="14"/>
  <c r="BH78" i="14"/>
  <c r="BG78" i="14"/>
  <c r="AT78" i="14"/>
  <c r="BF78" i="14" s="1"/>
  <c r="W78" i="14"/>
  <c r="BH77" i="14"/>
  <c r="BG77" i="14"/>
  <c r="C33" i="23"/>
  <c r="E33" i="23" s="1"/>
  <c r="W77" i="14"/>
  <c r="BH76" i="14"/>
  <c r="BG76" i="14"/>
  <c r="BF76" i="14"/>
  <c r="W76" i="14"/>
  <c r="BH75" i="14"/>
  <c r="BG75" i="14"/>
  <c r="BF75" i="14"/>
  <c r="W75" i="14"/>
  <c r="BH74" i="14"/>
  <c r="BG74" i="14"/>
  <c r="BF74" i="14"/>
  <c r="W74" i="14"/>
  <c r="BH73" i="14"/>
  <c r="BG73" i="14"/>
  <c r="BF73" i="14"/>
  <c r="W73" i="14"/>
  <c r="BH72" i="14"/>
  <c r="BG72" i="14"/>
  <c r="BF72" i="14"/>
  <c r="W72" i="14"/>
  <c r="BH71" i="14"/>
  <c r="BG71" i="14"/>
  <c r="BF71" i="14"/>
  <c r="D64" i="20" s="1"/>
  <c r="W71" i="14"/>
  <c r="BH70" i="14"/>
  <c r="BG70" i="14"/>
  <c r="BF70" i="14"/>
  <c r="W70" i="14"/>
  <c r="BH69" i="14"/>
  <c r="BG69" i="14"/>
  <c r="BF69" i="14"/>
  <c r="W69" i="14"/>
  <c r="BH68" i="14"/>
  <c r="BG68" i="14"/>
  <c r="BF68" i="14"/>
  <c r="W68" i="14"/>
  <c r="BH67" i="14"/>
  <c r="G61" i="20" s="1"/>
  <c r="BG67" i="14"/>
  <c r="E61" i="20" s="1"/>
  <c r="BF67" i="14"/>
  <c r="W67" i="14"/>
  <c r="BH66" i="14"/>
  <c r="G59" i="20" s="1"/>
  <c r="BG66" i="14"/>
  <c r="E59" i="20" s="1"/>
  <c r="BF66" i="14"/>
  <c r="D59" i="20" s="1"/>
  <c r="W66" i="14"/>
  <c r="BH65" i="14"/>
  <c r="BG65" i="14"/>
  <c r="AW65" i="14"/>
  <c r="BF65" i="14" s="1"/>
  <c r="D58" i="20" s="1"/>
  <c r="W65" i="14"/>
  <c r="BH64" i="14"/>
  <c r="BG64" i="14"/>
  <c r="BF64" i="14"/>
  <c r="D57" i="20" s="1"/>
  <c r="W64" i="14"/>
  <c r="BH63" i="14"/>
  <c r="BG63" i="14"/>
  <c r="BF63" i="14"/>
  <c r="W63" i="14"/>
  <c r="BH62" i="14"/>
  <c r="BG62" i="14"/>
  <c r="BF62" i="14"/>
  <c r="W62" i="14"/>
  <c r="BH61" i="14"/>
  <c r="BG61" i="14"/>
  <c r="BF61" i="14"/>
  <c r="W61" i="14"/>
  <c r="BH60" i="14"/>
  <c r="BG60" i="14"/>
  <c r="BF60" i="14"/>
  <c r="W60" i="14"/>
  <c r="BH59" i="14"/>
  <c r="BG59" i="14"/>
  <c r="BF59" i="14"/>
  <c r="W59" i="14"/>
  <c r="BH58" i="14"/>
  <c r="G55" i="20" s="1"/>
  <c r="BG58" i="14"/>
  <c r="BF58" i="14"/>
  <c r="W58" i="14"/>
  <c r="BH57" i="14"/>
  <c r="G54" i="20" s="1"/>
  <c r="BG57" i="14"/>
  <c r="E54" i="20" s="1"/>
  <c r="AT57" i="14"/>
  <c r="BF57" i="14" s="1"/>
  <c r="W57" i="14"/>
  <c r="BH56" i="14"/>
  <c r="BG56" i="14"/>
  <c r="AT56" i="14"/>
  <c r="BF56" i="14" s="1"/>
  <c r="D53" i="20" s="1"/>
  <c r="W56" i="14"/>
  <c r="BH55" i="14"/>
  <c r="G52" i="20" s="1"/>
  <c r="BG55" i="14"/>
  <c r="E52" i="20" s="1"/>
  <c r="G45" i="20"/>
  <c r="BG53" i="14"/>
  <c r="E45" i="20" s="1"/>
  <c r="BF53" i="14"/>
  <c r="D45" i="20" s="1"/>
  <c r="W53" i="14"/>
  <c r="BH52" i="14"/>
  <c r="G31" i="20" s="1"/>
  <c r="BG52" i="14"/>
  <c r="E31" i="20" s="1"/>
  <c r="BC52" i="14"/>
  <c r="W52" i="14"/>
  <c r="BH51" i="14"/>
  <c r="BG51" i="14"/>
  <c r="BC51" i="14"/>
  <c r="AZ51" i="14"/>
  <c r="AZ310" i="14" s="1"/>
  <c r="W51" i="14"/>
  <c r="BH50" i="14"/>
  <c r="BG50" i="14"/>
  <c r="BF50" i="14"/>
  <c r="D49" i="20" s="1"/>
  <c r="W50" i="14"/>
  <c r="BH49" i="14"/>
  <c r="G48" i="20" s="1"/>
  <c r="BG49" i="14"/>
  <c r="E48" i="20" s="1"/>
  <c r="BF49" i="14"/>
  <c r="D48" i="20" s="1"/>
  <c r="BH48" i="14"/>
  <c r="G47" i="20" s="1"/>
  <c r="BG48" i="14"/>
  <c r="E47" i="20" s="1"/>
  <c r="BF48" i="14"/>
  <c r="W48" i="14"/>
  <c r="BH47" i="14"/>
  <c r="BG47" i="14"/>
  <c r="AQ47" i="14"/>
  <c r="BF47" i="14" s="1"/>
  <c r="W47" i="14"/>
  <c r="BH46" i="14"/>
  <c r="BG46" i="14"/>
  <c r="BF46" i="14"/>
  <c r="W46" i="14"/>
  <c r="BH45" i="14"/>
  <c r="BG45" i="14"/>
  <c r="BF45" i="14"/>
  <c r="W45" i="14"/>
  <c r="BH44" i="14"/>
  <c r="BG44" i="14"/>
  <c r="AQ44" i="14"/>
  <c r="AB44" i="14"/>
  <c r="W44" i="14"/>
  <c r="BH43" i="14"/>
  <c r="BG43" i="14"/>
  <c r="AQ43" i="14"/>
  <c r="AQ310" i="14" s="1"/>
  <c r="W43" i="14"/>
  <c r="BH42" i="14"/>
  <c r="BG42" i="14"/>
  <c r="BF42" i="14"/>
  <c r="W42" i="14"/>
  <c r="BH41" i="14"/>
  <c r="BG41" i="14"/>
  <c r="AB41" i="14"/>
  <c r="BF41" i="14" s="1"/>
  <c r="W41" i="14"/>
  <c r="BH40" i="14"/>
  <c r="G42" i="20" s="1"/>
  <c r="BG40" i="14"/>
  <c r="E42" i="20" s="1"/>
  <c r="AW40" i="14"/>
  <c r="BF40" i="14" s="1"/>
  <c r="D42" i="20" s="1"/>
  <c r="W40" i="14"/>
  <c r="BH39" i="14"/>
  <c r="BG39" i="14"/>
  <c r="BF39" i="14"/>
  <c r="D41" i="20" s="1"/>
  <c r="W39" i="14"/>
  <c r="BH38" i="14"/>
  <c r="G39" i="20" s="1"/>
  <c r="BG38" i="14"/>
  <c r="E39" i="20" s="1"/>
  <c r="D39" i="20"/>
  <c r="BH37" i="14"/>
  <c r="BG37" i="14"/>
  <c r="BF37" i="14"/>
  <c r="BH36" i="14"/>
  <c r="G40" i="20" s="1"/>
  <c r="BG36" i="14"/>
  <c r="E40" i="20" s="1"/>
  <c r="BF36" i="14"/>
  <c r="D40" i="20" s="1"/>
  <c r="W36" i="14"/>
  <c r="BH35" i="14"/>
  <c r="BG35" i="14"/>
  <c r="BC35" i="14"/>
  <c r="W35" i="14"/>
  <c r="BH34" i="14"/>
  <c r="BG34" i="14"/>
  <c r="AW34" i="14"/>
  <c r="W34" i="14"/>
  <c r="BH33" i="14"/>
  <c r="G34" i="20" s="1"/>
  <c r="BG33" i="14"/>
  <c r="E34" i="20" s="1"/>
  <c r="BF33" i="14"/>
  <c r="D34" i="20" s="1"/>
  <c r="W33" i="14"/>
  <c r="BH32" i="14"/>
  <c r="G33" i="20" s="1"/>
  <c r="BG32" i="14"/>
  <c r="E33" i="20" s="1"/>
  <c r="BF32" i="14"/>
  <c r="W32" i="14"/>
  <c r="BH31" i="14"/>
  <c r="BG31" i="14"/>
  <c r="E29" i="20" s="1"/>
  <c r="AB31" i="14"/>
  <c r="W31" i="14"/>
  <c r="BH30" i="14"/>
  <c r="G28" i="20" s="1"/>
  <c r="BG30" i="14"/>
  <c r="E28" i="20" s="1"/>
  <c r="BF30" i="14"/>
  <c r="D28" i="20" s="1"/>
  <c r="W30" i="14"/>
  <c r="BH29" i="14"/>
  <c r="BG29" i="14"/>
  <c r="BF29" i="14"/>
  <c r="W29" i="14"/>
  <c r="BH28" i="14"/>
  <c r="G26" i="20" s="1"/>
  <c r="BG28" i="14"/>
  <c r="E26" i="20" s="1"/>
  <c r="AT28" i="14"/>
  <c r="W28" i="14"/>
  <c r="BH27" i="14"/>
  <c r="BG27" i="14"/>
  <c r="W27" i="14"/>
  <c r="BH26" i="14"/>
  <c r="G24" i="20" s="1"/>
  <c r="BG26" i="14"/>
  <c r="E24" i="20" s="1"/>
  <c r="BF26" i="14"/>
  <c r="D24" i="20" s="1"/>
  <c r="W26" i="14"/>
  <c r="BH25" i="14"/>
  <c r="G21" i="20" s="1"/>
  <c r="BG25" i="14"/>
  <c r="E21" i="20" s="1"/>
  <c r="BF25" i="14"/>
  <c r="D21" i="20" s="1"/>
  <c r="W25" i="14"/>
  <c r="BH24" i="14"/>
  <c r="G20" i="20" s="1"/>
  <c r="BG24" i="14"/>
  <c r="E20" i="20" s="1"/>
  <c r="D20" i="20"/>
  <c r="C14" i="23"/>
  <c r="E14" i="23" s="1"/>
  <c r="W24" i="14"/>
  <c r="BH23" i="14"/>
  <c r="G17" i="20" s="1"/>
  <c r="BG23" i="14"/>
  <c r="E17" i="20" s="1"/>
  <c r="BF23" i="14"/>
  <c r="D17" i="20" s="1"/>
  <c r="W23" i="14"/>
  <c r="BH22" i="14"/>
  <c r="BG22" i="14"/>
  <c r="BF22" i="14"/>
  <c r="W22" i="14"/>
  <c r="BH21" i="14"/>
  <c r="BG21" i="14"/>
  <c r="BF21" i="14"/>
  <c r="W21" i="14"/>
  <c r="BH20" i="14"/>
  <c r="BG20" i="14"/>
  <c r="BF20" i="14"/>
  <c r="W20" i="14"/>
  <c r="BH19" i="14"/>
  <c r="BG19" i="14"/>
  <c r="BF19" i="14"/>
  <c r="W19" i="14"/>
  <c r="BH18" i="14"/>
  <c r="BG18" i="14"/>
  <c r="BF18" i="14"/>
  <c r="W18" i="14"/>
  <c r="BH17" i="14"/>
  <c r="BG17" i="14"/>
  <c r="BF17" i="14"/>
  <c r="W17" i="14"/>
  <c r="BH16" i="14"/>
  <c r="G15" i="20" s="1"/>
  <c r="BG16" i="14"/>
  <c r="E15" i="20" s="1"/>
  <c r="BF16" i="14"/>
  <c r="D15" i="20" s="1"/>
  <c r="W16" i="14"/>
  <c r="BH15" i="14"/>
  <c r="G14" i="20" s="1"/>
  <c r="BG15" i="14"/>
  <c r="E14" i="20" s="1"/>
  <c r="BF15" i="14"/>
  <c r="D14" i="20" s="1"/>
  <c r="W15" i="14"/>
  <c r="BH14" i="14"/>
  <c r="G13" i="20" s="1"/>
  <c r="BG14" i="14"/>
  <c r="E13" i="20" s="1"/>
  <c r="BF14" i="14"/>
  <c r="D13" i="20" s="1"/>
  <c r="W14" i="14"/>
  <c r="BH13" i="14"/>
  <c r="G12" i="20" s="1"/>
  <c r="BG13" i="14"/>
  <c r="E12" i="20" s="1"/>
  <c r="AT13" i="14"/>
  <c r="W13" i="14"/>
  <c r="BH12" i="14"/>
  <c r="G11" i="20" s="1"/>
  <c r="BG12" i="14"/>
  <c r="E11" i="20" s="1"/>
  <c r="BF12" i="14"/>
  <c r="D11" i="20" s="1"/>
  <c r="W12" i="14"/>
  <c r="BH11" i="14"/>
  <c r="G8" i="20" s="1"/>
  <c r="BG11" i="14"/>
  <c r="E8" i="20" s="1"/>
  <c r="BF11" i="14"/>
  <c r="D8" i="20" s="1"/>
  <c r="W11" i="14"/>
  <c r="BH10" i="14"/>
  <c r="G7" i="20" s="1"/>
  <c r="BG10" i="14"/>
  <c r="E7" i="20" s="1"/>
  <c r="BF10" i="14"/>
  <c r="D7" i="20" s="1"/>
  <c r="W10" i="14"/>
  <c r="BH9" i="14"/>
  <c r="G6" i="20" s="1"/>
  <c r="BG9" i="14"/>
  <c r="E6" i="20" s="1"/>
  <c r="BF9" i="14"/>
  <c r="D6" i="20" s="1"/>
  <c r="W9" i="14"/>
  <c r="BH8" i="14"/>
  <c r="BG8" i="14"/>
  <c r="BF8" i="14"/>
  <c r="W8" i="14"/>
  <c r="AN310" i="14" l="1"/>
  <c r="BC310" i="14"/>
  <c r="G5" i="20"/>
  <c r="BH310" i="14"/>
  <c r="AT310" i="14"/>
  <c r="AB310" i="14"/>
  <c r="AW310" i="14"/>
  <c r="D5" i="20"/>
  <c r="D4" i="20" s="1"/>
  <c r="D3" i="20" s="1"/>
  <c r="E5" i="20"/>
  <c r="BG310" i="14"/>
  <c r="AE310" i="14"/>
  <c r="F86" i="15"/>
  <c r="E88" i="15"/>
  <c r="E77" i="20"/>
  <c r="G77" i="20"/>
  <c r="D77" i="20"/>
  <c r="H86" i="15"/>
  <c r="E30" i="20"/>
  <c r="G30" i="20"/>
  <c r="D43" i="20"/>
  <c r="D38" i="20"/>
  <c r="E38" i="20"/>
  <c r="G38" i="20"/>
  <c r="D27" i="20"/>
  <c r="E27" i="20"/>
  <c r="G27" i="20"/>
  <c r="E25" i="20"/>
  <c r="G25" i="20"/>
  <c r="E55" i="20"/>
  <c r="BF31" i="14"/>
  <c r="D29" i="20" s="1"/>
  <c r="F29" i="20" s="1"/>
  <c r="C21" i="23"/>
  <c r="E21" i="23" s="1"/>
  <c r="C22" i="23"/>
  <c r="E22" i="23" s="1"/>
  <c r="C26" i="23"/>
  <c r="E26" i="23" s="1"/>
  <c r="BF138" i="14"/>
  <c r="BF144" i="14"/>
  <c r="E172" i="20"/>
  <c r="E163" i="20"/>
  <c r="E157" i="20"/>
  <c r="E159" i="20"/>
  <c r="E160" i="20"/>
  <c r="E151" i="20"/>
  <c r="E153" i="20"/>
  <c r="E155" i="20"/>
  <c r="E156" i="20"/>
  <c r="E158" i="20"/>
  <c r="E162" i="20"/>
  <c r="E164" i="20"/>
  <c r="E173" i="20"/>
  <c r="E152" i="20"/>
  <c r="E161" i="20"/>
  <c r="G163" i="20"/>
  <c r="G164" i="20"/>
  <c r="F171" i="20"/>
  <c r="F166" i="20"/>
  <c r="F167" i="20"/>
  <c r="F165" i="20"/>
  <c r="G160" i="20"/>
  <c r="G161" i="20"/>
  <c r="G162" i="20"/>
  <c r="G159" i="20"/>
  <c r="G158" i="20"/>
  <c r="G157" i="20"/>
  <c r="D104" i="20"/>
  <c r="F104" i="20" s="1"/>
  <c r="D105" i="20"/>
  <c r="H105" i="20" s="1"/>
  <c r="D106" i="20"/>
  <c r="D107" i="20"/>
  <c r="F107" i="20" s="1"/>
  <c r="D98" i="20"/>
  <c r="F98" i="20" s="1"/>
  <c r="D99" i="20"/>
  <c r="D86" i="20"/>
  <c r="H86" i="20" s="1"/>
  <c r="E94" i="15"/>
  <c r="D89" i="20"/>
  <c r="E145" i="20"/>
  <c r="F145" i="20" s="1"/>
  <c r="D129" i="20"/>
  <c r="E101" i="20"/>
  <c r="D135" i="20"/>
  <c r="BF52" i="14"/>
  <c r="D31" i="20" s="1"/>
  <c r="F31" i="20" s="1"/>
  <c r="C23" i="23"/>
  <c r="E23" i="23" s="1"/>
  <c r="BF303" i="14"/>
  <c r="E182" i="15" s="1"/>
  <c r="C79" i="23"/>
  <c r="D154" i="20"/>
  <c r="H154" i="20" s="1"/>
  <c r="D84" i="20"/>
  <c r="C71" i="23"/>
  <c r="BF28" i="14"/>
  <c r="D26" i="20" s="1"/>
  <c r="F26" i="20" s="1"/>
  <c r="C20" i="23"/>
  <c r="C78" i="23"/>
  <c r="E78" i="23" s="1"/>
  <c r="BF43" i="14"/>
  <c r="C19" i="23"/>
  <c r="C18" i="23"/>
  <c r="E18" i="23" s="1"/>
  <c r="BF44" i="14"/>
  <c r="BF51" i="14"/>
  <c r="C34" i="23"/>
  <c r="E34" i="23" s="1"/>
  <c r="BF152" i="14"/>
  <c r="D112" i="20" s="1"/>
  <c r="C58" i="23"/>
  <c r="C65" i="23"/>
  <c r="E93" i="20"/>
  <c r="G101" i="20"/>
  <c r="E178" i="20"/>
  <c r="D178" i="20"/>
  <c r="G93" i="20"/>
  <c r="G116" i="20"/>
  <c r="G32" i="20"/>
  <c r="E129" i="20"/>
  <c r="G111" i="20"/>
  <c r="G152" i="20"/>
  <c r="F6" i="20"/>
  <c r="F7" i="20"/>
  <c r="F8" i="20"/>
  <c r="F11" i="20"/>
  <c r="F13" i="20"/>
  <c r="F14" i="20"/>
  <c r="F125" i="20"/>
  <c r="F126" i="20"/>
  <c r="F127" i="20"/>
  <c r="F128" i="20"/>
  <c r="F130" i="20"/>
  <c r="F132" i="20"/>
  <c r="F133" i="20"/>
  <c r="F134" i="20"/>
  <c r="F136" i="20"/>
  <c r="F138" i="20"/>
  <c r="F188" i="20"/>
  <c r="G153" i="20"/>
  <c r="G155" i="20"/>
  <c r="G156" i="20"/>
  <c r="F34" i="20"/>
  <c r="F40" i="20"/>
  <c r="F79" i="20"/>
  <c r="G172" i="20"/>
  <c r="H155" i="15"/>
  <c r="G178" i="20"/>
  <c r="F155" i="15"/>
  <c r="F15" i="20"/>
  <c r="F17" i="20"/>
  <c r="F39" i="20"/>
  <c r="F42" i="20"/>
  <c r="F48" i="20"/>
  <c r="F70" i="20"/>
  <c r="F146" i="20"/>
  <c r="F147" i="20"/>
  <c r="F148" i="20"/>
  <c r="G151" i="20"/>
  <c r="G173" i="20"/>
  <c r="F20" i="20"/>
  <c r="F21" i="20"/>
  <c r="F24" i="20"/>
  <c r="F28" i="20"/>
  <c r="F45" i="20"/>
  <c r="F59" i="20"/>
  <c r="F75" i="20"/>
  <c r="E32" i="20"/>
  <c r="E84" i="20"/>
  <c r="G135" i="20"/>
  <c r="E135" i="20"/>
  <c r="G84" i="20"/>
  <c r="D115" i="20"/>
  <c r="E16" i="20"/>
  <c r="G129" i="20"/>
  <c r="D22" i="24"/>
  <c r="B49" i="24" s="1"/>
  <c r="A20" i="20"/>
  <c r="A21" i="20" s="1"/>
  <c r="D116" i="20"/>
  <c r="C11" i="23"/>
  <c r="E11" i="23" s="1"/>
  <c r="C50" i="23"/>
  <c r="E50" i="23" s="1"/>
  <c r="BF147" i="14"/>
  <c r="BF163" i="14"/>
  <c r="C60" i="23"/>
  <c r="E60" i="23" s="1"/>
  <c r="C70" i="23"/>
  <c r="BF292" i="14"/>
  <c r="D187" i="20" s="1"/>
  <c r="H187" i="20" s="1"/>
  <c r="BF13" i="14"/>
  <c r="D12" i="20" s="1"/>
  <c r="F12" i="20" s="1"/>
  <c r="BF122" i="14"/>
  <c r="BF143" i="14"/>
  <c r="BF172" i="14"/>
  <c r="D117" i="20" s="1"/>
  <c r="BF288" i="14"/>
  <c r="BF290" i="14"/>
  <c r="C74" i="23"/>
  <c r="E74" i="23" s="1"/>
  <c r="C29" i="23"/>
  <c r="E29" i="23" s="1"/>
  <c r="C48" i="23"/>
  <c r="BF35" i="14"/>
  <c r="C42" i="23"/>
  <c r="BF139" i="14"/>
  <c r="BF294" i="14"/>
  <c r="E155" i="15"/>
  <c r="G115" i="20"/>
  <c r="E116" i="20"/>
  <c r="D37" i="23"/>
  <c r="G74" i="20"/>
  <c r="E74" i="20"/>
  <c r="G16" i="20"/>
  <c r="G10" i="20" s="1"/>
  <c r="D16" i="20"/>
  <c r="H165" i="20"/>
  <c r="E115" i="20"/>
  <c r="D111" i="20"/>
  <c r="E111" i="20"/>
  <c r="D153" i="20"/>
  <c r="F69" i="23"/>
  <c r="D32" i="23"/>
  <c r="C7" i="23"/>
  <c r="C30" i="23"/>
  <c r="E30" i="23" s="1"/>
  <c r="C49" i="23"/>
  <c r="C55" i="23"/>
  <c r="BF27" i="14"/>
  <c r="BF34" i="14"/>
  <c r="BF55" i="14"/>
  <c r="E58" i="15" s="1"/>
  <c r="BF86" i="14"/>
  <c r="E86" i="15" s="1"/>
  <c r="BF125" i="14"/>
  <c r="BF131" i="14"/>
  <c r="BF296" i="14"/>
  <c r="D194" i="20" s="1"/>
  <c r="E93" i="15"/>
  <c r="G93" i="15" s="1"/>
  <c r="E114" i="15"/>
  <c r="G114" i="15" s="1"/>
  <c r="BF77" i="14"/>
  <c r="E80" i="15" s="1"/>
  <c r="G107" i="15"/>
  <c r="H128" i="20"/>
  <c r="H133" i="20"/>
  <c r="H146" i="20"/>
  <c r="H167" i="20"/>
  <c r="D155" i="20"/>
  <c r="D152" i="20"/>
  <c r="E71" i="20"/>
  <c r="G76" i="20"/>
  <c r="E85" i="20"/>
  <c r="G88" i="20"/>
  <c r="G92" i="20"/>
  <c r="D95" i="20"/>
  <c r="E100" i="20"/>
  <c r="G114" i="20"/>
  <c r="G122" i="20"/>
  <c r="I107" i="15"/>
  <c r="D28" i="23"/>
  <c r="D77" i="23"/>
  <c r="G69" i="20"/>
  <c r="H75" i="20"/>
  <c r="E76" i="20"/>
  <c r="G78" i="20"/>
  <c r="D83" i="20"/>
  <c r="D85" i="20"/>
  <c r="E88" i="20"/>
  <c r="E92" i="20"/>
  <c r="E96" i="20"/>
  <c r="D100" i="20"/>
  <c r="G113" i="20"/>
  <c r="E114" i="20"/>
  <c r="E122" i="20"/>
  <c r="G139" i="20"/>
  <c r="D156" i="20"/>
  <c r="G105" i="15"/>
  <c r="F32" i="23"/>
  <c r="D53" i="23"/>
  <c r="I105" i="15"/>
  <c r="D6" i="23"/>
  <c r="F6" i="23"/>
  <c r="G14" i="23"/>
  <c r="C44" i="23"/>
  <c r="E44" i="23" s="1"/>
  <c r="F53" i="23"/>
  <c r="E98" i="15"/>
  <c r="F13" i="23"/>
  <c r="G51" i="23"/>
  <c r="G59" i="23"/>
  <c r="G75" i="23"/>
  <c r="F21" i="15"/>
  <c r="F20" i="15" s="1"/>
  <c r="F19" i="15" s="1"/>
  <c r="E65" i="15"/>
  <c r="H6" i="20"/>
  <c r="H15" i="20"/>
  <c r="H21" i="20"/>
  <c r="H28" i="20"/>
  <c r="F72" i="15"/>
  <c r="F71" i="15" s="1"/>
  <c r="H148" i="15"/>
  <c r="F26" i="15"/>
  <c r="F25" i="15" s="1"/>
  <c r="E48" i="15"/>
  <c r="F101" i="15"/>
  <c r="F100" i="15" s="1"/>
  <c r="G15" i="23"/>
  <c r="G61" i="23"/>
  <c r="D87" i="20"/>
  <c r="H147" i="15"/>
  <c r="E34" i="15"/>
  <c r="E33" i="15" s="1"/>
  <c r="H99" i="15"/>
  <c r="I108" i="15"/>
  <c r="H7" i="20"/>
  <c r="H8" i="20"/>
  <c r="H17" i="20"/>
  <c r="D19" i="20"/>
  <c r="D18" i="20" s="1"/>
  <c r="B5" i="24" s="1"/>
  <c r="L5" i="24" s="1"/>
  <c r="M5" i="24" s="1"/>
  <c r="H34" i="20"/>
  <c r="H40" i="20"/>
  <c r="H42" i="20"/>
  <c r="E44" i="20"/>
  <c r="H49" i="15"/>
  <c r="E56" i="20"/>
  <c r="G62" i="20"/>
  <c r="G60" i="20" s="1"/>
  <c r="G65" i="20"/>
  <c r="E69" i="20"/>
  <c r="D76" i="20"/>
  <c r="E78" i="20"/>
  <c r="G82" i="20"/>
  <c r="E110" i="20"/>
  <c r="G112" i="20"/>
  <c r="E113" i="20"/>
  <c r="D114" i="20"/>
  <c r="G124" i="20"/>
  <c r="H127" i="20"/>
  <c r="H132" i="20"/>
  <c r="H138" i="20"/>
  <c r="E139" i="20"/>
  <c r="H145" i="20"/>
  <c r="H166" i="20"/>
  <c r="E177" i="20"/>
  <c r="H32" i="15"/>
  <c r="H31" i="15" s="1"/>
  <c r="H58" i="15"/>
  <c r="G108" i="15"/>
  <c r="G8" i="23"/>
  <c r="G39" i="23"/>
  <c r="G62" i="23"/>
  <c r="F16" i="15"/>
  <c r="F60" i="15"/>
  <c r="H123" i="15"/>
  <c r="H122" i="15" s="1"/>
  <c r="G35" i="23"/>
  <c r="F37" i="23"/>
  <c r="E4" i="20"/>
  <c r="H24" i="20"/>
  <c r="D47" i="20"/>
  <c r="D46" i="20" s="1"/>
  <c r="E53" i="15"/>
  <c r="G57" i="20"/>
  <c r="H57" i="20" s="1"/>
  <c r="H65" i="15"/>
  <c r="G68" i="20"/>
  <c r="H80" i="15"/>
  <c r="E87" i="20"/>
  <c r="F94" i="15"/>
  <c r="E91" i="20"/>
  <c r="F98" i="15"/>
  <c r="E118" i="20"/>
  <c r="D122" i="20"/>
  <c r="E128" i="15"/>
  <c r="E127" i="15" s="1"/>
  <c r="E183" i="20"/>
  <c r="F162" i="15"/>
  <c r="G186" i="20"/>
  <c r="H169" i="15"/>
  <c r="E201" i="20"/>
  <c r="F191" i="15"/>
  <c r="D82" i="23"/>
  <c r="E19" i="20"/>
  <c r="G44" i="20"/>
  <c r="G49" i="20"/>
  <c r="H49" i="20" s="1"/>
  <c r="H52" i="15"/>
  <c r="D54" i="20"/>
  <c r="H54" i="20" s="1"/>
  <c r="E60" i="15"/>
  <c r="G87" i="20"/>
  <c r="H94" i="15"/>
  <c r="G91" i="20"/>
  <c r="H98" i="15"/>
  <c r="D93" i="20"/>
  <c r="E101" i="15"/>
  <c r="E100" i="15" s="1"/>
  <c r="G110" i="20"/>
  <c r="G117" i="20"/>
  <c r="H120" i="15"/>
  <c r="G118" i="20"/>
  <c r="E137" i="20"/>
  <c r="F134" i="15"/>
  <c r="E139" i="15"/>
  <c r="E138" i="15" s="1"/>
  <c r="D142" i="20"/>
  <c r="D140" i="20" s="1"/>
  <c r="D144" i="20"/>
  <c r="D143" i="20" s="1"/>
  <c r="E142" i="15"/>
  <c r="E141" i="15" s="1"/>
  <c r="E140" i="15" s="1"/>
  <c r="E148" i="15"/>
  <c r="F149" i="15"/>
  <c r="F147" i="15"/>
  <c r="E176" i="20"/>
  <c r="F154" i="15"/>
  <c r="G177" i="20"/>
  <c r="G180" i="20"/>
  <c r="H158" i="15"/>
  <c r="G183" i="20"/>
  <c r="H162" i="15"/>
  <c r="G194" i="20"/>
  <c r="H180" i="15"/>
  <c r="E195" i="20"/>
  <c r="F182" i="15"/>
  <c r="G196" i="20"/>
  <c r="H183" i="15"/>
  <c r="G201" i="20"/>
  <c r="F82" i="23"/>
  <c r="H191" i="15"/>
  <c r="E9" i="15"/>
  <c r="H10" i="15"/>
  <c r="H15" i="15"/>
  <c r="F34" i="15"/>
  <c r="F53" i="15"/>
  <c r="E59" i="15"/>
  <c r="H60" i="15"/>
  <c r="F62" i="15"/>
  <c r="E67" i="15"/>
  <c r="E66" i="15" s="1"/>
  <c r="F70" i="15"/>
  <c r="E75" i="15"/>
  <c r="E74" i="15" s="1"/>
  <c r="E73" i="15" s="1"/>
  <c r="F95" i="15"/>
  <c r="H101" i="15"/>
  <c r="E106" i="15"/>
  <c r="F119" i="15"/>
  <c r="F128" i="15"/>
  <c r="E133" i="15"/>
  <c r="E137" i="15"/>
  <c r="E136" i="15" s="1"/>
  <c r="F139" i="15"/>
  <c r="H170" i="15"/>
  <c r="C37" i="23"/>
  <c r="G38" i="23"/>
  <c r="D47" i="23"/>
  <c r="D69" i="23"/>
  <c r="H11" i="20"/>
  <c r="G29" i="20"/>
  <c r="H36" i="15"/>
  <c r="E37" i="20"/>
  <c r="F44" i="15"/>
  <c r="E43" i="20"/>
  <c r="F48" i="15"/>
  <c r="E49" i="20"/>
  <c r="F49" i="20" s="1"/>
  <c r="F52" i="15"/>
  <c r="E58" i="20"/>
  <c r="F58" i="20" s="1"/>
  <c r="F67" i="15"/>
  <c r="D92" i="20"/>
  <c r="E99" i="15"/>
  <c r="G95" i="20"/>
  <c r="H104" i="15"/>
  <c r="G106" i="20"/>
  <c r="H113" i="15"/>
  <c r="D176" i="20"/>
  <c r="E154" i="15"/>
  <c r="E180" i="20"/>
  <c r="F158" i="15"/>
  <c r="G181" i="20"/>
  <c r="H159" i="15"/>
  <c r="G191" i="20"/>
  <c r="H175" i="15"/>
  <c r="E194" i="20"/>
  <c r="F180" i="15"/>
  <c r="H9" i="15"/>
  <c r="H28" i="15"/>
  <c r="F30" i="15"/>
  <c r="H39" i="15"/>
  <c r="H132" i="15"/>
  <c r="F148" i="15"/>
  <c r="F47" i="23"/>
  <c r="G37" i="20"/>
  <c r="H44" i="15"/>
  <c r="H48" i="15"/>
  <c r="G43" i="20"/>
  <c r="H48" i="20"/>
  <c r="E53" i="20"/>
  <c r="F53" i="20" s="1"/>
  <c r="F59" i="15"/>
  <c r="G56" i="20"/>
  <c r="G58" i="20"/>
  <c r="H58" i="20" s="1"/>
  <c r="H67" i="15"/>
  <c r="D61" i="20"/>
  <c r="H61" i="20" s="1"/>
  <c r="E70" i="15"/>
  <c r="E69" i="15" s="1"/>
  <c r="D71" i="20"/>
  <c r="E81" i="15"/>
  <c r="G4" i="20"/>
  <c r="H13" i="20"/>
  <c r="H14" i="20"/>
  <c r="G19" i="20"/>
  <c r="H20" i="20"/>
  <c r="D33" i="20"/>
  <c r="D32" i="20" s="1"/>
  <c r="E39" i="15"/>
  <c r="E38" i="15" s="1"/>
  <c r="E37" i="15" s="1"/>
  <c r="H39" i="20"/>
  <c r="E41" i="20"/>
  <c r="F41" i="20" s="1"/>
  <c r="F46" i="15"/>
  <c r="G53" i="20"/>
  <c r="H53" i="20" s="1"/>
  <c r="H59" i="15"/>
  <c r="D55" i="20"/>
  <c r="H55" i="20" s="1"/>
  <c r="E62" i="15"/>
  <c r="E61" i="15" s="1"/>
  <c r="H59" i="20"/>
  <c r="E72" i="15"/>
  <c r="E71" i="15" s="1"/>
  <c r="E64" i="20"/>
  <c r="F64" i="20" s="1"/>
  <c r="F75" i="15"/>
  <c r="D65" i="20"/>
  <c r="D63" i="20" s="1"/>
  <c r="D82" i="20"/>
  <c r="E83" i="20"/>
  <c r="D90" i="20"/>
  <c r="H90" i="20" s="1"/>
  <c r="E97" i="15"/>
  <c r="G96" i="20"/>
  <c r="E99" i="20"/>
  <c r="F106" i="15"/>
  <c r="D123" i="20"/>
  <c r="H123" i="20" s="1"/>
  <c r="E130" i="15"/>
  <c r="E129" i="15" s="1"/>
  <c r="D124" i="20"/>
  <c r="E132" i="15"/>
  <c r="H125" i="20"/>
  <c r="H130" i="20"/>
  <c r="E131" i="20"/>
  <c r="F131" i="20" s="1"/>
  <c r="F133" i="15"/>
  <c r="H134" i="20"/>
  <c r="H136" i="20"/>
  <c r="G137" i="20"/>
  <c r="H134" i="15"/>
  <c r="E141" i="20"/>
  <c r="F141" i="20" s="1"/>
  <c r="F137" i="15"/>
  <c r="E144" i="20"/>
  <c r="F142" i="15"/>
  <c r="H147" i="20"/>
  <c r="H149" i="15"/>
  <c r="G176" i="20"/>
  <c r="H154" i="15"/>
  <c r="D181" i="20"/>
  <c r="E159" i="15"/>
  <c r="D192" i="20"/>
  <c r="E177" i="15"/>
  <c r="E176" i="15" s="1"/>
  <c r="G195" i="20"/>
  <c r="H182" i="15"/>
  <c r="F9" i="15"/>
  <c r="E10" i="15"/>
  <c r="H16" i="15"/>
  <c r="H21" i="15"/>
  <c r="H26" i="15"/>
  <c r="F28" i="15"/>
  <c r="H30" i="15"/>
  <c r="F32" i="15"/>
  <c r="E52" i="15"/>
  <c r="H53" i="15"/>
  <c r="H62" i="15"/>
  <c r="F64" i="15"/>
  <c r="H70" i="15"/>
  <c r="F81" i="15"/>
  <c r="H95" i="15"/>
  <c r="F97" i="15"/>
  <c r="H119" i="15"/>
  <c r="H128" i="15"/>
  <c r="F130" i="15"/>
  <c r="H137" i="15"/>
  <c r="H139" i="15"/>
  <c r="G33" i="23"/>
  <c r="D62" i="20"/>
  <c r="D88" i="20"/>
  <c r="E95" i="15"/>
  <c r="E117" i="20"/>
  <c r="F120" i="15"/>
  <c r="D137" i="20"/>
  <c r="E134" i="15"/>
  <c r="E187" i="20"/>
  <c r="F170" i="15"/>
  <c r="G192" i="20"/>
  <c r="H177" i="15"/>
  <c r="E196" i="20"/>
  <c r="F183" i="15"/>
  <c r="G41" i="20"/>
  <c r="H41" i="20" s="1"/>
  <c r="H46" i="15"/>
  <c r="D56" i="20"/>
  <c r="E64" i="15"/>
  <c r="E57" i="20"/>
  <c r="F57" i="20" s="1"/>
  <c r="F65" i="15"/>
  <c r="E62" i="20"/>
  <c r="G64" i="20"/>
  <c r="H75" i="15"/>
  <c r="E65" i="20"/>
  <c r="E68" i="20"/>
  <c r="F80" i="15"/>
  <c r="D69" i="20"/>
  <c r="H70" i="20"/>
  <c r="G71" i="20"/>
  <c r="D78" i="20"/>
  <c r="E87" i="15"/>
  <c r="H79" i="20"/>
  <c r="E82" i="20"/>
  <c r="G83" i="20"/>
  <c r="G85" i="20"/>
  <c r="G89" i="20"/>
  <c r="H96" i="15"/>
  <c r="D91" i="20"/>
  <c r="E95" i="20"/>
  <c r="F104" i="15"/>
  <c r="G99" i="20"/>
  <c r="H106" i="15"/>
  <c r="G100" i="20"/>
  <c r="E106" i="20"/>
  <c r="F113" i="15"/>
  <c r="E112" i="20"/>
  <c r="D119" i="20"/>
  <c r="D118" i="20" s="1"/>
  <c r="E123" i="15"/>
  <c r="E122" i="15" s="1"/>
  <c r="E121" i="15" s="1"/>
  <c r="E124" i="20"/>
  <c r="H126" i="20"/>
  <c r="G131" i="20"/>
  <c r="H131" i="20" s="1"/>
  <c r="H133" i="15"/>
  <c r="D139" i="20"/>
  <c r="G140" i="20"/>
  <c r="H141" i="20"/>
  <c r="G144" i="20"/>
  <c r="H142" i="15"/>
  <c r="H148" i="20"/>
  <c r="D177" i="20"/>
  <c r="D180" i="20"/>
  <c r="E158" i="15"/>
  <c r="E181" i="20"/>
  <c r="F159" i="15"/>
  <c r="D183" i="20"/>
  <c r="D182" i="20" s="1"/>
  <c r="E162" i="15"/>
  <c r="E161" i="15" s="1"/>
  <c r="E160" i="15" s="1"/>
  <c r="E186" i="20"/>
  <c r="F169" i="15"/>
  <c r="H188" i="20"/>
  <c r="E191" i="20"/>
  <c r="F175" i="15"/>
  <c r="E192" i="20"/>
  <c r="F177" i="15"/>
  <c r="D196" i="20"/>
  <c r="E183" i="15"/>
  <c r="D197" i="20"/>
  <c r="E185" i="15"/>
  <c r="E184" i="15" s="1"/>
  <c r="D201" i="20"/>
  <c r="E191" i="15"/>
  <c r="E190" i="15" s="1"/>
  <c r="E189" i="15" s="1"/>
  <c r="E188" i="15" s="1"/>
  <c r="C82" i="23"/>
  <c r="C81" i="23" s="1"/>
  <c r="F10" i="15"/>
  <c r="F15" i="15"/>
  <c r="E16" i="15"/>
  <c r="E21" i="15"/>
  <c r="E20" i="15" s="1"/>
  <c r="E19" i="15" s="1"/>
  <c r="E18" i="15" s="1"/>
  <c r="E26" i="15"/>
  <c r="E25" i="15" s="1"/>
  <c r="H34" i="15"/>
  <c r="F36" i="15"/>
  <c r="F39" i="15"/>
  <c r="E46" i="15"/>
  <c r="E45" i="15" s="1"/>
  <c r="F49" i="15"/>
  <c r="F58" i="15"/>
  <c r="H64" i="15"/>
  <c r="H72" i="15"/>
  <c r="H81" i="15"/>
  <c r="E96" i="15"/>
  <c r="G96" i="15" s="1"/>
  <c r="H97" i="15"/>
  <c r="F99" i="15"/>
  <c r="E104" i="15"/>
  <c r="E113" i="15"/>
  <c r="F123" i="15"/>
  <c r="H130" i="15"/>
  <c r="F132" i="15"/>
  <c r="E89" i="20"/>
  <c r="F10" i="23"/>
  <c r="D13" i="23"/>
  <c r="F44" i="23"/>
  <c r="G45" i="23"/>
  <c r="G54" i="23"/>
  <c r="F28" i="23"/>
  <c r="D41" i="23"/>
  <c r="D57" i="23"/>
  <c r="F57" i="23"/>
  <c r="F77" i="23"/>
  <c r="C13" i="23"/>
  <c r="F5" i="20" l="1"/>
  <c r="BF310" i="14"/>
  <c r="H5" i="20"/>
  <c r="F77" i="20"/>
  <c r="H77" i="20"/>
  <c r="H43" i="20"/>
  <c r="F43" i="20"/>
  <c r="F27" i="20"/>
  <c r="D30" i="20"/>
  <c r="H38" i="20"/>
  <c r="F38" i="20"/>
  <c r="H27" i="20"/>
  <c r="E23" i="20"/>
  <c r="E175" i="15"/>
  <c r="E174" i="15" s="1"/>
  <c r="E173" i="15" s="1"/>
  <c r="D25" i="20"/>
  <c r="F25" i="20" s="1"/>
  <c r="D74" i="20"/>
  <c r="F74" i="20" s="1"/>
  <c r="E36" i="15"/>
  <c r="E35" i="15" s="1"/>
  <c r="H29" i="20"/>
  <c r="G26" i="23"/>
  <c r="C6" i="23"/>
  <c r="E6" i="23" s="1"/>
  <c r="E7" i="23"/>
  <c r="E37" i="23"/>
  <c r="C64" i="23"/>
  <c r="E65" i="23"/>
  <c r="G71" i="23"/>
  <c r="E71" i="23"/>
  <c r="E82" i="23"/>
  <c r="G55" i="23"/>
  <c r="E55" i="23"/>
  <c r="G58" i="23"/>
  <c r="E58" i="23"/>
  <c r="G48" i="23"/>
  <c r="E48" i="23"/>
  <c r="G19" i="23"/>
  <c r="E19" i="23"/>
  <c r="G79" i="23"/>
  <c r="E79" i="23"/>
  <c r="E13" i="23"/>
  <c r="G49" i="23"/>
  <c r="E49" i="23"/>
  <c r="G42" i="23"/>
  <c r="E42" i="23"/>
  <c r="G70" i="23"/>
  <c r="E70" i="23"/>
  <c r="G20" i="23"/>
  <c r="E20" i="23"/>
  <c r="H106" i="20"/>
  <c r="F106" i="20"/>
  <c r="H89" i="20"/>
  <c r="F89" i="20"/>
  <c r="H104" i="20"/>
  <c r="H99" i="20"/>
  <c r="F86" i="20"/>
  <c r="F105" i="20"/>
  <c r="H107" i="20"/>
  <c r="I94" i="15"/>
  <c r="H98" i="20"/>
  <c r="D103" i="20"/>
  <c r="D102" i="20" s="1"/>
  <c r="B11" i="24" s="1"/>
  <c r="L11" i="24" s="1"/>
  <c r="M11" i="24" s="1"/>
  <c r="F99" i="20"/>
  <c r="G94" i="15"/>
  <c r="D96" i="20"/>
  <c r="H96" i="20" s="1"/>
  <c r="D101" i="20"/>
  <c r="F101" i="20" s="1"/>
  <c r="D97" i="20"/>
  <c r="F97" i="20" s="1"/>
  <c r="I183" i="15"/>
  <c r="G183" i="15"/>
  <c r="H129" i="20"/>
  <c r="F129" i="20"/>
  <c r="F169" i="20"/>
  <c r="F168" i="20"/>
  <c r="F170" i="20"/>
  <c r="F154" i="20"/>
  <c r="H170" i="20"/>
  <c r="E28" i="15"/>
  <c r="E27" i="15" s="1"/>
  <c r="F135" i="20"/>
  <c r="H135" i="20"/>
  <c r="H169" i="20"/>
  <c r="D195" i="20"/>
  <c r="F195" i="20" s="1"/>
  <c r="H168" i="20"/>
  <c r="F173" i="20"/>
  <c r="F84" i="20"/>
  <c r="H84" i="20"/>
  <c r="E32" i="15"/>
  <c r="E31" i="15" s="1"/>
  <c r="I31" i="15" s="1"/>
  <c r="H26" i="20"/>
  <c r="G18" i="23"/>
  <c r="F4" i="20"/>
  <c r="G78" i="23"/>
  <c r="G34" i="23"/>
  <c r="G22" i="23"/>
  <c r="D44" i="20"/>
  <c r="F44" i="20" s="1"/>
  <c r="E49" i="15"/>
  <c r="I49" i="15" s="1"/>
  <c r="C17" i="23"/>
  <c r="E17" i="23" s="1"/>
  <c r="C32" i="23"/>
  <c r="E32" i="23" s="1"/>
  <c r="H93" i="20"/>
  <c r="H116" i="20"/>
  <c r="H111" i="20"/>
  <c r="F163" i="20"/>
  <c r="F158" i="20"/>
  <c r="F187" i="20"/>
  <c r="F162" i="20"/>
  <c r="F152" i="20"/>
  <c r="F153" i="20"/>
  <c r="F164" i="20"/>
  <c r="F192" i="20"/>
  <c r="F160" i="20"/>
  <c r="F112" i="20"/>
  <c r="F116" i="20"/>
  <c r="F95" i="20"/>
  <c r="F87" i="20"/>
  <c r="F194" i="20"/>
  <c r="F93" i="20"/>
  <c r="F19" i="20"/>
  <c r="F156" i="20"/>
  <c r="F115" i="20"/>
  <c r="F124" i="20"/>
  <c r="F196" i="20"/>
  <c r="F180" i="20"/>
  <c r="F201" i="20"/>
  <c r="F69" i="20"/>
  <c r="F114" i="20"/>
  <c r="G150" i="20"/>
  <c r="F117" i="20"/>
  <c r="F33" i="20"/>
  <c r="F83" i="20"/>
  <c r="F55" i="20"/>
  <c r="F92" i="20"/>
  <c r="F181" i="20"/>
  <c r="F82" i="20"/>
  <c r="F62" i="20"/>
  <c r="F178" i="20"/>
  <c r="F176" i="20"/>
  <c r="F118" i="20"/>
  <c r="F139" i="20"/>
  <c r="F88" i="20"/>
  <c r="F100" i="20"/>
  <c r="F85" i="20"/>
  <c r="F155" i="20"/>
  <c r="F32" i="20"/>
  <c r="F54" i="20"/>
  <c r="F47" i="20"/>
  <c r="F119" i="20"/>
  <c r="F177" i="20"/>
  <c r="E10" i="20"/>
  <c r="E9" i="20" s="1"/>
  <c r="F16" i="20"/>
  <c r="F65" i="20"/>
  <c r="F144" i="20"/>
  <c r="F183" i="20"/>
  <c r="F78" i="20"/>
  <c r="F76" i="20"/>
  <c r="F111" i="20"/>
  <c r="F123" i="20"/>
  <c r="F61" i="20"/>
  <c r="F90" i="20"/>
  <c r="F161" i="20"/>
  <c r="G149" i="20"/>
  <c r="F198" i="20"/>
  <c r="F137" i="20"/>
  <c r="F91" i="20"/>
  <c r="F56" i="20"/>
  <c r="F122" i="20"/>
  <c r="F71" i="20"/>
  <c r="F157" i="20"/>
  <c r="F159" i="20"/>
  <c r="F142" i="20"/>
  <c r="H115" i="20"/>
  <c r="G29" i="23"/>
  <c r="C10" i="23"/>
  <c r="E10" i="23" s="1"/>
  <c r="C57" i="23"/>
  <c r="E57" i="23" s="1"/>
  <c r="G11" i="23"/>
  <c r="G60" i="23"/>
  <c r="C77" i="23"/>
  <c r="G77" i="23" s="1"/>
  <c r="E147" i="15"/>
  <c r="I147" i="15" s="1"/>
  <c r="F172" i="20"/>
  <c r="A24" i="20"/>
  <c r="A25" i="20" s="1"/>
  <c r="A26" i="20" s="1"/>
  <c r="A27" i="20" s="1"/>
  <c r="A28" i="20" s="1"/>
  <c r="A29" i="20" s="1"/>
  <c r="A31" i="20" s="1"/>
  <c r="A33" i="20" s="1"/>
  <c r="A34" i="20" s="1"/>
  <c r="D186" i="20"/>
  <c r="D185" i="20" s="1"/>
  <c r="D184" i="20" s="1"/>
  <c r="B17" i="24" s="1"/>
  <c r="L17" i="24" s="1"/>
  <c r="G50" i="23"/>
  <c r="E169" i="15"/>
  <c r="G169" i="15" s="1"/>
  <c r="C69" i="23"/>
  <c r="E69" i="23" s="1"/>
  <c r="G74" i="23"/>
  <c r="E170" i="15"/>
  <c r="G170" i="15" s="1"/>
  <c r="D110" i="20"/>
  <c r="H110" i="20" s="1"/>
  <c r="C41" i="23"/>
  <c r="G41" i="23" s="1"/>
  <c r="E44" i="15"/>
  <c r="E43" i="15" s="1"/>
  <c r="E119" i="15"/>
  <c r="G119" i="15" s="1"/>
  <c r="E149" i="15"/>
  <c r="D151" i="20"/>
  <c r="H117" i="20"/>
  <c r="D113" i="20"/>
  <c r="F113" i="20" s="1"/>
  <c r="D191" i="20"/>
  <c r="F191" i="20" s="1"/>
  <c r="E120" i="15"/>
  <c r="I120" i="15" s="1"/>
  <c r="E15" i="15"/>
  <c r="E14" i="15" s="1"/>
  <c r="E13" i="15" s="1"/>
  <c r="E12" i="15" s="1"/>
  <c r="H12" i="20"/>
  <c r="D10" i="20"/>
  <c r="D9" i="20" s="1"/>
  <c r="B4" i="24" s="1"/>
  <c r="L4" i="24" s="1"/>
  <c r="M4" i="24" s="1"/>
  <c r="H16" i="20"/>
  <c r="H112" i="20"/>
  <c r="D68" i="20"/>
  <c r="D67" i="20" s="1"/>
  <c r="D66" i="20" s="1"/>
  <c r="B8" i="24" s="1"/>
  <c r="E30" i="15"/>
  <c r="E29" i="15" s="1"/>
  <c r="C28" i="23"/>
  <c r="E28" i="23" s="1"/>
  <c r="C47" i="23"/>
  <c r="G47" i="23" s="1"/>
  <c r="I93" i="15"/>
  <c r="G30" i="23"/>
  <c r="I114" i="15"/>
  <c r="E180" i="15"/>
  <c r="E179" i="15" s="1"/>
  <c r="C53" i="23"/>
  <c r="E53" i="23" s="1"/>
  <c r="H76" i="20"/>
  <c r="D52" i="20"/>
  <c r="F52" i="20" s="1"/>
  <c r="H155" i="20"/>
  <c r="E85" i="15"/>
  <c r="E84" i="15" s="1"/>
  <c r="E83" i="15" s="1"/>
  <c r="G7" i="23"/>
  <c r="G21" i="23"/>
  <c r="E112" i="15"/>
  <c r="E111" i="15" s="1"/>
  <c r="E110" i="15" s="1"/>
  <c r="D37" i="20"/>
  <c r="H85" i="20"/>
  <c r="G44" i="23"/>
  <c r="H152" i="20"/>
  <c r="H164" i="20"/>
  <c r="H92" i="20"/>
  <c r="G37" i="23"/>
  <c r="H100" i="20"/>
  <c r="G155" i="15"/>
  <c r="I99" i="15"/>
  <c r="G73" i="20"/>
  <c r="G72" i="20" s="1"/>
  <c r="H78" i="20"/>
  <c r="G65" i="15"/>
  <c r="H69" i="20"/>
  <c r="H62" i="20"/>
  <c r="G46" i="20"/>
  <c r="H46" i="20" s="1"/>
  <c r="I65" i="15"/>
  <c r="H87" i="20"/>
  <c r="H114" i="20"/>
  <c r="E135" i="15"/>
  <c r="H159" i="20"/>
  <c r="I53" i="15"/>
  <c r="H161" i="20"/>
  <c r="I133" i="15"/>
  <c r="E51" i="15"/>
  <c r="E50" i="15" s="1"/>
  <c r="G53" i="15"/>
  <c r="I97" i="15"/>
  <c r="E63" i="15"/>
  <c r="G97" i="15"/>
  <c r="H192" i="20"/>
  <c r="G10" i="15"/>
  <c r="H83" i="20"/>
  <c r="H33" i="20"/>
  <c r="G60" i="15"/>
  <c r="E73" i="20"/>
  <c r="H162" i="20"/>
  <c r="I98" i="15"/>
  <c r="G98" i="15"/>
  <c r="E157" i="15"/>
  <c r="E156" i="15" s="1"/>
  <c r="H156" i="20"/>
  <c r="H124" i="20"/>
  <c r="I106" i="15"/>
  <c r="G159" i="15"/>
  <c r="H71" i="20"/>
  <c r="E92" i="15"/>
  <c r="E91" i="15" s="1"/>
  <c r="G133" i="15"/>
  <c r="I60" i="15"/>
  <c r="H160" i="20"/>
  <c r="G13" i="23"/>
  <c r="E103" i="15"/>
  <c r="E102" i="15" s="1"/>
  <c r="I81" i="15"/>
  <c r="G99" i="15"/>
  <c r="H157" i="20"/>
  <c r="H142" i="20"/>
  <c r="H163" i="20"/>
  <c r="G106" i="15"/>
  <c r="H47" i="20"/>
  <c r="E79" i="15"/>
  <c r="E78" i="15" s="1"/>
  <c r="E77" i="15" s="1"/>
  <c r="G16" i="15"/>
  <c r="H122" i="20"/>
  <c r="G103" i="20"/>
  <c r="G102" i="20" s="1"/>
  <c r="I59" i="15"/>
  <c r="E5" i="24"/>
  <c r="I148" i="15"/>
  <c r="E57" i="15"/>
  <c r="G81" i="15"/>
  <c r="G148" i="15"/>
  <c r="C5" i="24"/>
  <c r="D179" i="20"/>
  <c r="H146" i="15"/>
  <c r="H145" i="15" s="1"/>
  <c r="G59" i="15"/>
  <c r="H140" i="20"/>
  <c r="I130" i="15"/>
  <c r="H129" i="15"/>
  <c r="I129" i="15" s="1"/>
  <c r="G58" i="15"/>
  <c r="F57" i="15"/>
  <c r="F35" i="15"/>
  <c r="F174" i="15"/>
  <c r="F168" i="15"/>
  <c r="G143" i="20"/>
  <c r="H143" i="20" s="1"/>
  <c r="H144" i="20"/>
  <c r="E103" i="20"/>
  <c r="G80" i="15"/>
  <c r="F79" i="15"/>
  <c r="H64" i="20"/>
  <c r="G63" i="20"/>
  <c r="H63" i="20" s="1"/>
  <c r="F129" i="15"/>
  <c r="G129" i="15" s="1"/>
  <c r="G130" i="15"/>
  <c r="I95" i="15"/>
  <c r="F63" i="15"/>
  <c r="G64" i="15"/>
  <c r="F27" i="15"/>
  <c r="I154" i="15"/>
  <c r="H153" i="15"/>
  <c r="H171" i="20"/>
  <c r="H137" i="20"/>
  <c r="F74" i="15"/>
  <c r="G75" i="15"/>
  <c r="E60" i="20"/>
  <c r="H4" i="20"/>
  <c r="G3" i="20"/>
  <c r="E68" i="15"/>
  <c r="H56" i="20"/>
  <c r="F29" i="15"/>
  <c r="E193" i="20"/>
  <c r="H181" i="20"/>
  <c r="E153" i="15"/>
  <c r="E152" i="15" s="1"/>
  <c r="H103" i="15"/>
  <c r="I104" i="15"/>
  <c r="F47" i="15"/>
  <c r="G48" i="15"/>
  <c r="H35" i="15"/>
  <c r="G128" i="15"/>
  <c r="F127" i="15"/>
  <c r="G95" i="15"/>
  <c r="H85" i="15"/>
  <c r="G62" i="15"/>
  <c r="F61" i="15"/>
  <c r="G61" i="15" s="1"/>
  <c r="F33" i="15"/>
  <c r="G33" i="15" s="1"/>
  <c r="G34" i="15"/>
  <c r="G26" i="15"/>
  <c r="E8" i="15"/>
  <c r="E7" i="15" s="1"/>
  <c r="F81" i="23"/>
  <c r="G82" i="23"/>
  <c r="H179" i="15"/>
  <c r="G182" i="20"/>
  <c r="H182" i="20" s="1"/>
  <c r="H183" i="20"/>
  <c r="H177" i="20"/>
  <c r="F146" i="15"/>
  <c r="H158" i="20"/>
  <c r="H153" i="20"/>
  <c r="H118" i="20"/>
  <c r="G51" i="20"/>
  <c r="G101" i="15"/>
  <c r="D81" i="23"/>
  <c r="E81" i="23" s="1"/>
  <c r="E182" i="20"/>
  <c r="F182" i="20" s="1"/>
  <c r="G67" i="20"/>
  <c r="B3" i="24"/>
  <c r="G72" i="15"/>
  <c r="G19" i="15"/>
  <c r="F18" i="15"/>
  <c r="G18" i="15" s="1"/>
  <c r="G132" i="15"/>
  <c r="F131" i="15"/>
  <c r="I64" i="15"/>
  <c r="H63" i="15"/>
  <c r="D199" i="20"/>
  <c r="B19" i="24" s="1"/>
  <c r="D200" i="20"/>
  <c r="G123" i="15"/>
  <c r="F122" i="15"/>
  <c r="H33" i="15"/>
  <c r="I33" i="15" s="1"/>
  <c r="I34" i="15"/>
  <c r="E190" i="20"/>
  <c r="E185" i="20"/>
  <c r="F103" i="15"/>
  <c r="G104" i="15"/>
  <c r="E67" i="20"/>
  <c r="E51" i="20"/>
  <c r="H127" i="15"/>
  <c r="I128" i="15"/>
  <c r="H87" i="15"/>
  <c r="I87" i="15" s="1"/>
  <c r="I88" i="15"/>
  <c r="H61" i="15"/>
  <c r="I61" i="15" s="1"/>
  <c r="I62" i="15"/>
  <c r="I26" i="15"/>
  <c r="H25" i="15"/>
  <c r="I155" i="15"/>
  <c r="G175" i="20"/>
  <c r="H176" i="20"/>
  <c r="G137" i="15"/>
  <c r="F136" i="15"/>
  <c r="E131" i="15"/>
  <c r="E126" i="15" s="1"/>
  <c r="H88" i="20"/>
  <c r="D81" i="20"/>
  <c r="E63" i="20"/>
  <c r="F63" i="20" s="1"/>
  <c r="F45" i="15"/>
  <c r="G45" i="15" s="1"/>
  <c r="G46" i="15"/>
  <c r="G18" i="20"/>
  <c r="H19" i="20"/>
  <c r="D60" i="20"/>
  <c r="H60" i="20" s="1"/>
  <c r="H47" i="15"/>
  <c r="I48" i="15"/>
  <c r="H131" i="15"/>
  <c r="I132" i="15"/>
  <c r="H27" i="15"/>
  <c r="F185" i="15"/>
  <c r="G186" i="15"/>
  <c r="H174" i="15"/>
  <c r="F157" i="15"/>
  <c r="G158" i="15"/>
  <c r="D175" i="20"/>
  <c r="G94" i="20"/>
  <c r="H95" i="20"/>
  <c r="H82" i="20"/>
  <c r="F138" i="15"/>
  <c r="G138" i="15" s="1"/>
  <c r="G139" i="15"/>
  <c r="F118" i="15"/>
  <c r="G21" i="15"/>
  <c r="G200" i="20"/>
  <c r="H201" i="20"/>
  <c r="G199" i="20"/>
  <c r="G193" i="20"/>
  <c r="H194" i="20"/>
  <c r="I158" i="15"/>
  <c r="H157" i="15"/>
  <c r="F153" i="15"/>
  <c r="G154" i="15"/>
  <c r="H139" i="20"/>
  <c r="E121" i="20"/>
  <c r="G109" i="20"/>
  <c r="H91" i="20"/>
  <c r="H51" i="15"/>
  <c r="I52" i="15"/>
  <c r="E18" i="20"/>
  <c r="F18" i="20" s="1"/>
  <c r="I123" i="15"/>
  <c r="F85" i="15"/>
  <c r="F190" i="15"/>
  <c r="G191" i="15"/>
  <c r="H168" i="15"/>
  <c r="D121" i="20"/>
  <c r="D120" i="20" s="1"/>
  <c r="B13" i="24" s="1"/>
  <c r="H65" i="20"/>
  <c r="E3" i="20"/>
  <c r="F3" i="20" s="1"/>
  <c r="G71" i="15"/>
  <c r="I72" i="15"/>
  <c r="H71" i="15"/>
  <c r="I71" i="15" s="1"/>
  <c r="F14" i="15"/>
  <c r="F176" i="15"/>
  <c r="G176" i="15" s="1"/>
  <c r="G177" i="15"/>
  <c r="E94" i="20"/>
  <c r="I96" i="15"/>
  <c r="H45" i="15"/>
  <c r="I45" i="15" s="1"/>
  <c r="I46" i="15"/>
  <c r="I177" i="15"/>
  <c r="H176" i="15"/>
  <c r="I176" i="15" s="1"/>
  <c r="I139" i="15"/>
  <c r="H138" i="15"/>
  <c r="I138" i="15" s="1"/>
  <c r="H118" i="15"/>
  <c r="F31" i="15"/>
  <c r="I21" i="15"/>
  <c r="H20" i="15"/>
  <c r="G9" i="15"/>
  <c r="F8" i="15"/>
  <c r="H181" i="15"/>
  <c r="I182" i="15"/>
  <c r="H178" i="20"/>
  <c r="G142" i="15"/>
  <c r="F141" i="15"/>
  <c r="E140" i="20"/>
  <c r="F140" i="20" s="1"/>
  <c r="G121" i="20"/>
  <c r="I67" i="15"/>
  <c r="H66" i="15"/>
  <c r="I66" i="15" s="1"/>
  <c r="H43" i="15"/>
  <c r="H8" i="15"/>
  <c r="I9" i="15"/>
  <c r="E197" i="20"/>
  <c r="F197" i="20" s="1"/>
  <c r="G190" i="20"/>
  <c r="E179" i="20"/>
  <c r="G81" i="20"/>
  <c r="G52" i="15"/>
  <c r="F51" i="15"/>
  <c r="F43" i="15"/>
  <c r="H92" i="15"/>
  <c r="G70" i="15"/>
  <c r="F69" i="15"/>
  <c r="H14" i="15"/>
  <c r="G182" i="15"/>
  <c r="F181" i="15"/>
  <c r="G179" i="20"/>
  <c r="H180" i="20"/>
  <c r="D64" i="23"/>
  <c r="E150" i="20"/>
  <c r="E149" i="20"/>
  <c r="G134" i="15"/>
  <c r="H121" i="15"/>
  <c r="I121" i="15" s="1"/>
  <c r="I122" i="15"/>
  <c r="I58" i="15"/>
  <c r="E200" i="20"/>
  <c r="E199" i="20"/>
  <c r="G185" i="20"/>
  <c r="E109" i="20"/>
  <c r="G39" i="15"/>
  <c r="F38" i="15"/>
  <c r="F37" i="15" s="1"/>
  <c r="H141" i="15"/>
  <c r="I142" i="15"/>
  <c r="G113" i="15"/>
  <c r="F112" i="15"/>
  <c r="E81" i="20"/>
  <c r="I75" i="15"/>
  <c r="H74" i="15"/>
  <c r="H32" i="20"/>
  <c r="H136" i="15"/>
  <c r="I137" i="15"/>
  <c r="H69" i="15"/>
  <c r="I70" i="15"/>
  <c r="H29" i="15"/>
  <c r="I16" i="15"/>
  <c r="F64" i="23"/>
  <c r="G65" i="23"/>
  <c r="E143" i="20"/>
  <c r="F143" i="20" s="1"/>
  <c r="I134" i="15"/>
  <c r="G36" i="20"/>
  <c r="F92" i="15"/>
  <c r="H38" i="15"/>
  <c r="H37" i="15" s="1"/>
  <c r="I39" i="15"/>
  <c r="F179" i="15"/>
  <c r="I159" i="15"/>
  <c r="H112" i="15"/>
  <c r="I113" i="15"/>
  <c r="F66" i="15"/>
  <c r="G66" i="15" s="1"/>
  <c r="G67" i="15"/>
  <c r="E36" i="20"/>
  <c r="G9" i="20"/>
  <c r="H100" i="15"/>
  <c r="I100" i="15" s="1"/>
  <c r="I101" i="15"/>
  <c r="G88" i="15"/>
  <c r="F87" i="15"/>
  <c r="G87" i="15" s="1"/>
  <c r="I10" i="15"/>
  <c r="I191" i="15"/>
  <c r="H190" i="15"/>
  <c r="G197" i="20"/>
  <c r="H197" i="20" s="1"/>
  <c r="H198" i="20"/>
  <c r="I162" i="15"/>
  <c r="H161" i="15"/>
  <c r="E175" i="20"/>
  <c r="H119" i="20"/>
  <c r="E46" i="20"/>
  <c r="F46" i="20" s="1"/>
  <c r="G100" i="15"/>
  <c r="H57" i="15"/>
  <c r="E181" i="15"/>
  <c r="F161" i="15"/>
  <c r="G162" i="15"/>
  <c r="H79" i="15"/>
  <c r="I80" i="15"/>
  <c r="G23" i="20"/>
  <c r="G25" i="15"/>
  <c r="G20" i="15"/>
  <c r="I175" i="15" l="1"/>
  <c r="D73" i="20"/>
  <c r="D72" i="20" s="1"/>
  <c r="B9" i="24" s="1"/>
  <c r="D23" i="20"/>
  <c r="F23" i="20" s="1"/>
  <c r="H25" i="20"/>
  <c r="G175" i="15"/>
  <c r="H74" i="20"/>
  <c r="G36" i="15"/>
  <c r="G35" i="15"/>
  <c r="G6" i="23"/>
  <c r="I36" i="15"/>
  <c r="I35" i="15"/>
  <c r="E11" i="24"/>
  <c r="G64" i="23"/>
  <c r="E64" i="23"/>
  <c r="E77" i="23"/>
  <c r="E47" i="23"/>
  <c r="E41" i="23"/>
  <c r="C11" i="24"/>
  <c r="H97" i="20"/>
  <c r="F103" i="20"/>
  <c r="F96" i="20"/>
  <c r="D94" i="20"/>
  <c r="H94" i="20" s="1"/>
  <c r="H101" i="20"/>
  <c r="I28" i="15"/>
  <c r="G27" i="15"/>
  <c r="H195" i="20"/>
  <c r="I27" i="15"/>
  <c r="G28" i="15"/>
  <c r="D193" i="20"/>
  <c r="H193" i="20" s="1"/>
  <c r="G32" i="15"/>
  <c r="I32" i="15"/>
  <c r="H173" i="20"/>
  <c r="G31" i="15"/>
  <c r="E24" i="15"/>
  <c r="E47" i="15"/>
  <c r="G47" i="15" s="1"/>
  <c r="F200" i="20"/>
  <c r="H44" i="20"/>
  <c r="D36" i="20"/>
  <c r="F36" i="20" s="1"/>
  <c r="G32" i="23"/>
  <c r="G49" i="15"/>
  <c r="C84" i="23"/>
  <c r="F81" i="20"/>
  <c r="F67" i="20"/>
  <c r="F199" i="20"/>
  <c r="F175" i="20"/>
  <c r="F185" i="20"/>
  <c r="F179" i="20"/>
  <c r="F186" i="20"/>
  <c r="D149" i="20"/>
  <c r="B14" i="24" s="1"/>
  <c r="C14" i="24" s="1"/>
  <c r="F151" i="20"/>
  <c r="F68" i="20"/>
  <c r="F9" i="20"/>
  <c r="F121" i="20"/>
  <c r="F60" i="20"/>
  <c r="E72" i="20"/>
  <c r="F72" i="20" s="1"/>
  <c r="F73" i="20"/>
  <c r="F10" i="20"/>
  <c r="F110" i="20"/>
  <c r="F37" i="20"/>
  <c r="A35" i="20"/>
  <c r="A37" i="20" s="1"/>
  <c r="A38" i="20" s="1"/>
  <c r="A39" i="20" s="1"/>
  <c r="A40" i="20" s="1"/>
  <c r="A41" i="20" s="1"/>
  <c r="A42" i="20" s="1"/>
  <c r="A43" i="20" s="1"/>
  <c r="A44" i="20" s="1"/>
  <c r="A45" i="20" s="1"/>
  <c r="A47" i="20" s="1"/>
  <c r="A48" i="20" s="1"/>
  <c r="A49" i="20" s="1"/>
  <c r="G57" i="23"/>
  <c r="E146" i="15"/>
  <c r="E145" i="15" s="1"/>
  <c r="E144" i="15" s="1"/>
  <c r="G10" i="23"/>
  <c r="G147" i="15"/>
  <c r="H172" i="20"/>
  <c r="H186" i="20"/>
  <c r="I169" i="15"/>
  <c r="G69" i="23"/>
  <c r="I149" i="15"/>
  <c r="C4" i="24"/>
  <c r="G15" i="15"/>
  <c r="G149" i="15"/>
  <c r="E168" i="15"/>
  <c r="E167" i="15" s="1"/>
  <c r="E166" i="15" s="1"/>
  <c r="I170" i="15"/>
  <c r="E17" i="24"/>
  <c r="G44" i="15"/>
  <c r="H191" i="20"/>
  <c r="C17" i="24"/>
  <c r="I44" i="15"/>
  <c r="E118" i="15"/>
  <c r="E117" i="15" s="1"/>
  <c r="E116" i="15" s="1"/>
  <c r="E178" i="15"/>
  <c r="E172" i="15" s="1"/>
  <c r="H52" i="20"/>
  <c r="I119" i="15"/>
  <c r="D150" i="20"/>
  <c r="H150" i="20" s="1"/>
  <c r="H151" i="20"/>
  <c r="G120" i="15"/>
  <c r="D109" i="20"/>
  <c r="D108" i="20" s="1"/>
  <c r="B12" i="24" s="1"/>
  <c r="E12" i="24" s="1"/>
  <c r="H113" i="20"/>
  <c r="I15" i="15"/>
  <c r="E4" i="24"/>
  <c r="D190" i="20"/>
  <c r="H10" i="20"/>
  <c r="I30" i="15"/>
  <c r="H68" i="20"/>
  <c r="G30" i="15"/>
  <c r="G180" i="15"/>
  <c r="G28" i="23"/>
  <c r="I29" i="15"/>
  <c r="D51" i="20"/>
  <c r="F51" i="20" s="1"/>
  <c r="I180" i="15"/>
  <c r="G17" i="23"/>
  <c r="H37" i="20"/>
  <c r="I86" i="15"/>
  <c r="E56" i="15"/>
  <c r="E55" i="15" s="1"/>
  <c r="G86" i="15"/>
  <c r="G53" i="23"/>
  <c r="C67" i="23"/>
  <c r="E125" i="15"/>
  <c r="I63" i="15"/>
  <c r="G63" i="15"/>
  <c r="E90" i="15"/>
  <c r="F67" i="23"/>
  <c r="H179" i="20"/>
  <c r="C6" i="18"/>
  <c r="E22" i="20"/>
  <c r="D174" i="20"/>
  <c r="B15" i="24" s="1"/>
  <c r="E15" i="24" s="1"/>
  <c r="E151" i="15"/>
  <c r="H200" i="20"/>
  <c r="I131" i="15"/>
  <c r="H73" i="20"/>
  <c r="H103" i="20"/>
  <c r="D67" i="23"/>
  <c r="F4" i="24"/>
  <c r="G4" i="24" s="1"/>
  <c r="E120" i="20"/>
  <c r="F120" i="20" s="1"/>
  <c r="F152" i="15"/>
  <c r="G153" i="15"/>
  <c r="E66" i="20"/>
  <c r="F66" i="20" s="1"/>
  <c r="H9" i="24"/>
  <c r="J9" i="24" s="1"/>
  <c r="H72" i="20"/>
  <c r="E102" i="20"/>
  <c r="F102" i="20" s="1"/>
  <c r="F56" i="15"/>
  <c r="G57" i="15"/>
  <c r="I25" i="15"/>
  <c r="H24" i="15"/>
  <c r="E50" i="20"/>
  <c r="F145" i="15"/>
  <c r="F84" i="23"/>
  <c r="G81" i="23"/>
  <c r="G22" i="20"/>
  <c r="I161" i="15"/>
  <c r="H160" i="15"/>
  <c r="I160" i="15" s="1"/>
  <c r="H189" i="15"/>
  <c r="I190" i="15"/>
  <c r="I112" i="15"/>
  <c r="H111" i="15"/>
  <c r="H68" i="15"/>
  <c r="I68" i="15" s="1"/>
  <c r="I69" i="15"/>
  <c r="G184" i="20"/>
  <c r="H185" i="20"/>
  <c r="G181" i="15"/>
  <c r="H13" i="15"/>
  <c r="I14" i="15"/>
  <c r="H91" i="15"/>
  <c r="I92" i="15"/>
  <c r="I43" i="15"/>
  <c r="H42" i="15"/>
  <c r="H11" i="24"/>
  <c r="H102" i="20"/>
  <c r="G141" i="15"/>
  <c r="F140" i="15"/>
  <c r="G140" i="15" s="1"/>
  <c r="I20" i="15"/>
  <c r="H19" i="15"/>
  <c r="F3" i="24"/>
  <c r="H167" i="15"/>
  <c r="F84" i="15"/>
  <c r="G85" i="15"/>
  <c r="I157" i="15"/>
  <c r="H156" i="15"/>
  <c r="I156" i="15" s="1"/>
  <c r="H199" i="20"/>
  <c r="H19" i="24"/>
  <c r="H173" i="15"/>
  <c r="I174" i="15"/>
  <c r="H5" i="24"/>
  <c r="J5" i="24" s="1"/>
  <c r="H18" i="20"/>
  <c r="G174" i="20"/>
  <c r="H175" i="20"/>
  <c r="E184" i="20"/>
  <c r="F184" i="20" s="1"/>
  <c r="G131" i="15"/>
  <c r="G66" i="20"/>
  <c r="H67" i="20"/>
  <c r="H178" i="15"/>
  <c r="I179" i="15"/>
  <c r="C8" i="18"/>
  <c r="E6" i="15"/>
  <c r="G29" i="15"/>
  <c r="F24" i="15"/>
  <c r="G79" i="15"/>
  <c r="F78" i="15"/>
  <c r="F167" i="15"/>
  <c r="H56" i="15"/>
  <c r="I57" i="15"/>
  <c r="G179" i="15"/>
  <c r="F178" i="15"/>
  <c r="G38" i="15"/>
  <c r="H14" i="24"/>
  <c r="E108" i="20"/>
  <c r="F14" i="24"/>
  <c r="F42" i="15"/>
  <c r="G43" i="15"/>
  <c r="G80" i="20"/>
  <c r="H81" i="20"/>
  <c r="G189" i="20"/>
  <c r="I8" i="15"/>
  <c r="H7" i="15"/>
  <c r="H121" i="20"/>
  <c r="G120" i="20"/>
  <c r="M17" i="24"/>
  <c r="I181" i="15"/>
  <c r="H117" i="15"/>
  <c r="E13" i="24"/>
  <c r="L13" i="24"/>
  <c r="M13" i="24" s="1"/>
  <c r="C13" i="24"/>
  <c r="G108" i="20"/>
  <c r="F117" i="15"/>
  <c r="F135" i="15"/>
  <c r="G135" i="15" s="1"/>
  <c r="G136" i="15"/>
  <c r="F102" i="15"/>
  <c r="G102" i="15" s="1"/>
  <c r="G103" i="15"/>
  <c r="E19" i="24"/>
  <c r="L19" i="24"/>
  <c r="M19" i="24" s="1"/>
  <c r="C19" i="24"/>
  <c r="E3" i="24"/>
  <c r="L3" i="24"/>
  <c r="C3" i="24"/>
  <c r="G127" i="15"/>
  <c r="F126" i="15"/>
  <c r="H3" i="24"/>
  <c r="J3" i="24" s="1"/>
  <c r="H3" i="20"/>
  <c r="I153" i="15"/>
  <c r="H152" i="15"/>
  <c r="H73" i="15"/>
  <c r="I73" i="15" s="1"/>
  <c r="I74" i="15"/>
  <c r="F111" i="15"/>
  <c r="G112" i="15"/>
  <c r="F50" i="15"/>
  <c r="G50" i="15" s="1"/>
  <c r="G51" i="15"/>
  <c r="F160" i="15"/>
  <c r="G160" i="15" s="1"/>
  <c r="G161" i="15"/>
  <c r="I37" i="15"/>
  <c r="I38" i="15"/>
  <c r="E80" i="20"/>
  <c r="H78" i="15"/>
  <c r="I79" i="15"/>
  <c r="E174" i="20"/>
  <c r="H4" i="24"/>
  <c r="J4" i="24" s="1"/>
  <c r="H9" i="20"/>
  <c r="F91" i="15"/>
  <c r="G92" i="15"/>
  <c r="I136" i="15"/>
  <c r="H135" i="15"/>
  <c r="I135" i="15" s="1"/>
  <c r="H140" i="15"/>
  <c r="I140" i="15" s="1"/>
  <c r="I141" i="15"/>
  <c r="F19" i="24"/>
  <c r="G19" i="24" s="1"/>
  <c r="G69" i="15"/>
  <c r="F68" i="15"/>
  <c r="G68" i="15" s="1"/>
  <c r="E8" i="24"/>
  <c r="L8" i="24"/>
  <c r="M8" i="24" s="1"/>
  <c r="C8" i="24"/>
  <c r="G8" i="15"/>
  <c r="F7" i="15"/>
  <c r="G14" i="15"/>
  <c r="F13" i="15"/>
  <c r="G190" i="15"/>
  <c r="F189" i="15"/>
  <c r="F5" i="24"/>
  <c r="G5" i="24" s="1"/>
  <c r="I51" i="15"/>
  <c r="H50" i="15"/>
  <c r="I50" i="15" s="1"/>
  <c r="F156" i="15"/>
  <c r="G156" i="15" s="1"/>
  <c r="G157" i="15"/>
  <c r="G185" i="15"/>
  <c r="F184" i="15"/>
  <c r="G184" i="15" s="1"/>
  <c r="H126" i="15"/>
  <c r="I127" i="15"/>
  <c r="E189" i="20"/>
  <c r="F121" i="15"/>
  <c r="G121" i="15" s="1"/>
  <c r="G122" i="15"/>
  <c r="D84" i="23"/>
  <c r="G50" i="20"/>
  <c r="I85" i="15"/>
  <c r="H84" i="15"/>
  <c r="I103" i="15"/>
  <c r="H102" i="15"/>
  <c r="I102" i="15" s="1"/>
  <c r="G74" i="15"/>
  <c r="F73" i="15"/>
  <c r="G73" i="15" s="1"/>
  <c r="L9" i="24"/>
  <c r="M9" i="24" s="1"/>
  <c r="C9" i="24"/>
  <c r="E9" i="24"/>
  <c r="G174" i="15"/>
  <c r="F173" i="15"/>
  <c r="H144" i="15"/>
  <c r="H23" i="20" l="1"/>
  <c r="E84" i="23"/>
  <c r="E67" i="23"/>
  <c r="F94" i="20"/>
  <c r="D80" i="20"/>
  <c r="B10" i="24" s="1"/>
  <c r="C10" i="24" s="1"/>
  <c r="H185" i="15"/>
  <c r="I185" i="15" s="1"/>
  <c r="F193" i="20"/>
  <c r="D189" i="20"/>
  <c r="B18" i="24" s="1"/>
  <c r="L18" i="24" s="1"/>
  <c r="M18" i="24" s="1"/>
  <c r="I47" i="15"/>
  <c r="E42" i="15"/>
  <c r="E23" i="15" s="1"/>
  <c r="E164" i="15" s="1"/>
  <c r="H36" i="20"/>
  <c r="D22" i="20"/>
  <c r="B6" i="24" s="1"/>
  <c r="E6" i="24" s="1"/>
  <c r="F6" i="18"/>
  <c r="F5" i="18"/>
  <c r="F7" i="18"/>
  <c r="I146" i="15"/>
  <c r="G84" i="23"/>
  <c r="C86" i="23"/>
  <c r="L14" i="24"/>
  <c r="M14" i="24" s="1"/>
  <c r="G14" i="24"/>
  <c r="F9" i="24"/>
  <c r="G9" i="24" s="1"/>
  <c r="F174" i="20"/>
  <c r="F108" i="20"/>
  <c r="F6" i="24"/>
  <c r="F190" i="20"/>
  <c r="F150" i="20"/>
  <c r="H149" i="20"/>
  <c r="E14" i="24"/>
  <c r="F149" i="20"/>
  <c r="F109" i="20"/>
  <c r="A52" i="20"/>
  <c r="A53" i="20" s="1"/>
  <c r="A54" i="20" s="1"/>
  <c r="A55" i="20" s="1"/>
  <c r="A56" i="20" s="1"/>
  <c r="A57" i="20" s="1"/>
  <c r="A58" i="20" s="1"/>
  <c r="A59" i="20" s="1"/>
  <c r="A61" i="20" s="1"/>
  <c r="A62" i="20" s="1"/>
  <c r="A64" i="20" s="1"/>
  <c r="A65" i="20" s="1"/>
  <c r="I144" i="15"/>
  <c r="G146" i="15"/>
  <c r="I145" i="15"/>
  <c r="A68" i="20"/>
  <c r="A69" i="20" s="1"/>
  <c r="A70" i="20" s="1"/>
  <c r="A71" i="20" s="1"/>
  <c r="G168" i="15"/>
  <c r="I168" i="15"/>
  <c r="E193" i="15"/>
  <c r="G178" i="15"/>
  <c r="I178" i="15"/>
  <c r="G118" i="15"/>
  <c r="I118" i="15"/>
  <c r="H190" i="20"/>
  <c r="C12" i="24"/>
  <c r="L12" i="24"/>
  <c r="M12" i="24" s="1"/>
  <c r="H109" i="20"/>
  <c r="H51" i="20"/>
  <c r="D50" i="20"/>
  <c r="B7" i="24" s="1"/>
  <c r="E7" i="24" s="1"/>
  <c r="C5" i="18"/>
  <c r="G67" i="23"/>
  <c r="C15" i="24"/>
  <c r="L15" i="24"/>
  <c r="M15" i="24" s="1"/>
  <c r="G202" i="20"/>
  <c r="E202" i="20"/>
  <c r="G13" i="15"/>
  <c r="F12" i="15"/>
  <c r="G12" i="15" s="1"/>
  <c r="K4" i="24"/>
  <c r="I4" i="24"/>
  <c r="H77" i="15"/>
  <c r="I77" i="15" s="1"/>
  <c r="I78" i="15"/>
  <c r="H151" i="15"/>
  <c r="I151" i="15" s="1"/>
  <c r="I152" i="15"/>
  <c r="F18" i="24"/>
  <c r="F15" i="24"/>
  <c r="G15" i="24" s="1"/>
  <c r="M3" i="24"/>
  <c r="D7" i="18"/>
  <c r="I56" i="15"/>
  <c r="H55" i="15"/>
  <c r="I55" i="15" s="1"/>
  <c r="H15" i="24"/>
  <c r="J15" i="24" s="1"/>
  <c r="H174" i="20"/>
  <c r="I91" i="15"/>
  <c r="H90" i="15"/>
  <c r="I90" i="15" s="1"/>
  <c r="H83" i="15"/>
  <c r="I83" i="15" s="1"/>
  <c r="I84" i="15"/>
  <c r="D8" i="18"/>
  <c r="E8" i="18" s="1"/>
  <c r="F6" i="15"/>
  <c r="G7" i="15"/>
  <c r="I3" i="24"/>
  <c r="H12" i="24"/>
  <c r="J12" i="24" s="1"/>
  <c r="H108" i="20"/>
  <c r="H10" i="24"/>
  <c r="J10" i="24" s="1"/>
  <c r="K14" i="24"/>
  <c r="I14" i="24"/>
  <c r="F166" i="15"/>
  <c r="G166" i="15" s="1"/>
  <c r="G167" i="15"/>
  <c r="K5" i="24"/>
  <c r="I5" i="24"/>
  <c r="G84" i="15"/>
  <c r="F83" i="15"/>
  <c r="G83" i="15" s="1"/>
  <c r="H12" i="15"/>
  <c r="I12" i="15" s="1"/>
  <c r="I13" i="15"/>
  <c r="I111" i="15"/>
  <c r="H110" i="15"/>
  <c r="I110" i="15" s="1"/>
  <c r="F55" i="15"/>
  <c r="G55" i="15" s="1"/>
  <c r="G56" i="15"/>
  <c r="I117" i="15"/>
  <c r="H116" i="15"/>
  <c r="I116" i="15" s="1"/>
  <c r="H13" i="24"/>
  <c r="J13" i="24" s="1"/>
  <c r="H120" i="20"/>
  <c r="H18" i="24"/>
  <c r="G78" i="15"/>
  <c r="F77" i="15"/>
  <c r="G77" i="15" s="1"/>
  <c r="D5" i="18"/>
  <c r="G24" i="15"/>
  <c r="F23" i="15"/>
  <c r="H8" i="24"/>
  <c r="J8" i="24" s="1"/>
  <c r="H66" i="20"/>
  <c r="I167" i="15"/>
  <c r="H166" i="15"/>
  <c r="I166" i="15" s="1"/>
  <c r="G3" i="24"/>
  <c r="J11" i="24"/>
  <c r="K11" i="24" s="1"/>
  <c r="I11" i="24"/>
  <c r="F7" i="24"/>
  <c r="F11" i="24"/>
  <c r="G11" i="24" s="1"/>
  <c r="K9" i="24"/>
  <c r="I9" i="24"/>
  <c r="G152" i="15"/>
  <c r="F151" i="15"/>
  <c r="G151" i="15" s="1"/>
  <c r="F10" i="24"/>
  <c r="F116" i="15"/>
  <c r="G116" i="15" s="1"/>
  <c r="G117" i="15"/>
  <c r="F12" i="24"/>
  <c r="G12" i="24" s="1"/>
  <c r="D6" i="18"/>
  <c r="E6" i="18" s="1"/>
  <c r="G37" i="15"/>
  <c r="H6" i="24"/>
  <c r="J6" i="24" s="1"/>
  <c r="F8" i="24"/>
  <c r="G8" i="24" s="1"/>
  <c r="F172" i="15"/>
  <c r="G172" i="15" s="1"/>
  <c r="G173" i="15"/>
  <c r="H7" i="24"/>
  <c r="J7" i="24" s="1"/>
  <c r="I126" i="15"/>
  <c r="H125" i="15"/>
  <c r="I125" i="15" s="1"/>
  <c r="G189" i="15"/>
  <c r="F188" i="15"/>
  <c r="F90" i="15"/>
  <c r="G90" i="15" s="1"/>
  <c r="G91" i="15"/>
  <c r="G111" i="15"/>
  <c r="F110" i="15"/>
  <c r="G110" i="15" s="1"/>
  <c r="F125" i="15"/>
  <c r="G125" i="15" s="1"/>
  <c r="G126" i="15"/>
  <c r="D86" i="23"/>
  <c r="I7" i="15"/>
  <c r="H6" i="15"/>
  <c r="F17" i="24"/>
  <c r="I173" i="15"/>
  <c r="I19" i="24"/>
  <c r="J19" i="24"/>
  <c r="K19" i="24" s="1"/>
  <c r="H18" i="15"/>
  <c r="I18" i="15" s="1"/>
  <c r="I19" i="15"/>
  <c r="H184" i="20"/>
  <c r="H17" i="24"/>
  <c r="H188" i="15"/>
  <c r="I189" i="15"/>
  <c r="F144" i="15"/>
  <c r="G144" i="15" s="1"/>
  <c r="G145" i="15"/>
  <c r="H23" i="15"/>
  <c r="I24" i="15"/>
  <c r="F13" i="24"/>
  <c r="G13" i="24" s="1"/>
  <c r="F86" i="23"/>
  <c r="E86" i="23" l="1"/>
  <c r="H80" i="20"/>
  <c r="G10" i="24"/>
  <c r="E10" i="24"/>
  <c r="F80" i="20"/>
  <c r="L10" i="24"/>
  <c r="M10" i="24" s="1"/>
  <c r="L20" i="24"/>
  <c r="C18" i="24"/>
  <c r="H184" i="15"/>
  <c r="I184" i="15" s="1"/>
  <c r="B20" i="24"/>
  <c r="E20" i="24" s="1"/>
  <c r="H189" i="20"/>
  <c r="E18" i="24"/>
  <c r="F189" i="20"/>
  <c r="G18" i="24"/>
  <c r="F22" i="20"/>
  <c r="G23" i="15"/>
  <c r="I23" i="15"/>
  <c r="C7" i="18"/>
  <c r="E7" i="18" s="1"/>
  <c r="G42" i="15"/>
  <c r="I42" i="15"/>
  <c r="C6" i="24"/>
  <c r="H22" i="20"/>
  <c r="G6" i="24"/>
  <c r="L6" i="24"/>
  <c r="M6" i="24" s="1"/>
  <c r="G86" i="23"/>
  <c r="E5" i="18"/>
  <c r="F50" i="20"/>
  <c r="A74" i="20"/>
  <c r="A75" i="20" s="1"/>
  <c r="A76" i="20" s="1"/>
  <c r="A77" i="20" s="1"/>
  <c r="A78" i="20" s="1"/>
  <c r="A79" i="20" s="1"/>
  <c r="E195" i="15"/>
  <c r="D202" i="20"/>
  <c r="F202" i="20" s="1"/>
  <c r="G7" i="24"/>
  <c r="H50" i="20"/>
  <c r="L7" i="24"/>
  <c r="M7" i="24" s="1"/>
  <c r="C7" i="24"/>
  <c r="B16" i="24"/>
  <c r="B25" i="24" s="1"/>
  <c r="C26" i="24" s="1"/>
  <c r="H16" i="24"/>
  <c r="G6" i="18"/>
  <c r="I188" i="15"/>
  <c r="G17" i="24"/>
  <c r="F20" i="24"/>
  <c r="K7" i="24"/>
  <c r="I7" i="24"/>
  <c r="D9" i="18"/>
  <c r="K18" i="24"/>
  <c r="I18" i="24"/>
  <c r="K12" i="24"/>
  <c r="I12" i="24"/>
  <c r="F16" i="24"/>
  <c r="K8" i="24"/>
  <c r="I8" i="24"/>
  <c r="I10" i="24"/>
  <c r="K10" i="24"/>
  <c r="F164" i="15"/>
  <c r="G6" i="15"/>
  <c r="K15" i="24"/>
  <c r="I15" i="24"/>
  <c r="H164" i="15"/>
  <c r="I6" i="15"/>
  <c r="I6" i="24"/>
  <c r="K6" i="24"/>
  <c r="K13" i="24"/>
  <c r="I13" i="24"/>
  <c r="H20" i="24"/>
  <c r="J17" i="24"/>
  <c r="I17" i="24"/>
  <c r="G188" i="15"/>
  <c r="F193" i="15"/>
  <c r="G193" i="15" s="1"/>
  <c r="K3" i="24"/>
  <c r="M20" i="24" l="1"/>
  <c r="B39" i="24"/>
  <c r="F8" i="18"/>
  <c r="H172" i="15"/>
  <c r="B34" i="24"/>
  <c r="C35" i="24" s="1"/>
  <c r="C20" i="24"/>
  <c r="G7" i="18"/>
  <c r="C9" i="18"/>
  <c r="E9" i="18" s="1"/>
  <c r="A82" i="20"/>
  <c r="A83" i="20" s="1"/>
  <c r="A84" i="20" s="1"/>
  <c r="A85" i="20" s="1"/>
  <c r="A86" i="20" s="1"/>
  <c r="A87" i="20" s="1"/>
  <c r="A88" i="20" s="1"/>
  <c r="A89" i="20" s="1"/>
  <c r="A90" i="20" s="1"/>
  <c r="A91" i="20" s="1"/>
  <c r="A92" i="20" s="1"/>
  <c r="A93" i="20" s="1"/>
  <c r="A95" i="20" s="1"/>
  <c r="A96" i="20" s="1"/>
  <c r="A97" i="20" s="1"/>
  <c r="A98" i="20" s="1"/>
  <c r="A99" i="20" s="1"/>
  <c r="A100" i="20" s="1"/>
  <c r="A101" i="20" s="1"/>
  <c r="H202" i="20"/>
  <c r="I16" i="24"/>
  <c r="C16" i="24"/>
  <c r="E16" i="24"/>
  <c r="L16" i="24"/>
  <c r="B30" i="24" s="1"/>
  <c r="C30" i="24" s="1"/>
  <c r="B22" i="24"/>
  <c r="E22" i="24" s="1"/>
  <c r="C25" i="24"/>
  <c r="B28" i="24"/>
  <c r="C28" i="24" s="1"/>
  <c r="I164" i="15"/>
  <c r="J16" i="24"/>
  <c r="I20" i="24"/>
  <c r="B37" i="24"/>
  <c r="G20" i="24"/>
  <c r="B36" i="24"/>
  <c r="G5" i="18"/>
  <c r="K17" i="24"/>
  <c r="J20" i="24"/>
  <c r="G164" i="15"/>
  <c r="F195" i="15"/>
  <c r="G195" i="15" s="1"/>
  <c r="B27" i="24"/>
  <c r="C27" i="24" s="1"/>
  <c r="F22" i="24"/>
  <c r="G16" i="24"/>
  <c r="H22" i="24"/>
  <c r="C39" i="24" l="1"/>
  <c r="C36" i="24"/>
  <c r="C34" i="24"/>
  <c r="C37" i="24"/>
  <c r="I172" i="15"/>
  <c r="H193" i="15"/>
  <c r="F9" i="18"/>
  <c r="G9" i="18" s="1"/>
  <c r="G8" i="18"/>
  <c r="A104" i="20"/>
  <c r="A105" i="20" s="1"/>
  <c r="A106" i="20" s="1"/>
  <c r="A107" i="20" s="1"/>
  <c r="L22" i="24"/>
  <c r="B53" i="24" s="1"/>
  <c r="C22" i="24"/>
  <c r="M16" i="24"/>
  <c r="B48" i="24"/>
  <c r="C49" i="24" s="1"/>
  <c r="G22" i="24"/>
  <c r="B50" i="24"/>
  <c r="K20" i="24"/>
  <c r="B38" i="24"/>
  <c r="C38" i="24" s="1"/>
  <c r="I22" i="24"/>
  <c r="B51" i="24"/>
  <c r="B29" i="24"/>
  <c r="C29" i="24" s="1"/>
  <c r="J22" i="24"/>
  <c r="K16" i="24"/>
  <c r="I193" i="15" l="1"/>
  <c r="H195" i="15"/>
  <c r="I195" i="15" s="1"/>
  <c r="A110" i="20"/>
  <c r="A111" i="20" s="1"/>
  <c r="A112" i="20" s="1"/>
  <c r="A113" i="20" s="1"/>
  <c r="A114" i="20" s="1"/>
  <c r="A115" i="20" s="1"/>
  <c r="A116" i="20" s="1"/>
  <c r="A117" i="20" s="1"/>
  <c r="A119" i="20" s="1"/>
  <c r="C50" i="24"/>
  <c r="C51" i="24"/>
  <c r="M22" i="24"/>
  <c r="C48" i="24"/>
  <c r="C53" i="24"/>
  <c r="K22" i="24"/>
  <c r="B52" i="24"/>
  <c r="C52" i="24" s="1"/>
  <c r="A122" i="20" l="1"/>
  <c r="A123" i="20" s="1"/>
  <c r="A124" i="20" s="1"/>
  <c r="A125" i="20" s="1"/>
  <c r="A126" i="20" s="1"/>
  <c r="A127" i="20" s="1"/>
  <c r="A128" i="20" s="1"/>
  <c r="A129" i="20" s="1"/>
  <c r="A130" i="20" s="1"/>
  <c r="A131" i="20" s="1"/>
  <c r="A132" i="20" s="1"/>
  <c r="A133" i="20" s="1"/>
  <c r="A134" i="20" s="1"/>
  <c r="A135" i="20" s="1"/>
  <c r="A136" i="20" s="1"/>
  <c r="A137" i="20" s="1"/>
  <c r="A138" i="20" s="1"/>
  <c r="A139" i="20" s="1"/>
  <c r="A141" i="20" s="1"/>
  <c r="A142" i="20" s="1"/>
  <c r="A144" i="20" s="1"/>
  <c r="A145" i="20" s="1"/>
  <c r="A146" i="20" s="1"/>
  <c r="A147" i="20" s="1"/>
  <c r="A148" i="20" s="1"/>
  <c r="A151" i="20" l="1"/>
  <c r="A152" i="20" s="1"/>
  <c r="A153" i="20" s="1"/>
  <c r="A154" i="20" s="1"/>
  <c r="A155" i="20" s="1"/>
  <c r="A156" i="20" s="1"/>
  <c r="A157" i="20" s="1"/>
  <c r="A158" i="20" s="1"/>
  <c r="A159" i="20" s="1"/>
  <c r="A160" i="20" s="1"/>
  <c r="A161" i="20" s="1"/>
  <c r="A162" i="20" s="1"/>
  <c r="A163" i="20" s="1"/>
  <c r="A164" i="20" s="1"/>
  <c r="A165" i="20" s="1"/>
  <c r="A166" i="20" s="1"/>
  <c r="A167" i="20" s="1"/>
  <c r="A168" i="20" s="1"/>
  <c r="A169" i="20" s="1"/>
  <c r="A170" i="20" s="1"/>
  <c r="A171" i="20" s="1"/>
  <c r="A172" i="20" s="1"/>
  <c r="A173" i="20" s="1"/>
  <c r="A176" i="20" l="1"/>
  <c r="A177" i="20" s="1"/>
  <c r="A178" i="20" s="1"/>
  <c r="A180" i="20" s="1"/>
  <c r="A181" i="20" s="1"/>
  <c r="A183" i="20" s="1"/>
  <c r="A186" i="20" l="1"/>
  <c r="A187" i="20" s="1"/>
  <c r="A188" i="20" s="1"/>
  <c r="A191" i="20" l="1"/>
  <c r="A192" i="20" s="1"/>
  <c r="A194" i="20" s="1"/>
  <c r="A195" i="20" s="1"/>
  <c r="A196" i="20" s="1"/>
  <c r="A198" i="20" s="1"/>
  <c r="A201" i="20" s="1"/>
</calcChain>
</file>

<file path=xl/comments1.xml><?xml version="1.0" encoding="utf-8"?>
<comments xmlns="http://schemas.openxmlformats.org/spreadsheetml/2006/main">
  <authors>
    <author>AUXPLANEACION03</author>
    <author>USERPC</author>
  </authors>
  <commentList>
    <comment ref="R150" authorId="0" shapeId="0">
      <text>
        <r>
          <rPr>
            <b/>
            <sz val="9"/>
            <color indexed="81"/>
            <rFont val="Tahoma"/>
            <family val="2"/>
          </rPr>
          <t>AUXPLANEACION03:</t>
        </r>
        <r>
          <rPr>
            <sz val="9"/>
            <color indexed="81"/>
            <rFont val="Tahoma"/>
            <family val="2"/>
          </rPr>
          <t xml:space="preserve">
2201007</t>
        </r>
      </text>
    </comment>
    <comment ref="R153" authorId="0" shapeId="0">
      <text>
        <r>
          <rPr>
            <b/>
            <sz val="9"/>
            <color indexed="81"/>
            <rFont val="Tahoma"/>
            <family val="2"/>
          </rPr>
          <t>AUXPLANEACION03:</t>
        </r>
        <r>
          <rPr>
            <sz val="9"/>
            <color indexed="81"/>
            <rFont val="Tahoma"/>
            <family val="2"/>
          </rPr>
          <t xml:space="preserve">
2201009</t>
        </r>
      </text>
    </comment>
    <comment ref="R154" authorId="0" shapeId="0">
      <text>
        <r>
          <rPr>
            <b/>
            <sz val="9"/>
            <color indexed="81"/>
            <rFont val="Tahoma"/>
            <family val="2"/>
          </rPr>
          <t>AUXPLANEACION03:</t>
        </r>
        <r>
          <rPr>
            <sz val="9"/>
            <color indexed="81"/>
            <rFont val="Tahoma"/>
            <family val="2"/>
          </rPr>
          <t xml:space="preserve">
2201010
</t>
        </r>
      </text>
    </comment>
    <comment ref="R208" authorId="0" shapeId="0">
      <text>
        <r>
          <rPr>
            <b/>
            <sz val="9"/>
            <color indexed="81"/>
            <rFont val="Tahoma"/>
            <family val="2"/>
          </rPr>
          <t>AUXPLANEACION03:</t>
        </r>
        <r>
          <rPr>
            <sz val="9"/>
            <color indexed="81"/>
            <rFont val="Tahoma"/>
            <family val="2"/>
          </rPr>
          <t xml:space="preserve">
1903050
</t>
        </r>
      </text>
    </comment>
    <comment ref="N231" authorId="1" shapeId="0">
      <text>
        <r>
          <rPr>
            <b/>
            <sz val="9"/>
            <color indexed="81"/>
            <rFont val="Tahoma"/>
            <family val="2"/>
          </rPr>
          <t>USERPC:</t>
        </r>
        <r>
          <rPr>
            <sz val="9"/>
            <color indexed="81"/>
            <rFont val="Tahoma"/>
            <family val="2"/>
          </rPr>
          <t xml:space="preserve">
en el plan indicativo corresponde  a la 1905021 Y 1905031</t>
        </r>
      </text>
    </comment>
    <comment ref="R266" authorId="0" shapeId="0">
      <text>
        <r>
          <rPr>
            <b/>
            <sz val="9"/>
            <color indexed="81"/>
            <rFont val="Tahoma"/>
            <family val="2"/>
          </rPr>
          <t>AUXPLANEACION03:</t>
        </r>
        <r>
          <rPr>
            <sz val="9"/>
            <color indexed="81"/>
            <rFont val="Tahoma"/>
            <family val="2"/>
          </rPr>
          <t xml:space="preserve">
2301012
</t>
        </r>
      </text>
    </comment>
  </commentList>
</comments>
</file>

<file path=xl/sharedStrings.xml><?xml version="1.0" encoding="utf-8"?>
<sst xmlns="http://schemas.openxmlformats.org/spreadsheetml/2006/main" count="5258" uniqueCount="1536">
  <si>
    <t xml:space="preserve">  Secretario Administrativo</t>
  </si>
  <si>
    <t>Director IDTQ</t>
  </si>
  <si>
    <t>Director Oficina Privada</t>
  </si>
  <si>
    <t>Gerente General Proyecta para el Desarrollo Territorial</t>
  </si>
  <si>
    <t>Gerente INDEPORTES QUINDÍO</t>
  </si>
  <si>
    <t>Secretaria de Educación</t>
  </si>
  <si>
    <t>Secretaria de Familia</t>
  </si>
  <si>
    <t>Secretaria de Hacienda</t>
  </si>
  <si>
    <t>Secretaria del Interior</t>
  </si>
  <si>
    <t>Secretario de Agricultura, Desarrollo Rural y Medio Ambiente</t>
  </si>
  <si>
    <t>Secretario de Aguas e Infraestructura</t>
  </si>
  <si>
    <t>Secretario de Cultura</t>
  </si>
  <si>
    <t>Secretario de Turismo, Industria y Comercio</t>
  </si>
  <si>
    <t>Secretario Tecnologías de la Información y las Comunicaciones</t>
  </si>
  <si>
    <t xml:space="preserve"> Secretario de Salud</t>
  </si>
  <si>
    <t xml:space="preserve"> Secretario de Planeación </t>
  </si>
  <si>
    <t>FORMATO</t>
  </si>
  <si>
    <t xml:space="preserve">CODIGO:  </t>
  </si>
  <si>
    <t xml:space="preserve">VERSIÓN: </t>
  </si>
  <si>
    <t xml:space="preserve">FECHA: </t>
  </si>
  <si>
    <t>PÁGINA:</t>
  </si>
  <si>
    <t xml:space="preserve"> 1 de 1</t>
  </si>
  <si>
    <t>UNIDAD EJECUTORA</t>
  </si>
  <si>
    <t>LÍNEA ESTRATÉGICA</t>
  </si>
  <si>
    <t>SECTOR</t>
  </si>
  <si>
    <t>PROGRAMA</t>
  </si>
  <si>
    <t>PRODUCTO</t>
  </si>
  <si>
    <t>INDICADOR PRODUCTO</t>
  </si>
  <si>
    <t>META PRODUCTO</t>
  </si>
  <si>
    <t>PROYECTO</t>
  </si>
  <si>
    <t>CÓDIGO</t>
  </si>
  <si>
    <t>NOMBRE</t>
  </si>
  <si>
    <t>CÓDIGO
PDD</t>
  </si>
  <si>
    <t>NOMBRE PDD</t>
  </si>
  <si>
    <t>CÓDIGO CATÁLOGO MGA</t>
  </si>
  <si>
    <t xml:space="preserve">PROGRAMA CATÁLOGO MGA </t>
  </si>
  <si>
    <t>INDICADOR DE RESULTADO Y/O BIENESTAR</t>
  </si>
  <si>
    <t>CÓDIGO PDD</t>
  </si>
  <si>
    <t>PRODUCTO PDD</t>
  </si>
  <si>
    <t>CÓDIGO CATÁLOGO DE PRODUCTOS MGA</t>
  </si>
  <si>
    <t xml:space="preserve">PRODUCTO CATÁLOGO MGA </t>
  </si>
  <si>
    <t>INDICADOR PDD</t>
  </si>
  <si>
    <t>CÓDIGO CATALOGO DE INDICADORES MGA</t>
  </si>
  <si>
    <t xml:space="preserve">INDICADOR CATÁLOGO MGA </t>
  </si>
  <si>
    <t>A=ACUMULADA
NA=NO ACUMULADA</t>
  </si>
  <si>
    <t>PROGRAMADA VIGENCIA 2023</t>
  </si>
  <si>
    <t>REPROGRAMACIÓN DE METAS 2023</t>
  </si>
  <si>
    <t>TOTAL PROGRAMACIÓN METAS 2023</t>
  </si>
  <si>
    <t>CÓDIGO BPIN</t>
  </si>
  <si>
    <t>NOMBRE DEL PROYECTO</t>
  </si>
  <si>
    <t>OBJETIVO DEL PROYECTO</t>
  </si>
  <si>
    <t xml:space="preserve">SGP SALÚD PUBLICA - PRESTACIÓN DE SERVICIOS
 </t>
  </si>
  <si>
    <t xml:space="preserve"> RENTAS CEDIDAS - SALUD - DEPORTE -</t>
  </si>
  <si>
    <t xml:space="preserve"> SGP AGUA POTABLE Y SANEAMIENTO BÁSICO
</t>
  </si>
  <si>
    <t xml:space="preserve"> RECURSO ORDINARIO
</t>
  </si>
  <si>
    <t>OTROS (FDO. SEGURIDAD - ACPM- IVA TELEFONIA MÓVIL  - IMP. REGISTRO- R.O. IDTQ)</t>
  </si>
  <si>
    <t>NACIÓN- PAE - ANTICONTRABANDO -ESTUPEFACIENTES</t>
  </si>
  <si>
    <t xml:space="preserve"> TOTAL PRESUPUESTO</t>
  </si>
  <si>
    <t>Secretaría Administrativa</t>
  </si>
  <si>
    <t>Liderazgo, Gobernabilidad y Transparecia</t>
  </si>
  <si>
    <t>Gobierno territorial</t>
  </si>
  <si>
    <t>ND</t>
  </si>
  <si>
    <t>Fortalecimiento de la gestión y desempeño institucional. “Quindío con una administración al servicio de la ciudadanía"</t>
  </si>
  <si>
    <t xml:space="preserve">Fortalecimiento a la gestión y dirección de la administración pública territorial </t>
  </si>
  <si>
    <t>Índice de Gestión del Modelo Integrado de Planeación y de Gestión MIPG  de la Administración Departamental</t>
  </si>
  <si>
    <t>Implementación de  las Dimensiones y Políticas  del Modelo Integrado de Planeación y de Gestión MIPG</t>
  </si>
  <si>
    <t xml:space="preserve">Servicio de Implementación Sistemas de Gestión </t>
  </si>
  <si>
    <t>Número de Dimensiones y Políticas   de MIPG implementadas.</t>
  </si>
  <si>
    <t>Sistema de Gestión implementado</t>
  </si>
  <si>
    <t>A</t>
  </si>
  <si>
    <t>Implementación del Modelo Integrado de Planeación y de Gestión MIPG  de la Administración Departamental del Quindío (Dimensiones  de Talento humano,  Información y Comunicación y Gestión del Conocimiento).</t>
  </si>
  <si>
    <t xml:space="preserve">Incrementar en Índice de Gestión y Desempeño  de la Administración Departamental ,  a Implementar los procesos y procedimientos de depuración de los expedientes administrativos pensionales, que permitan la determinación de cuotas partes pensionales, bonos pensionales y otros, con el fin de contar con información depurada y real. </t>
  </si>
  <si>
    <t>Estrategias  de actualización, depuración, seguimiento y evaluación de las bases de datos  del Pasivo Pensional  de la Administración Departamental.</t>
  </si>
  <si>
    <t xml:space="preserve">Servicio de saneamiento fiscal y financiero </t>
  </si>
  <si>
    <t>Estrategias  de actualización, depuración, seguimiento y evaluación de las bases de datos  del Pasivo Pensional  de la Administración Departamental</t>
  </si>
  <si>
    <t xml:space="preserve">Programa de saneamiento fiscal y financiero ejecutado </t>
  </si>
  <si>
    <t xml:space="preserve">Actualización, depuración, seguimiento y evaluación del Pasivo Pensional de la Administración Departamental del Quindío </t>
  </si>
  <si>
    <t>Incrementar  Índice de Gestión y Desempeño de la Administración Departamental a través del proceso de modernización administrativa, contemplando una estructura orgánica qué corresponda a las competencias del territorio, la habilitación de la oficina para los alcaldes en la gobernación y la Casa Delegada en la ciudad de Bogotá, la  creación de la oficina de la Felicidad; con el propósito de mejorar la gestión de la administración departamental .</t>
  </si>
  <si>
    <t>Participación ciudadana y política y respeto por los derechos humanos y diversidad de creencias. "Quindío integrado y participativo"</t>
  </si>
  <si>
    <t>Fortalecimiento del buen gobierno para el respeto y garantía de los derechos humanos</t>
  </si>
  <si>
    <t>Porcentaje promedio  de participación de ciudadanos en los eventos de elección popular.</t>
  </si>
  <si>
    <t>Implementación del Plan de Acción del Sistema Departamental de Servicio a la Ciudadanía SDSC</t>
  </si>
  <si>
    <t>Servicio de integración de la oferta pública</t>
  </si>
  <si>
    <t>Plan de Acción del Sistema Departamental de Servicio a la Ciudadanía SDSC implementado</t>
  </si>
  <si>
    <t xml:space="preserve">Espacios de integración de oferta pública generados </t>
  </si>
  <si>
    <t xml:space="preserve">Implementación del Sistema Departamental de Servicio a la Ciudadanía SDSC   en la Administración Departamental. </t>
  </si>
  <si>
    <t>Aumentar en porcentaje promedio  de participación de ciudadanos en los eventos de elección popular través del desarrollo de  actividades qué permitan la interacción de la Comunidad y Estado, facilitando el acceso de los servicios qué oferta la Administración Departamental.</t>
  </si>
  <si>
    <t>Secretaría de Planeación</t>
  </si>
  <si>
    <t>Porcentaje promedio  de participación de ciudadanos en los eventos de elección popular</t>
  </si>
  <si>
    <t>Fortalecimiento técnico y logístico del  Consejo Territorial de Planeación Departamental, como representantes de la sociedad civil en la planeación  del desarrollo integral  de la entidad territorial</t>
  </si>
  <si>
    <t>Servicio de promoción a la participación ciudadana</t>
  </si>
  <si>
    <t>Consejo Territorial de Planeación Departamental fortalecido</t>
  </si>
  <si>
    <t>Espacios de participación promovidos</t>
  </si>
  <si>
    <t xml:space="preserve">Fortalecimiento  del Consejo Territorial de Planeación del Departamento del Quindío. "TÚ y YO SOMOS QUINDIO" </t>
  </si>
  <si>
    <t>Incrementar la  participación de ciudadanos en los eventos de elección popular,  a través de los procesos de apoyo técnico y logístico al Consejo Territorial de Planeación Departamental, de conformidad con lo preceptuado en la Ley 152 de 1994.</t>
  </si>
  <si>
    <t>Eventos de Rendición Pública de Cuentas que divulgan la gestión administrativa.</t>
  </si>
  <si>
    <t>Eventos de Rendición Públicas de Cuentas realizados</t>
  </si>
  <si>
    <t>Rendición de cuentas realizadas</t>
  </si>
  <si>
    <t xml:space="preserve">Implementación  de eventos de Rendición Pública de Cuentas  de divulgación de gestión  de la Administración Departamental  "TU Y YO SOMOS QUINDIO" </t>
  </si>
  <si>
    <t>Incrementar la  participación de ciudadanos en los eventos de elección popular, a través  de la realización de la  Rendición Pública de Cuentas, con el propósito de generar un espacio de interlocución entre la sociedad civil y/o organizada.</t>
  </si>
  <si>
    <t>Instrumentos de planificación para el ordenamiento y la gestión territorial departamental (Plan de Desarrollo Departamental PDD, Ordenamiento Territorial, Sistema de Información Geográfica, Mecanismos de Integración, Catastro multipropósito etc.).</t>
  </si>
  <si>
    <t>Documentos de lineamientos técnicos</t>
  </si>
  <si>
    <t>Instrumentos de planificación de ordenamiento y gestión territorial departamental implementados</t>
  </si>
  <si>
    <t>Documentos de lineamientos técnicos realizados</t>
  </si>
  <si>
    <t xml:space="preserve"> A </t>
  </si>
  <si>
    <t xml:space="preserve">Implementación   de instrumentos de planificación para  en  Ordenamiento y la Gestión Territorial Departamental del Quindío  "TU Y YO SOMOS QUINDIO" </t>
  </si>
  <si>
    <t>Incrementar el  Índice de Gestión y Desempeño de la  Administración Departamental a través de la Implementación de los  instrumentos de planificación para el ordenamiento y la gestión territorial departamental (Plan de Desarrollo Departamental PDD, Ordenamiento Territorial, Sistema de Información Geográfica, mecanismos de integración, catastro multipropósito etc.) para orientar  los gastos de inversión  de acuerdo al Ordenamiento  Territorial.</t>
  </si>
  <si>
    <t>Observatorio económico del departamento, con procesos de fortalecimiento</t>
  </si>
  <si>
    <t>Servicios de información implementados</t>
  </si>
  <si>
    <t>Observatorio económico del Departamento del Quindío actualizado y dotado</t>
  </si>
  <si>
    <t>Sistemas de información implementados</t>
  </si>
  <si>
    <t>Implementación del Observatorio Económico  de la Administración Departamental del Quindío "TU Y YO SOMOS QUINDIO"</t>
  </si>
  <si>
    <t>Incrementar el  Índice de Gestión y Desempeño de la  Administración Departamental,  a través  de la implementación del  Observatorio Económico, con el objeto de proveer información  para la toma decisiones, facilitar en   seguimiento y monitoreo de dinámicas económicas y sociales del departamento.</t>
  </si>
  <si>
    <t xml:space="preserve">Banco de Programas y Proyectos del Departamento  con Procesos de fortalecimiento. </t>
  </si>
  <si>
    <t>Banco de Programas y Proyectos del Departamento fortalecido</t>
  </si>
  <si>
    <t>Fortalecimiento del Banco de Programas y Proyectos de la administración departamental  "TÚ Y YO SOMOS QUINDIO"</t>
  </si>
  <si>
    <t>Incrementar el  Índice de Gestión y Desempeño de la  Administración Departamental, a través de  procesos de fortalecimiento del Banco de Programas y Proyectos, con el propósito de generar una mayor inversión social, qué impacte de manera positiva en las problemáticas socioeconómicas de la comunidad quindiana.</t>
  </si>
  <si>
    <t>Índice de Gestión del Modelo Integrado de Planeación y de Gestión MIPG   Departamental (Entes Territoriales Municipales)</t>
  </si>
  <si>
    <t xml:space="preserve">Entes territoriales  con servicio de asistencia técnica de los Instrumentos de Planificación para  el Ordenamiento y la Gestión Territorial departamental. </t>
  </si>
  <si>
    <t>Servicio de asistencia técnica</t>
  </si>
  <si>
    <t>Entes territoriales con procesos de asistencia técnica realizadas.</t>
  </si>
  <si>
    <t>Entidades territoriales asistidas técnicamente</t>
  </si>
  <si>
    <t>Asistencia Técnica  en  Instrumentos de Planificación y gestión  territorial en los  municipios del Departamento del  Quindío.</t>
  </si>
  <si>
    <t>Incrementar en  Índice de Gestión y Desempeño de la  Administración Departamental,  a través de procesos de  asistencia técnica a los entes territoriales Municipales  en Instrumentos de Planificación  y  Gestión Territorial.</t>
  </si>
  <si>
    <t>Entes territoriales con servicio de asistencia  técnica del Modelo Integrado de Planeación y de Gestión MIPG</t>
  </si>
  <si>
    <t>Entes Territoriales con procesos de asistencia técnica realizadas</t>
  </si>
  <si>
    <t>Entes territoriales  con servicio de asistencia técnica en la Medición del Desempeño Municipal</t>
  </si>
  <si>
    <t>Entes Territoriales con procesos de asistencia técnica realizadas.</t>
  </si>
  <si>
    <t xml:space="preserve">Entes territoriales  con servicio de asistencia técnica en el Sistema de Identificación de Potenciales Beneficiarios de Programas Sociales (SISBEN). </t>
  </si>
  <si>
    <t>Entes territoriales con servicio de asistencia técnica en la formulación, preparación, seguimiento y evaluación de las políticas públicas</t>
  </si>
  <si>
    <t xml:space="preserve">Entes territoriales  con servicio de asistencia técnica en Banco de Programas y Proyectos de Inversión Nacional (BPIN).  </t>
  </si>
  <si>
    <t>Servicio de Implementación Sistemas de Gestión</t>
  </si>
  <si>
    <t>Implementación  del Modelo Integrado de Planeación y de Gestión MIPG en la Administración Departamental del   Quindío</t>
  </si>
  <si>
    <t xml:space="preserve"> Aumentar en Índice de Gestión y Desempeño de la Administración Departamental considerando las dimensiones y políticas qué conforman en Modelo Integrado de Gestión y Desempeño </t>
  </si>
  <si>
    <t>Secretaría de Hacienda y Finanzas Públicas</t>
  </si>
  <si>
    <t>Índice de Desempeño Fiscal Administración Departamental</t>
  </si>
  <si>
    <t>Estrategia para el mejoramiento del Índice de Desempeño Fiscal en la Administración Departamental.</t>
  </si>
  <si>
    <t>Estrategia  de fortalecimiento  del Índice de Desempeño  Fiscal implementadas.</t>
  </si>
  <si>
    <t xml:space="preserve">Estrategia para el mejoramiento del Índice de Desempeño Fiscal ejecutada </t>
  </si>
  <si>
    <t>Implementación de estrategias de fortalecimiento del desempeño fiscal de la Administración departamental del Quindío</t>
  </si>
  <si>
    <t>Incrementar en Índice de Desempeño Fiscal de la Administración Departamental, a través de estrategias de autofinanciación de los gastos de funcionamiento, respaldo del servicio y mejoramiento de la deuda,  transferencias de la nación , generación de recursos propios, magnitud de la inversión y capacidad de ahorro, con el propósito de generar una mayor inversión social.</t>
  </si>
  <si>
    <t xml:space="preserve">Programa para el cumplimiento de las políticas y prácticas contables para la administración departamental         </t>
  </si>
  <si>
    <t>Servicio de saneamiento fiscal y financiero</t>
  </si>
  <si>
    <t>Programa para el cumplimiento de las políticas y prácticas contables implementado</t>
  </si>
  <si>
    <t>Programa de saneamiento fiscal y financiero ejecutado</t>
  </si>
  <si>
    <t xml:space="preserve">Implementación  de  un programa para el cumplimiento de las políticas y prácticas contables de la administración departamental del Quindío.    </t>
  </si>
  <si>
    <t>Incrementar el Índice de Desempeño Fiscal de la Administración Departamental,   a través de la implementación del programa para el cumplimiento de las políticas y prácticas contables para la administración departamental,  encaminado a la  generación de información  veraz, confiable y razonable.</t>
  </si>
  <si>
    <t>Secretaría de Aguas e Infraestructura</t>
  </si>
  <si>
    <t>Inclusión Social y Equidad</t>
  </si>
  <si>
    <t>Justicia y del derecho</t>
  </si>
  <si>
    <t>Promoción al acceso a la justicia. "Tú y yo con justicia"</t>
  </si>
  <si>
    <t>Promoción al acceso a la justicia</t>
  </si>
  <si>
    <t>Tasa de homicidio por cada 100.000 habitantes
Tasa de hurto a personas  por cada 100.000 habitantes
Tasa de hurto a residencias por cada 100.000 habitantes
Tasa de hurto a comercio por cada 100.000 habitantes
Tasa de violencia intrafamiliar x cada 100.000 habitantes
Tasa  de delitos sexuales x 100.000 habitantes</t>
  </si>
  <si>
    <t>Infraestructura de las Instituciones de Seguridad del Estado con procesos constructivos, mejorados, ampliados, mantenidos, y/o reforzados</t>
  </si>
  <si>
    <t>Servicio de promoción del acceso a la justicia</t>
  </si>
  <si>
    <t>Infraestructura de las Instituciones de Seguridad del Estado construida, mejorada, ampliada, mantenida, y/o reforzada</t>
  </si>
  <si>
    <t xml:space="preserve">Estrategias de acceso a la justicia desarrolladas </t>
  </si>
  <si>
    <t>N.A.</t>
  </si>
  <si>
    <t>Mantenimiento de las instituciones públicas y/o de seguridad y  justicia  del Estado en el Departamento Quindío</t>
  </si>
  <si>
    <t>Mantener y/o reforzar  las Instituciones de seguridad del departamento del Quindío, con el propósito de  brindar a la  comunidad mejores condiciones de equidad y justicia.</t>
  </si>
  <si>
    <t>Educación</t>
  </si>
  <si>
    <t>Calidad, cobertura y fortalecimiento de la educación inicial, prescolar, básica y media." Tú y yo con educación y  calidad"</t>
  </si>
  <si>
    <t>Calidad, cobertura y fortalecimiento de la educación inicial, prescolar, básica y media</t>
  </si>
  <si>
    <t>Tasa de cobertura bruta en transición
Tasa de cobertura bruta en educación básica
Tasa de cobertura en educación media
Tasa de deserción escolar intra-anual</t>
  </si>
  <si>
    <t>Infraestructura de Instituciones Educativas con procesos constructivos, mejorados, ampliados, mantenidos y/o reforzados.</t>
  </si>
  <si>
    <t>Infraestructura educativa mantenida</t>
  </si>
  <si>
    <t>Infraestructura de Instituciones Educativas construida, mejorada, ampliada, mantenida, y/o reforzada.</t>
  </si>
  <si>
    <t>Sedes mantenidas</t>
  </si>
  <si>
    <t xml:space="preserve">Mantenimiento de  la infraestructura  Educativa en el Departamento del Quindío. </t>
  </si>
  <si>
    <t xml:space="preserve"> Mantener de la infraestructura educativa, con el propósito de garantizar  la permanencia y calidad  de la prestación  del servicio educativo en Departamento del Quindío.  </t>
  </si>
  <si>
    <t>Cultura</t>
  </si>
  <si>
    <t>Promoción y acceso efectivo a procesos culturales y artísticos. "Tú y yo somos cultura Quindiana"</t>
  </si>
  <si>
    <t>Promoción y acceso efectivo a procesos culturales y artísticos</t>
  </si>
  <si>
    <t>Tasa de participación en procesos y actividades artísticas y culturales.
Tasa de consumo de sustancias sicoactivas por 100.000 habitantes en el departamento del Quindío.</t>
  </si>
  <si>
    <t>3301068</t>
  </si>
  <si>
    <t>Servicio de mantenimiento de infraestructura cultural</t>
  </si>
  <si>
    <t>330106800</t>
  </si>
  <si>
    <t>Infraestructura cultural intervenida</t>
  </si>
  <si>
    <t xml:space="preserve">Mantenimiento de la infraestructura cultural en el departamento del Quindío  </t>
  </si>
  <si>
    <t xml:space="preserve"> Realizar mantenimiento de la  infraestructura cultural, para fortalecer los espacios de los artistas y gestores culturales dedicados a la creación, promoción y divulgación de actividades en el Departamento del Quindío.</t>
  </si>
  <si>
    <t>Inclusión social y reconciliación</t>
  </si>
  <si>
    <t>Atención integral de población en situación permanente de desprotección social y/o familiar. "Tú y yo con atención integral"</t>
  </si>
  <si>
    <t>Atención integral de población en situación permanente de desprotección social y/o familiar</t>
  </si>
  <si>
    <t>Cobertura de municipios del departamento con procesos de implementación de proyectos productivos para las personas con discapacidad.</t>
  </si>
  <si>
    <t>Centros de atención integral para personas con discapacidad construidos y dotados</t>
  </si>
  <si>
    <t>Centros de atención integral para personas con discapacidad construidos y dotados.</t>
  </si>
  <si>
    <t>Centros de atención integral para personas con Discapacidad construidos y dotados</t>
  </si>
  <si>
    <t xml:space="preserve">Centros de atención integral para personas con discapacidad construidos y dotados </t>
  </si>
  <si>
    <t>Construcción y dotación centro de atención integral para personas con discapacidad en el Departamento del Quindío+</t>
  </si>
  <si>
    <t xml:space="preserve"> Construir y dotar el Centro de Atención Integral para personas con discapacidad, con el propósito de contar con un espacio para la
atención especializada a la población en situación permanente de desprotección social y/o familiar, conducente a mejorar las
condiciones de calidad de vida de la población y su entorno familiar.</t>
  </si>
  <si>
    <t>Deporte y recreación</t>
  </si>
  <si>
    <t>Fomento a la recreación, la actividad física y el deporte  "Tú y yo en la recreación y el deporte"</t>
  </si>
  <si>
    <t>Fomento a la recreación, la actividad física y el deporte para desarrollar entornos de convivencia y paz</t>
  </si>
  <si>
    <t>Cobertura de municipios qué participan en programas de recreación, actividad física y deporte social y comunitario en el Departamento del Quindío.
Cobertura de ligas apoyadas en el departamento del Quindío.
Porcentaje de medallería del departamento del Quindío en los Juegos Nacionales.</t>
  </si>
  <si>
    <t xml:space="preserve">Infraestructura  deportiva y/o recreativa con procesos   constructivos,  mejorados,  ampliados,  mantenidos y/o  reforzados </t>
  </si>
  <si>
    <t>Servicio de mantenimiento a la infraestructura deportiva</t>
  </si>
  <si>
    <t xml:space="preserve">Infraestructura  deportiva y/o recreativa con procesos   constructivos,  mejorados,  ampliados,  mantenidos y/o   reforzados </t>
  </si>
  <si>
    <t>Intervenciones realizadas a infraestructura deportiva</t>
  </si>
  <si>
    <t xml:space="preserve">Mantenimiento, mejoramiento y/o rehabilitación de  obras físicas de infraestructura deportiva y recreativa en el Departamento del Quindío  </t>
  </si>
  <si>
    <t>Mantener, mejorar y/o rehabilitar obras físicas de infraestructura deportiva y recreativa en el Departamento del Quindío con el propósito de generar espacios para la utilización del tiempo libre.</t>
  </si>
  <si>
    <t>Productividad y Competitividad</t>
  </si>
  <si>
    <t>Agricultura y desarrollo rural</t>
  </si>
  <si>
    <t>Infraestructura productiva y comercialización. "Tú y yo con agro competitivo"</t>
  </si>
  <si>
    <t>Infraestructura productiva y comercialización</t>
  </si>
  <si>
    <t>Crecimiento económico del sector agropecuario (PIB)</t>
  </si>
  <si>
    <t>Plantas de beneficio animal adecuadas</t>
  </si>
  <si>
    <t xml:space="preserve">Plantas de beneficio animal adecuadas </t>
  </si>
  <si>
    <t>Adecuación planta de beneficio animal en el Departamento del Quindío</t>
  </si>
  <si>
    <t>Adecuar una planta de beneficio animal con el propósito de fortalecer la productividad y competitividad pecuaria sostenible, para el mejoramiento de la calidad, inocuidad y sanidad de los productos, para su mercadeo y comercialización, en el Departamento del Quindío</t>
  </si>
  <si>
    <t>Plazas de mercado adecuadas</t>
  </si>
  <si>
    <t>Adecuación plaza de mercado en el Departamento del Quindío</t>
  </si>
  <si>
    <t>Adecuar una plaza de mercado, con el propósito de brindar un espacio en optimas condiciones que permita la comercilaizacion de productos agropecuarios permitiendo la generacion de ingresos   sostenible a los pequeños productores del   Departaemnto del Quindio.</t>
  </si>
  <si>
    <t>Territorio, Ambiente y Desarrollo Sostenible</t>
  </si>
  <si>
    <t>Transporte</t>
  </si>
  <si>
    <t>Infraestructura red vial regional. "Tú y yo con movilidad vial"</t>
  </si>
  <si>
    <t xml:space="preserve">Infraestructura red vial regional </t>
  </si>
  <si>
    <t xml:space="preserve">Índice de competitividad  en el sector de infraestructura vial </t>
  </si>
  <si>
    <t>Infraestructura  en  puentes  con procesos  de construcción, mejoramiento, ampliación, mantenimiento y/o reforzamiento</t>
  </si>
  <si>
    <t>Puente de la red vial secundaria con mantenimiento</t>
  </si>
  <si>
    <t>Infraestructura en puentes construida, mejorada, ampliada, mantenida y/o reforzada</t>
  </si>
  <si>
    <t>Puente de la red secundaria con mantenimiento</t>
  </si>
  <si>
    <t>Mantenimiento, mejoramiento, rehabilitación y/o atención las vías  para  garantizar  la movilidad y competitividad en el departamento del Quindío.</t>
  </si>
  <si>
    <t>Mejorar y mantener la comunicación vehicular entre los municipios del departamento y en sector rural mediante la disposición de una infraestructura vial adecuada, mediante programas de mantenimiento y/o mejoramiento de las vías construidas y sus obras complementarias, garantizando condiciones de eficiencia, seguridad y confort a los usuarios. Para estos efectos se podrá implementar mecanismos de carácter social como “Las Camineras”, qué desde la población local contribuyan al mantenimiento vial.</t>
  </si>
  <si>
    <t>Infraestructura   vial  con procesos  de construcción, mejoramiento, ampliación, mantenimiento y/o  reforzamiento.</t>
  </si>
  <si>
    <t xml:space="preserve">Vía terciaria mejorada </t>
  </si>
  <si>
    <t xml:space="preserve">Infraestructura  vial    construida, mejorada, ampliada,  mantenida, y/o  reforzada </t>
  </si>
  <si>
    <t>Vía terciaria mejorada</t>
  </si>
  <si>
    <t>Ambiente y desarrollo sostenible</t>
  </si>
  <si>
    <t>Ordenamiento Ambiental Territorial. "Tú y yo planificamos con sentido ambiental"</t>
  </si>
  <si>
    <t xml:space="preserve">Ordenamiento ambiental territorial </t>
  </si>
  <si>
    <t xml:space="preserve">Porcentaje de Ecosistemas protegidos y/o en procesos de restauración en el Departamento </t>
  </si>
  <si>
    <t>Obras para estabilización de taludes</t>
  </si>
  <si>
    <t>320501000</t>
  </si>
  <si>
    <t>Obras para estabilización de taludes realizadas</t>
  </si>
  <si>
    <t>Construcción, mantenimiento y/o mejoramiento de obras  de estabilización de Taludes en el Departamento del Quindío</t>
  </si>
  <si>
    <t xml:space="preserve">Construir, mantener y/o mejorar de obras de infraestructura para la  estabilización de taludes qué presenten problemas de deslizamiento, con el propósito de establecer medidas de prevención y control para reducir los niveles de amenaza y riesgo. </t>
  </si>
  <si>
    <t>Cobertura  de municipios del departamento del Quindío  atendidos con estudios y/o construcción de obras   para mitigación y atención a desastres realizadas.
Porcentaje de Ecosistemas protegidos y/o en procesos de restauración en el Departamento.</t>
  </si>
  <si>
    <t>Obras de infraestructura para mitigación y atención a desastres</t>
  </si>
  <si>
    <t xml:space="preserve">Obras de infraestructura para mitigación y atención a desastres realizadas </t>
  </si>
  <si>
    <t xml:space="preserve">Construcción, mantenimiento y/o mejoramiento de obras de infraestructura  para la mitigación y atención de desastres en los municipios del departamento del Quindío </t>
  </si>
  <si>
    <t xml:space="preserve"> Construir, mantener y/o mejorar  obras de infraestructura para la  mitigación y atención de desastres en los municipios del departamento del Quindío, con el propósito de evitar pérdidas de vidas humanas, servicios, infraestructura y económicas, </t>
  </si>
  <si>
    <t>Vivienda, ciudad y territorio</t>
  </si>
  <si>
    <t>Acceso a soluciones de vivienda. "Tú y yo con vivienda digna"</t>
  </si>
  <si>
    <t>Acceso a soluciones de vivienda</t>
  </si>
  <si>
    <t>Déficit cualitativo de viviendas por hogares</t>
  </si>
  <si>
    <t>Viviendas de interés social urbanas mejoradas</t>
  </si>
  <si>
    <t>400101500</t>
  </si>
  <si>
    <t>Viviendas de Interés Social urbanas mejoradas</t>
  </si>
  <si>
    <t xml:space="preserve">Mejoramiento de Vivienda de Interés Social en el Departamento del Quindío </t>
  </si>
  <si>
    <t>Mejoramiento  de  vivienda de interés social VIS, con el propósito de reducir el déficit cualitativo de vivienda en el departamento, permitiendo  mejorar las condiciones de  calidad de vida de los quindianos.</t>
  </si>
  <si>
    <t>Acceso de la población a los servicios de agua potable y saneamiento básico. "Tú y yo con calidad del agua"</t>
  </si>
  <si>
    <t>Acceso de la población a los servicios de agua potable y saneamiento básico</t>
  </si>
  <si>
    <t xml:space="preserve">Cobertura de acueducto
Cobertura  de alcantarillado </t>
  </si>
  <si>
    <t xml:space="preserve">Adoptar e implementar la Política Pública de Producción Consumo Sostenible y Gestión Integral de Aseo  </t>
  </si>
  <si>
    <t>Documentos de planeación</t>
  </si>
  <si>
    <t>Política Pública de Producción Consumo Sostenible y Gestión Integral de Aseo  adoptada e implementada.</t>
  </si>
  <si>
    <t>Documentos de planeación elaborados</t>
  </si>
  <si>
    <t>NP</t>
  </si>
  <si>
    <t xml:space="preserve">Implementación del plan departamental para el manejo empresarial de los servicios de agua y saneamiento básico en el Departamento del Quindío  </t>
  </si>
  <si>
    <t xml:space="preserve"> 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t>
  </si>
  <si>
    <t xml:space="preserve">Cobertura  de alcantarillado </t>
  </si>
  <si>
    <t>Alcantarillados construidos</t>
  </si>
  <si>
    <t>Plantas de tratamiento de aguas residuales  construidas</t>
  </si>
  <si>
    <t>Servicios de apoyo financiero para la ejecución de proyectos de acueductos y alcantarillado</t>
  </si>
  <si>
    <t>Proyectos de acueducto y alcantarillado en área urbana financiados</t>
  </si>
  <si>
    <t>Servicios de educación informal en agua potable y saneamiento básico</t>
  </si>
  <si>
    <t>Eventos de educación informal en agua y saneamiento básico realizados</t>
  </si>
  <si>
    <t>Estudios de pre inversión e inversión</t>
  </si>
  <si>
    <t xml:space="preserve">Estudios o diseños realizados </t>
  </si>
  <si>
    <t>4003026</t>
  </si>
  <si>
    <t>Servicios de apoyo financiero para la ejecución de proyectos de acueductos y de manejo de aguas residuales</t>
  </si>
  <si>
    <t>Proyectos de acueducto y de manejo de aguas residuales en área rural financiados</t>
  </si>
  <si>
    <t xml:space="preserve">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t>
  </si>
  <si>
    <t>Infraestructura institucional o  de edificios públicos de atención  de servicios ciudadanos con procesos constructivos mejorados,  ampliados,  mantenidos, y/o  reforzados</t>
  </si>
  <si>
    <t>4599016</t>
  </si>
  <si>
    <t>Infraestructura Institucional o edificios públicos construida mejorada, ampliada, mantenida, y/o reforzada</t>
  </si>
  <si>
    <t>Mantenimiento  de la infraestructura institucional o de edificios públicos en el Departamento del Quindío</t>
  </si>
  <si>
    <t>Mantener  la  infraestructura institucional o de edificios públicos, con el propósito de propiciar un excelente servicio al ciudadano y bienestar al servidor público, con infraestructura moderna y amigable.</t>
  </si>
  <si>
    <t>Salones comunales adecuados</t>
  </si>
  <si>
    <t xml:space="preserve">Salón comunal adecuado </t>
  </si>
  <si>
    <t xml:space="preserve">Construcción y/o adecuación de casetas comunales en los diferentes barrios del departamento </t>
  </si>
  <si>
    <t>Realizar construcción y/o adecuación de casetas comunales en los diferentes barrios del departamento, qué permitan generar procesos de participación ciudadana y la implementación de buenas prácticas sociales en comunidad.</t>
  </si>
  <si>
    <t>Secretaría del Interior</t>
  </si>
  <si>
    <t>Servicio de asistencia técnica para la articulación de los operadores de los servicio de justicia</t>
  </si>
  <si>
    <t>Implementación  de acciones con los Entes Municipales, para la reducción de los delitos en el Departamento del Quindío</t>
  </si>
  <si>
    <t>Disminuir los índice delitos  en el departamento del Quindío a través de procesos de asistencia Técnica y articulación  de acciones  con las Administraciones municipales .</t>
  </si>
  <si>
    <t>Promoción de los métodos de resolución de conflictos. "Tú y yo resolvemos los conflictos"</t>
  </si>
  <si>
    <t>Promoción de los métodos de resolución de conflictos</t>
  </si>
  <si>
    <t>Servicio de asistencia técnica para la implementación de los métodos de resolución de conflictos</t>
  </si>
  <si>
    <t>Instituciones públicas y privadas asistidas técnicamente en métodos de resolución de conflictos</t>
  </si>
  <si>
    <t xml:space="preserve">Implementación de  métodos  para la resolución de conflictos y el  fortalecimiento de la seguridad de los ciudadanos en el Departamento del Quindío  </t>
  </si>
  <si>
    <t>Coordinar con los organismos de seguridad métodos  de intervenciones  transformadoras en zonas de miedo e impunidad</t>
  </si>
  <si>
    <t>Sistema penitenciario y carcelario en el marco de los derechos humanos. "Quindío respeta derechos penitenciarios"</t>
  </si>
  <si>
    <t>Sistema penitenciario y carcelario en el marco de los derechos humanos</t>
  </si>
  <si>
    <t>Servicio de resocialización de personas privadas de la libertad</t>
  </si>
  <si>
    <t>Personas privadas de la libertad (PPL) que reciben servicio de resocialización</t>
  </si>
  <si>
    <t xml:space="preserve">Implementación de  acciones de apoyo para  la  resocialización de las personas privadas de la libertad  en las Instituciones Penitenciarias  del Departamento  del Quindío. </t>
  </si>
  <si>
    <t xml:space="preserve"> Disminuir los índices de delitos en el departamento del Quindío, a través de la implementación de  acciones de apoyo para  la  resocialización de las personas privadas de la libertad en las Instituciones  Penitenciarios del departamento del Quindío.</t>
  </si>
  <si>
    <t>Calidad, cobertura y fortalecimiento de la educación inicial, prescolar, básica y media." Tú y yo con educación y de calidad"</t>
  </si>
  <si>
    <t>Cobertura de Instituciones Educativas con Planes Escolares de Gestión del Riesgo de Desastres-PEGERD</t>
  </si>
  <si>
    <t>Servicio de gestión de riesgos y desastres en establecimientos educativos</t>
  </si>
  <si>
    <t>Establecimientos educativos con acciones de gestión del riesgo implementadas</t>
  </si>
  <si>
    <t xml:space="preserve">Implementación  y/o fortalecimiento  de  los planes para la gestión del riesgo y desastres en las Instituciones Educativas Oficiales  del Departamento </t>
  </si>
  <si>
    <t>Aumentar la cobertura de Instituciones Educativas con Planes Escolares de Gestión del Riesgo de Desastres-PEGERD, a través de procesos de acompañamiento  a la  comunidad educativa  en la implementación y fortalecimiento de los mismos.</t>
  </si>
  <si>
    <t xml:space="preserve">Inclusión social y Reconciliación </t>
  </si>
  <si>
    <t>Atención, asistencia y reparación integral a las víctimas. "Tú y yo con reparación integral"</t>
  </si>
  <si>
    <t>Atención, asistencia  y reparación integral a las víctimas</t>
  </si>
  <si>
    <t>Cobertura de la población víctima atendida con procesos de atención, prevención y asistencia humanitaria</t>
  </si>
  <si>
    <t>Servicio de orientación y comunicación a las víctimas</t>
  </si>
  <si>
    <t>Solicitudes tramitadas</t>
  </si>
  <si>
    <t xml:space="preserve">Asistencia técnica, garantías, atención, ayuda humanitaria y promoción de iniciativas de memoria histórica a la población víctima del conflicto armado en el Departamento del Quindío </t>
  </si>
  <si>
    <t>Aumentar la cobertura en los procesos de atención, prevención, asistencia humanitaria,  líneas de emprendimiento,  fortalecimiento a proyectos productivos   y promoción  de iniciativas de la  memoria histórica qué beneficien  la población víctima del conflicto armado del Departamento del Quindío</t>
  </si>
  <si>
    <t>Servicio de ayuda y atención humanitaria</t>
  </si>
  <si>
    <t>Personas víctimas con ayuda humanitaria</t>
  </si>
  <si>
    <t>Servicio de asistencia técnica para la participación de las víctimas</t>
  </si>
  <si>
    <t>Eventos de participación realizados</t>
  </si>
  <si>
    <t>Cobertura de víctimas atendidas con la línea de emprendimiento y fortalecimiento.</t>
  </si>
  <si>
    <t>Servicio de apoyo para la generación de ingresos</t>
  </si>
  <si>
    <t>Hogares con asistencia técnica para la generación de ingresos</t>
  </si>
  <si>
    <t>Cobertura de Personas víctimas del conflicto beneficiadas con medidas de satisfacción (Construcción de memoria, Reparación simbólica y Construcción de lugares de memoria)</t>
  </si>
  <si>
    <t>Servicio de asistencia técnica para la realización de iniciativas de memoria histórica</t>
  </si>
  <si>
    <t>Iniciativas de memoria histórica asistidas técnicamente</t>
  </si>
  <si>
    <t>Inclusión social y productiva para la población en situación de vulnerabilidad. "Tú y yo, población vulnerable incluida"</t>
  </si>
  <si>
    <t xml:space="preserve">Inclusión social y productiva para la población en situación de vulnerabilidad </t>
  </si>
  <si>
    <t>Cobertura de la población excombatiente atendida con procesos de atención y asistencia humanitaria</t>
  </si>
  <si>
    <t>Servicio de atención y asistencia para la población excombatiente del Departamento del Quindío</t>
  </si>
  <si>
    <t>Servicio de gestión de oferta social para la población vulnerable</t>
  </si>
  <si>
    <t>Población excombatiente beneficiada</t>
  </si>
  <si>
    <t>Beneficiarios de la oferta social atendidos</t>
  </si>
  <si>
    <t xml:space="preserve">Asistencia, atención y capacitación  a la población  excombatiente en el  Departamento del Quindío. </t>
  </si>
  <si>
    <t xml:space="preserve"> Aumentar la cobertura de la población excombatiente atendida con procesos de atención y asistencia en el departamento del Quindío. </t>
  </si>
  <si>
    <t>Fortalecimiento de la convivencia y la seguridad ciudadana. "Tú y yo seguros"</t>
  </si>
  <si>
    <t>Fortalecimiento de la convivencia y la seguridad ciudadana</t>
  </si>
  <si>
    <t>Fortalecimiento institucional a organismos de seguridad</t>
  </si>
  <si>
    <t xml:space="preserve">Servicio de apoyo financiero para proyectos de convivencia y seguridad ciudadana </t>
  </si>
  <si>
    <t>Organismos de seguridad fortalecidos</t>
  </si>
  <si>
    <t>Proyectos de convivencia y seguridad ciudadana apoyados financieramente</t>
  </si>
  <si>
    <t xml:space="preserve">Fortalecimiento de los organismos de seguridad del Departamento del Quindío,  para mejorar la convivencia, preservación del orden público y la seguridad ciudadana. </t>
  </si>
  <si>
    <t xml:space="preserve">Disminuir los índices  de delitos en el departamento del Quindío, a través de fortalecimiento de los organismos de seguridad, para el mejoramiento de la   convivencia, preservación del orden público y la seguridad ciudadana. </t>
  </si>
  <si>
    <t>Instancias territoriales asistidas técnicamente</t>
  </si>
  <si>
    <t xml:space="preserve">Fortalecimiento institucional de la entidades municipales para la consolidación de la convivencia, el orden público  y la seguridad ciudadana  en el departamento del Quindío  </t>
  </si>
  <si>
    <t xml:space="preserve"> Disminuir los índices de violencia intrafamiliar   a través de la implementación de acciones y gestiones para impulsar y adoptar políticas y planes qué promuevan la paz, la reconciliación, la legalidad y la convivencia en el territorio.  </t>
  </si>
  <si>
    <t>Cobertura  de municipios del departamento del Quindío  atendidos con estudios y/o construcción de obras para mitigación y atención a desastres realizadas.</t>
  </si>
  <si>
    <t>Documentos de estudios técnicos para el ordenamiento ambiental territorial</t>
  </si>
  <si>
    <t>Documentos de estudios técnicos para el conocimiento y reducción del riesgo de desastres elaborados</t>
  </si>
  <si>
    <t>Fortalecimiento de los procesos de planificación del territorio para el conocimiento  y reducción del riesgo en el Departamento del Quindío.</t>
  </si>
  <si>
    <t>Aumentar la cobertura  de municipios del departamento del Quindío  atendidos con estudios   para mitigación y atención a desastres en la   planificación del  territorio  y priorización  de  acciones de intervención.</t>
  </si>
  <si>
    <t>Prevención y atención de desastres y emergencias. "Tú y yo preparados en gestión del riesgo"</t>
  </si>
  <si>
    <t>Gestión del riesgo de desastres y emergencias</t>
  </si>
  <si>
    <t>Cobertura de   personas capacitadas en Gestión del Riesgo de Desastres  en el Departamento del Quindío, bajo en marco de Ciudades resilientes</t>
  </si>
  <si>
    <t>Servicio de educación informal</t>
  </si>
  <si>
    <t>Personas capacitadas</t>
  </si>
  <si>
    <t>Fortalecimiento de la gestión del Riesgo mediante los procesos de conocimiento, reducción del riesgo y manejo de desastres, en el Departamento del Quindío</t>
  </si>
  <si>
    <t xml:space="preserve">Aumentar cobertura de atención del Sistema Departamental de Gestión del Riesgo de Desastres del Departamento del Quindío,  a través del fortalecimiento  de los procesos de conocimiento, reducción del riesgo y manejo de desastres, con el propósito de contribuir a la seguridad, bienestar y calidad de vida de las personas. </t>
  </si>
  <si>
    <t>Cobertura de atención  del Sistema Departamental de Gestión del Riesgo de Desastres del Quindío.</t>
  </si>
  <si>
    <t>Instancias territoriales asistidas</t>
  </si>
  <si>
    <t>Servicio de atención a emergencias y desastres</t>
  </si>
  <si>
    <t>Servicio de fortalecimiento a las salas de crisis territorial</t>
  </si>
  <si>
    <t>Centro de reserva  para la atención a emergencias y desastres dotado</t>
  </si>
  <si>
    <t>Organismos de atención de emergencias fortalecidos</t>
  </si>
  <si>
    <t>Cobertura de asistencia a los municipios del departamento del Quindío en los procesos de la garantía y prevención de derechos humanos.</t>
  </si>
  <si>
    <t>Servicio de apoyo para la implementación de medidas en derechos humanos y derecho internacional humanitario</t>
  </si>
  <si>
    <t>Medidas implementadas en cumplimiento de las obligaciones internacionales en materia de Derechos Humanos y Derecho Internacional Humanitario</t>
  </si>
  <si>
    <t xml:space="preserve">Implementación del Plan Integral de prevención de vulneraciones de los Derechos Humanos DDHH e infracciones  al Derecho Internacional Humanitario DIH en el Departamento del Quindío </t>
  </si>
  <si>
    <t>Aumentar la cobertura de asistencia a los municipios del departamento del Quindío en los procesos de la garantía y prevención de derechos humanos a través de la actualización, implementación y socialización en Plan Integral para la prevención a la vulneración de los DDHH.</t>
  </si>
  <si>
    <t>Iniciativas para la promoción de la participación ciudadana implementada.</t>
  </si>
  <si>
    <t xml:space="preserve">Fortalecimiento de la participación ciudadana, veedurías y organizaciones comunales para el cumplimiento, protección y restablecimiento de los derechos contemplados en la Constitución Política.    </t>
  </si>
  <si>
    <t xml:space="preserve">Aumentar la participación de ciudadanos en los eventos de elección popular, a través del  fortalecimiento, difusión, promoción y gestión  de la participación ciudadana, en control social, las veedurías, los procesos de elección democrática, organizaciones comunales, libertad religiosa y de cultos. </t>
  </si>
  <si>
    <t>Implementar la Política de Libertad Religiosa</t>
  </si>
  <si>
    <t>Política de Libertad Religiosa Implementado</t>
  </si>
  <si>
    <t>Estrategia de acompañamiento sobre capacidades democráticas y organizativas  implementada</t>
  </si>
  <si>
    <t>Fortalecimiento de los organismos  de acción comunal (OAC)  de los doce municipios del Departamento en lo relacionado a sus procesos formativos, participativos, de organización y  gestión.</t>
  </si>
  <si>
    <t>Municipios con organismos de Acción Comunal fortalecidos.</t>
  </si>
  <si>
    <t xml:space="preserve">Iniciativas organizativas de participación ciudadana promovidas </t>
  </si>
  <si>
    <t xml:space="preserve">Formulación de la  Política Pública Departamental para la  Acción Comunal </t>
  </si>
  <si>
    <t xml:space="preserve">Documentos de planeación </t>
  </si>
  <si>
    <t>Una Política Pública formulada.</t>
  </si>
  <si>
    <t xml:space="preserve">Planes estratégicos elaborados </t>
  </si>
  <si>
    <t>Secretaría de Cultura</t>
  </si>
  <si>
    <t>.Cobertura en formación artística y cultural
.Tasa de consumo de sustancias psicoactivas por 100.000 habitantes en el departamento del Quindío.</t>
  </si>
  <si>
    <t>Servicio de educación informal en áreas artísticas y culturales</t>
  </si>
  <si>
    <t xml:space="preserve">Implementación de la "Ruta de la felicidad y la identidad quindiana", para el fortalecimiento y visibilización de los procesos artísticos y culturales en el Departamento del Quindío  </t>
  </si>
  <si>
    <t>Fortalecer en sector cultural del departamento del Quindío incrementando las   tasas de  participación en formación y actividades  artísticos culturales, a través de la implementación de la " Ruta de  la felicidad e  identidad  quindiana en  los municipios",    con la consiguiente disminución de las tasas de consumo de sustancias psicoactivas.</t>
  </si>
  <si>
    <t>Tasa de participación en procesos y actividades artísticas y culturales.
Tasa de consumo de sustancias psicoactivas por 100.000 habitantes en el departamento del Quindío.</t>
  </si>
  <si>
    <t>Servicio de circulación artística y cultural</t>
  </si>
  <si>
    <t>Producciones artísticas en circulación</t>
  </si>
  <si>
    <t>Formulación e implementación del Plan de Cultura</t>
  </si>
  <si>
    <t xml:space="preserve">Documentos de lineamientos técnicos </t>
  </si>
  <si>
    <t>Plan Decenal de cultura formulado e implementado</t>
  </si>
  <si>
    <t xml:space="preserve">Servicio de información para el sector artístico y cultural </t>
  </si>
  <si>
    <t>Sistema de información del sector artístico cultural en operación</t>
  </si>
  <si>
    <t>Servicio de educación formal al sector artístico y cultural</t>
  </si>
  <si>
    <t>Cupos de educación formal ofertados</t>
  </si>
  <si>
    <t>Tasa de lectura
Tasa de consumo de sustancias psicoactivas por 100.000 habitantes en el departamento del Quindío.</t>
  </si>
  <si>
    <t>Servicios bibliotecarios</t>
  </si>
  <si>
    <t>330108500</t>
  </si>
  <si>
    <t>Usuarios atendidos</t>
  </si>
  <si>
    <t xml:space="preserve">Implementación del programa "Tú y Yo Somos Cultura", para el fortalecimiento a la lectura,  escritura  y bibliotecas en el Departamento del Quindío   </t>
  </si>
  <si>
    <t xml:space="preserve">Incrementar la tasa de lectura  en el departamento del Quindío, a través del fortalecimiento del Plan Departamental de Lectura y Bibliotecas, con procesos de formación, producción y circulación de contenidos literarios con el fin de lograr  mayor acceso de las población a los servicios bibliotecarios físicos y virtuales..    </t>
  </si>
  <si>
    <t>Servicio de divulgación y publicaciones</t>
  </si>
  <si>
    <t>330110000</t>
  </si>
  <si>
    <t>Publicaciones realizadas</t>
  </si>
  <si>
    <t>Servicio de asistencia técnica en gestión artística y cultural</t>
  </si>
  <si>
    <t>330109500</t>
  </si>
  <si>
    <t>Personas asistidas técnicamente</t>
  </si>
  <si>
    <t xml:space="preserve">Apoyo artistas y gestores culturales  del departamento del Quindío con el  beneficio de la Seguridad Social.  </t>
  </si>
  <si>
    <t xml:space="preserve">Aumentar la tasa de participación en procesos y actividades artísticas y culturales de los artistas y gestores del departamento del Quindío con la  implementación de los beneficios de la seguridad Social.  </t>
  </si>
  <si>
    <t>Gestión, protección y salvaguardia del patrimonio cultural colombiano. "Tú y yo protectores del patrimonio cultural"</t>
  </si>
  <si>
    <t>Gestión, protección y salvaguardia del patrimonio cultural colombiano</t>
  </si>
  <si>
    <t>Tasa de cumplimiento al Plan de Biocultura en patrimonio y del PCC.
Tasa de consumo de sustancias psicoactivas por 100.000 habitantes en el departamento del Quindío.</t>
  </si>
  <si>
    <t>Servicio de asistencia técnica en el manejo y gestión del patrimonio arqueológico, antropológico e histórico.</t>
  </si>
  <si>
    <t>330204200</t>
  </si>
  <si>
    <t xml:space="preserve">Asistencias técnicas realizadas a entidades territoriales </t>
  </si>
  <si>
    <t xml:space="preserve">Apoyo al Paisaje, Café y Tradición mediante procesos de manejo, gestión, asistencia técnica, divulgación y publicación del patrimonio, arqueológico, antropológico e histórico en el Departamento del Quindío </t>
  </si>
  <si>
    <t>Aumentar la tasa de cumplimiento del  Plan de Biocultura en patrimonio y PCC,   a través de la implementación del programa de asistencia técnica en el manejo y gestión del patrimonio arqueológico, antropológico e histórico, qué permita  la apropiación, divulgación y publicación del Patrimonio cultural y del Paisaje Cultural Cafetero</t>
  </si>
  <si>
    <t>Servicio de divulgación y publicación del Patrimonio cultural</t>
  </si>
  <si>
    <t>330207000</t>
  </si>
  <si>
    <t>Secretaría de Turismo Industria y Comercio</t>
  </si>
  <si>
    <t>Comercio, Industria y Turismo</t>
  </si>
  <si>
    <t xml:space="preserve">Productividad y competitividad de las empresas "Tú y yo con empresas competitivas" </t>
  </si>
  <si>
    <t xml:space="preserve">Productividad y competitividad de las empresas colombianas </t>
  </si>
  <si>
    <t>Índice Departamental de Competitividad
Tasa de desempleo</t>
  </si>
  <si>
    <t>Servicio de apoyo y consolidación de las Comisiones Regionales de Competitividad - CRC</t>
  </si>
  <si>
    <t>350200600</t>
  </si>
  <si>
    <t xml:space="preserve">Planes de trabajo concertados con las CRC para su consolidación </t>
  </si>
  <si>
    <t xml:space="preserve">Fortalecimiento de la competitividad y productividad en el  departamento del Quindío </t>
  </si>
  <si>
    <t>Incrementar en índice de competitividad en el Departamento del Quindío, a través  de la consolidación de la Comisión Regional de Competitividad e Innovación y en apoyo a  las iniciativas clúster,  vinculando en sector público,  privado y la academia.</t>
  </si>
  <si>
    <t>Servicio de asistencia técnica para el desarrollo de iniciativas Clústeres</t>
  </si>
  <si>
    <t>350200700</t>
  </si>
  <si>
    <t>Clústeres asistidos en la implementación de los planes de acción</t>
  </si>
  <si>
    <t>Servicio de asistencia técnica a las MiPymes para el acceso a nuevos mercados</t>
  </si>
  <si>
    <t>350202200</t>
  </si>
  <si>
    <t>Empresas asistidas técnicamente</t>
  </si>
  <si>
    <t>Fortalecimiento del sector empresarial  para el acceso a nuevos mercados en el departamento del Quindío</t>
  </si>
  <si>
    <t>Incrementar en índice de competitividad en el Departamento del Quindío,  a través de fortalecimiento del sector empresarial,  con el propósito de incrementar la competitividad para  en  acceso a nuevos mercados locales e internacionales.</t>
  </si>
  <si>
    <t>Índice Departamental de Competitividad Turística
Tasa de desempleo</t>
  </si>
  <si>
    <t>Servicio de asistencia técnica a los entes territoriales para el desarrollo turístico</t>
  </si>
  <si>
    <t>350203900</t>
  </si>
  <si>
    <t>Mejoramiento de la competitividad del  departamento como destino turístico  sostenible y de calidad .</t>
  </si>
  <si>
    <t>Incrementar en índice de competitividad   turística en el Departamento del Quindío, a  través de la Formulación e implementación  del Plan Estratégico de Turismo, de procesos de asistencia técnica y apoyo a los municipios  en la certificación  de las  normas técnicas sectoriales de turismo,  con el propósito de ofrecer  un destino turístico sostenible,  competitivo y de calidad a nivel nacional e internacional.</t>
  </si>
  <si>
    <t>Proyectos de infraestructura turística apoyados</t>
  </si>
  <si>
    <t>Servicio de promoción turística</t>
  </si>
  <si>
    <t>350204600</t>
  </si>
  <si>
    <t>Campañas realizadas</t>
  </si>
  <si>
    <t xml:space="preserve">Fortalecimiento de la promoción turística del destino Quindío a nivel  nacional e internacional </t>
  </si>
  <si>
    <t>Incrementar en índice de competitividad   turística,  a través de la promoción del departamento como destino turístico y en  fortalecimiento de las  Agencias de Inversión   con la articulación de  instituciones,  gremios y demás actores del sector.</t>
  </si>
  <si>
    <t>Trabajo</t>
  </si>
  <si>
    <t>Generación y formalización del empleo. "Tú y yo con empleo de calidad"</t>
  </si>
  <si>
    <t>Generación y formalización del empleo</t>
  </si>
  <si>
    <t>Servicios de apoyo financiero para la creación de empresas</t>
  </si>
  <si>
    <t>360201800</t>
  </si>
  <si>
    <t>Planes de negocio financiados</t>
  </si>
  <si>
    <t>Apoyo a la generación y formalización del empleo en el departamento del Quindío</t>
  </si>
  <si>
    <t>Incrementar en índice de competitividad  en el departamento del Quindío a través de la  formalización laboral y  generación de empleo con la  implementación  y promoción  del Ecosistemas de Emprendimientos  y la articulación con las entidades del sector trabajo.</t>
  </si>
  <si>
    <t>Servicio de asesoría técnica para el emprendimiento.</t>
  </si>
  <si>
    <t>360203201</t>
  </si>
  <si>
    <t>Emprendimientos fortalecidos</t>
  </si>
  <si>
    <t>Servicio de asistencia técnica para la generación y formalización del empleo</t>
  </si>
  <si>
    <t>360202904</t>
  </si>
  <si>
    <t>Talleres de oferta institucional realizados</t>
  </si>
  <si>
    <t>Servicio de información y monitoreo del mercado de trabajo</t>
  </si>
  <si>
    <t>360203000</t>
  </si>
  <si>
    <t>Reportes realizados</t>
  </si>
  <si>
    <t>Secretaría de Agricultura Desarrollo Rural y Medio Ambiente</t>
  </si>
  <si>
    <t>Inclusión productiva de pequeños productores rurales. "Tú y yo con oportunidades para el pequeño campesino"</t>
  </si>
  <si>
    <t>Inclusión productiva de pequeños productores rurales</t>
  </si>
  <si>
    <t>Servicio de asesoría para el fortalecimiento de la asociatividad</t>
  </si>
  <si>
    <t>170201100</t>
  </si>
  <si>
    <t>Asociaciones fortalecidas</t>
  </si>
  <si>
    <t xml:space="preserve">Fortalecimiento e implementación de procesos de asociatividad y emprendimiento rural en el Departamento del Quindío.  </t>
  </si>
  <si>
    <t>Aumentar en crecimiento económico del sector agropecuario (PIB), a través del  fortalecimiento de las organizaciones de  productores, mediante acciones de capacitación, acompañamiento, asesoría y seguimiento,  para el fomento de la cultura de la asociatividad.</t>
  </si>
  <si>
    <t>Servicio de apoyo financiero para proyectos productivos</t>
  </si>
  <si>
    <t>170200700</t>
  </si>
  <si>
    <t>Proyectos productivos cofinanciados</t>
  </si>
  <si>
    <t>Servicio de apoyo financiero para el acceso a activos productivos y de comercialización</t>
  </si>
  <si>
    <t>170200900</t>
  </si>
  <si>
    <t>Productores apoyados con activos productivos y de comercialización</t>
  </si>
  <si>
    <t>Servicio de apoyo para el fomento organizativo de la agricultura campesina, familiar y comunitaria</t>
  </si>
  <si>
    <t>170201700</t>
  </si>
  <si>
    <t>Productores agropecuarios apoyados</t>
  </si>
  <si>
    <t xml:space="preserve">Implementación de procesos productivos agropecuarios familiares campesinos en busca de la soberanía y seguridad alimentaria en el Departamento del Quindío </t>
  </si>
  <si>
    <t>Aumentar en crecimiento económico del sector agropecuario (PIB), a través  del  acompañamiento técnico a los productores en la producción primaria ( Transferencia  de  Tecnología, financiación, Insumos, reconversión productiva, seguridad,  soberanía alimentaria, normalización de la  calidad  de  los  productos e  infraestructura  productiva  y  de  servicios),  con el propósito de consolidar en liderazgo  empresarial, la  asociatividad,  las  alianzas  estratégicas,  las  cadenas productivas y la cooperación  técnica.</t>
  </si>
  <si>
    <t>Servicio de apoyo para el acceso a maquinaria y equipos</t>
  </si>
  <si>
    <t>170201400</t>
  </si>
  <si>
    <t>Productores beneficiados con acceso a maquinaria y equipo</t>
  </si>
  <si>
    <t>Servicio de acompañamiento productivo y empresarial</t>
  </si>
  <si>
    <t>170202100</t>
  </si>
  <si>
    <t>Unidades productivas beneficiadas</t>
  </si>
  <si>
    <t>Servicio de apoyo a la comercialización</t>
  </si>
  <si>
    <t>170203800</t>
  </si>
  <si>
    <t>Organizaciones de productores formales apoyadas</t>
  </si>
  <si>
    <t xml:space="preserve">Fortalecimiento e implementación  de procesos de mercadeo y comercialización agropecuaria  en el Departamento del Quindío.                </t>
  </si>
  <si>
    <t>Aumentar en crecimiento económico del sector agropecuario (PIB), a través de la Formulación  e implementación de  programas y proyectos  integrales sostenibles,  mejoramiento de la  gestión de la calidad,   desarrollo de nuevos productos, inteligencia de mercados, estrategias de mercadeo y comercialización, sistemas de información, infraestructura y equipamiento.</t>
  </si>
  <si>
    <t>170203801</t>
  </si>
  <si>
    <t>Productores apoyados para la participación en mercados campesinos</t>
  </si>
  <si>
    <t>170202301</t>
  </si>
  <si>
    <t>Planes de Desarrollo Agropecuario y Rural elaborados</t>
  </si>
  <si>
    <t>Implementación de procesos de extensión agropecuaria e inocuidad (estatus sanitario, BPA, BPG) alimentaria; en el Departamento del Quindío</t>
  </si>
  <si>
    <t>Aumentar en crecimiento económico del sector agropecuario (PIB),  a través del desarrollo de  lineamientos para el fortalecimiento de habilidades, competencias técnicas, humanas,  financieras y estratégicas de los productores, para fortalecer la competitividad y sostenibilidad territorial del sector agropecuario.</t>
  </si>
  <si>
    <t>Servicios de acompañamiento en la implementación de planes de desarrollo agropecuario y rural</t>
  </si>
  <si>
    <t>170202400</t>
  </si>
  <si>
    <t>Planes de Desarrollo Agropecuario y Rural acompañados</t>
  </si>
  <si>
    <t>Servicio de apoyo en la formulación y estructuración de proyectos</t>
  </si>
  <si>
    <t>170202500</t>
  </si>
  <si>
    <t>Proyectos estructurados</t>
  </si>
  <si>
    <t xml:space="preserve">Servicio de apoyo en la formulación y estructuración de proyectos de Desarrollo Rural e inclusión productiva  campesina en el Departamento del Quindío  </t>
  </si>
  <si>
    <t>Aumentar en crecimiento económico del sector agropecuario (PIB),  a través de la Formulación  e implementación de  programas y proyectos qué permitan  en ajuste, fortalecimiento  y la  articulación  interinstitucional  pública, privada y académica, en cuanto a la  operativización de las competencias de investigación, educación,  extensión  y  asistencia  técnica  agropecuaria sostenible.</t>
  </si>
  <si>
    <t>Servicios financieros y gestión del riesgo para las actividades agropecuarias y rurales. "Tú y yo con un campo protegido"</t>
  </si>
  <si>
    <t>Servicios financieros y gestión del riesgo para las actividades agropecuarias y rurales</t>
  </si>
  <si>
    <t>Servicio de apoyo a la implementación de mecanismos y herramientas para el conocimiento, reducción y manejo de riesgos agropecuarios</t>
  </si>
  <si>
    <t>170301300</t>
  </si>
  <si>
    <t>Personas beneficiadas</t>
  </si>
  <si>
    <t xml:space="preserve">Apoyo a la Implementación de procesos para la prevención y mitigación de riesgos naturales del sector agropecuario en el Departamento del Quindío.  </t>
  </si>
  <si>
    <t>Aumentar en crecimiento económico del sector agropecuario (PIB), a través  del acompañamiento técnico, económico a los productores en la prevención y mitigación de riesgos naturales , gestionando en desarrollo y fortalecimiento de capacidades y habilidades técnicas, mediante transferencia de innovaciones tecnológicas y provisión de bienes y servicios.</t>
  </si>
  <si>
    <t>Ordenamiento social y uso productivo del territorio rural. "Tú y yo con un campo planificado"</t>
  </si>
  <si>
    <t>Ordenamiento social y uso productivo del territorio rural</t>
  </si>
  <si>
    <t>170400203</t>
  </si>
  <si>
    <t>Documentos de lineamientos para el ordenamiento social y productivo elaborados</t>
  </si>
  <si>
    <t>Implementación de procesos de ordenamiento productivo y social territorial en el Departamento del Quindío</t>
  </si>
  <si>
    <t>Aumentar en crecimiento económico del sector agropecuario (PIB), a través de la formulación  e implementación  de programas y proyectos agropecuarios, sostenibles, de reconversión productiva, para ajustar en uso de la tierra acorde con su aptitud, aunando esfuerzos para mejorar la formalización de la propiedad rural, siguiendo los lineamientos del Plan de Ordenamiento Productivo y Social de la Propiedad Rural (POPSPR).</t>
  </si>
  <si>
    <t>Servicio de apoyo para el fomento de la formalidad</t>
  </si>
  <si>
    <t>170401700</t>
  </si>
  <si>
    <t xml:space="preserve">Personas sensibilizadas en la formalización </t>
  </si>
  <si>
    <t>Aprovechamiento de mercados externos. "Tú y yo a los mercados internacionales"</t>
  </si>
  <si>
    <t>Aprovechamiento de mercados externos</t>
  </si>
  <si>
    <t>Servicio de apoyo financiero para la participación en ferias nacionales e internacionales</t>
  </si>
  <si>
    <t>170600400</t>
  </si>
  <si>
    <t>Participaciones en ferias nacionales e internacionales</t>
  </si>
  <si>
    <t xml:space="preserve"> Fortalecimiento de eventos y  ferias para la competitividad productiva y empresarial del sector rural en el Departamento del Quindío </t>
  </si>
  <si>
    <t xml:space="preserve"> Aumentar en crecimiento económico del sector agropecuario (PIB),  a través del comercio interior  y exterior, inteligencia de mercados,  sistemas de información, acompañamiento  y  financiación  en mercadeo y  comercialización.</t>
  </si>
  <si>
    <t>Sanidad agropecuaria e inocuidad agroalimentaria. "Tú y yo con un agro saludable"</t>
  </si>
  <si>
    <t xml:space="preserve">Sanidad agropecuaria e inocuidad agroalimentaria </t>
  </si>
  <si>
    <t>Servicio de divulgación y socialización</t>
  </si>
  <si>
    <t>170706900</t>
  </si>
  <si>
    <t>Eventos realizados</t>
  </si>
  <si>
    <t xml:space="preserve">Implementación de procesos de  sanidad e inocuidad alimentaria en el departamento del Quindío. </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</si>
  <si>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t>
  </si>
  <si>
    <t>Ciencia, tecnología e innovación agropecuaria. "Tú y yo con un agro interconectado"</t>
  </si>
  <si>
    <t>Ciencia, tecnología e innovación agropecuaria</t>
  </si>
  <si>
    <t>170801600</t>
  </si>
  <si>
    <t>Documentos de lineamientos técnicos elaborados</t>
  </si>
  <si>
    <t xml:space="preserve"> Implementación de procesos de innovación, ciencia y tecnología agropecuario en el Departamento del Quindío  </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</si>
  <si>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 mediante la implementación de  sistemas de información y  metodologías del SNCCTI y SNIA, en el marco de la adopción e implementación de las Agendas de Competitividad, PEDCTI,  PECTIA, POPSPR y PDEA, entre otras.</t>
  </si>
  <si>
    <t>Servicio de información actualizado</t>
  </si>
  <si>
    <t>170805100</t>
  </si>
  <si>
    <t>Sistemas de información actualizados</t>
  </si>
  <si>
    <t>Centros logísticos agropecuarios adecuados</t>
  </si>
  <si>
    <t xml:space="preserve">Implementación de procesos de agro industrialización con calidad e inocuidad en el Departamento del Quindío </t>
  </si>
  <si>
    <t xml:space="preserve"> Aumentar en crecimiento económico del sector agropecuario (PIB), a través del   fortalecimiento  y la  articulación  interinstitucional  pública, privada y académica, en cuanto a la  operativización de las competencias de investigación, educación,  extensión  y  asistencia  técnica agroindustrial, así  como  en  fomento  al  crédito, a la  infraestructura  productiva y en mejoramiento  continuo   de  la  calidad  de  vida  de  los  empresarios rurales.</t>
  </si>
  <si>
    <t>Infraestructura de pos cosecha adecuada</t>
  </si>
  <si>
    <t>170903400</t>
  </si>
  <si>
    <t>Servicio de procesamiento de caña panelera</t>
  </si>
  <si>
    <t>170909300</t>
  </si>
  <si>
    <t>Trapiches paneleros con servicio de procesamiento de caña.</t>
  </si>
  <si>
    <t>Crecimiento económico del sector agropecuario (PIB)
Tasa desempleo</t>
  </si>
  <si>
    <t>Servicio de asistencia técnica para emprendedores y/o empresas en edad temprana</t>
  </si>
  <si>
    <t>350201701</t>
  </si>
  <si>
    <t xml:space="preserve">Necesidades empresariales atendidas a partir de emprendimientos </t>
  </si>
  <si>
    <t xml:space="preserve">Fortalecimiento  de nuevos emprendimientos e iniciativas clúster de las cadenas promisorias agropecuarias en el Departamento del Quindío.                     </t>
  </si>
  <si>
    <t xml:space="preserve"> Aumentar en crecimiento económico del sector agropecuario (PIB),  a través de acciones de capacitación, acompañamiento, asesoría, y seguimiento en competencias administrativas, organizacionales, mercados, extensión, planes de negocio y coordinación interinstitucional para el fomento de la cultura de asociatividad mediante alianzas Clúster</t>
  </si>
  <si>
    <t>Servicio de asistencia técnica para el desarrollo de iniciativas clústeres</t>
  </si>
  <si>
    <t>3201</t>
  </si>
  <si>
    <t>Fortalecimiento del desempeño ambiental de los sectores productivos. "Tú y yo guardianes de la biodiversidad.</t>
  </si>
  <si>
    <t>Fortalecimiento del desempeño ambiental de los sectores productivos</t>
  </si>
  <si>
    <t>Documentos de lineamientos técnicos para mejorar la calidad ambiental de las áreas urbanas</t>
  </si>
  <si>
    <t>320101300</t>
  </si>
  <si>
    <t>Documentos de lineamientos técnicos para  mejorar la calidad ambiental de las áreas urbanas elaborados</t>
  </si>
  <si>
    <t xml:space="preserve">Fortalecimiento  de los procesos de Gestión Ambiental Urbana y Rural para la protección del Paisaje y la Biodiversidad en el  departamento del   Quindío  </t>
  </si>
  <si>
    <t>Incrementar en porcentaje de ecosistemas protegidos y/o en procesos de restauración en el Departamento, a través del apoyo a los entes territoriales en la generación de lineamientos técnicos qué permitan mejorar la gestión y manejo de los relictos boscosos, los humedales y la silvicultura en áreas urbanas mejorando la calidad ambiental del Departamento. Además,   de la realización de campañas de monitoreo de calidad del aire .</t>
  </si>
  <si>
    <t>Servicio de vigilancia de la calidad del aire</t>
  </si>
  <si>
    <t>320100805</t>
  </si>
  <si>
    <t>Campaña de monitoreo de calidad del aire realizadas</t>
  </si>
  <si>
    <t>Conservación de la biodiversidad y sus servicios ecosistémicos. "Tú y yo en territorios biodiversos"</t>
  </si>
  <si>
    <t>Conservación de la biodiversidad y sus servicios ecosistémicos</t>
  </si>
  <si>
    <t>Servicio de recuperación de cuerpos de agua lénticos y lóticos</t>
  </si>
  <si>
    <t>320203704</t>
  </si>
  <si>
    <t>Bosque ripario recuperado</t>
  </si>
  <si>
    <t xml:space="preserve">Generación y desarrollo de acciones para la conservación de las áreas de importancia estratégica hídrica en el Departamento del Quindío </t>
  </si>
  <si>
    <t xml:space="preserve">Incrementar en porcentaje de ecosistemas protegidos y/o en procesos de restauración en el Departamento, a través de la  Adquisición y Mantenimiento de áreas estratégicas  de protección, en cumplimiento de las disposiciones de la Ley 99 de 1993, los instrumentos de Planeación Ambiental (POMCA del Río La Vieja) ;   promoción y recuperación de los cuerpos hídricos  mediante en enriquecimiento de especies nativas en los bosques riparios y la  promoción y desarrollo de esquemas de pago por servicios ambientales qué incentiven  la preservación de áreas de importancia estratégica para la conservación del recurso hídrico en el departamento. </t>
  </si>
  <si>
    <t>Adquisición, mantenimiento y administración de áreas de importancia estratégica para la conservación y regulación del recurso hídrico.</t>
  </si>
  <si>
    <t xml:space="preserve">Número de Hectáreas intervenidas </t>
  </si>
  <si>
    <t>Extensión de cuerpos de agua recuperados</t>
  </si>
  <si>
    <t>Servicio apoyo financiero para la implementación de esquemas de pago por servicios ambientales</t>
  </si>
  <si>
    <t>Servicio apoyo financiero para la implementación de esquemas de pago por Servicios ambientales</t>
  </si>
  <si>
    <t>320201700</t>
  </si>
  <si>
    <t xml:space="preserve">Esquemas de pago por Servicio ambientales implementados </t>
  </si>
  <si>
    <t xml:space="preserve">Áreas con esquemas de pago por Servicios Ambientales implementados </t>
  </si>
  <si>
    <t xml:space="preserve">Estrategia  departamental para la protección y bienestar de los animales domésticos y silvestres del Departamento </t>
  </si>
  <si>
    <t>Servicio de educación informal en el marco de la conservación de la biodiversidad y los Servicio ecosistémicos</t>
  </si>
  <si>
    <t>Estrategia  para la protección y bienestar de los animales domésticos y silvestres adoptada</t>
  </si>
  <si>
    <t>Talleres realizados</t>
  </si>
  <si>
    <t xml:space="preserve">Apoyo a la generación de entornos  amigables para los animales  domésticos y silvestres en el departamento del Quindío </t>
  </si>
  <si>
    <t>Incrementar en porcentaje de ecosistemas protegidos y/o en procesos de restauración en el Departamento, a través de la implementación de  la estrategia “Quindío libre de maltrato animal”, en asocio con los diferentes sectores e instituciones del departamento, para  la protección de la fauna silvestre y doméstica,  qué generen en la  comunidad   concientización de la  tenencia responsable de mascotas y un departamento sin tráfico de fauna.</t>
  </si>
  <si>
    <t>Realizar  campaña  de sensibilización y apropiación del patrimonio ambiental en el Departamento</t>
  </si>
  <si>
    <t>Campaña  de sensibilización y apropiación del patrimonio ambiental realizada</t>
  </si>
  <si>
    <t xml:space="preserve">Realización de campañas de sensibilización y apropiación del patrimonio ambiental  del paisaje, la biodiversidad y sus servicios ecosistémicos en el Departamento del Quindío </t>
  </si>
  <si>
    <t>Incrementar en porcentaje de ecosistemas protegidos y/o en procesos de restauración en el Departamento,  a través de la realización de  campañas educativas ambientales qué permitan la apropiación y sensibilización del patrimonio ambiental y en Paisaje Cultural Cafetero,    en  los sectores institucionales, educativos y sociales, articulados con el Comité Interinstitucional de Educación Ambiental CIDEA y los Proyectos Educativos Ambientales PRAES.</t>
  </si>
  <si>
    <t>3204</t>
  </si>
  <si>
    <t>Gestión de la información y en conocimiento ambiental. "Tú y yo conscientes con la naturaleza"</t>
  </si>
  <si>
    <t xml:space="preserve">Gestión de la información y el conocimiento ambiental </t>
  </si>
  <si>
    <t>Servicio de apoyo financiero a emprendimientos</t>
  </si>
  <si>
    <t>320401200</t>
  </si>
  <si>
    <t xml:space="preserve">Emprendimientos apoyados </t>
  </si>
  <si>
    <t xml:space="preserve">Apoyo a nuevos modelos de vida sostenibles, sustentables y eficientes en el suelo rural y urbano en el Departamento del Quindío  </t>
  </si>
  <si>
    <t xml:space="preserve"> Incrementar en porcentaje de ecosistemas protegidos y/o en procesos de restauración en el Departamento, a través del apoyo a iniciativas de emprendimientos verdes qué incorporen conceptos de eficiencia ambiental como economía circular, carbono neutral, agricultura regenerativa  entre otros.</t>
  </si>
  <si>
    <t>3205009</t>
  </si>
  <si>
    <t>Barreras rompe vientos recuperadas</t>
  </si>
  <si>
    <t>320500900</t>
  </si>
  <si>
    <t>Barreras rompe vientos</t>
  </si>
  <si>
    <t>Implementación de un programa  de protección del  patrimonio ambiental  en paisaje la biodiversidad y sus servicios ecosistémicos en el Departamento de  Quindio</t>
  </si>
  <si>
    <t xml:space="preserve">Aumentar en porcentaje de ecosistemas protegidos y/o en procesos de restauración en el Departamento, a través de la implementación de  estrategias que permitan en desarrollo de acciones de adaptación y mitigación de los efectos del cambio climático con la  intervención de obras  de estabilización de taludes, control erosión  y barreras rompe vientos. </t>
  </si>
  <si>
    <t>3205014</t>
  </si>
  <si>
    <t>Obras para el control de erosión</t>
  </si>
  <si>
    <t>320501400</t>
  </si>
  <si>
    <t xml:space="preserve">Área reforestada </t>
  </si>
  <si>
    <t>3206</t>
  </si>
  <si>
    <t>Gestión del cambio climático para un desarrollo bajo en carbono y resiliente al clima. "Tú y yo preparados para el cambio climático"</t>
  </si>
  <si>
    <t>Gestión del cambio climático para un desarrollo bajo en carbono y resiliente al clima</t>
  </si>
  <si>
    <t>3206005</t>
  </si>
  <si>
    <t>Servicio de divulgación de la información en gestión del cambio climático para un desarrollo bajo en carbono y resiliente al clima</t>
  </si>
  <si>
    <t>320600500</t>
  </si>
  <si>
    <t xml:space="preserve">Campañas de información en gestión de cambio climático realizadas </t>
  </si>
  <si>
    <t>Implementación  de acciones de Gestión del Cambio Climático en el marco del PIGCC en el Departamento del Quindío  Quindio</t>
  </si>
  <si>
    <t xml:space="preserve">Aumentar en porcentaje de ecosistemas protegidos y/o en procesos de restauración en el Departamento,  a través   de  la realización de campañas educativas ambientales,  Servicios de producción de Plántulas  en viveros  e instalación de estufas ecoeficientes,   qué permitan la protección de patrimonio ambiental,  en paisaje, la biodiversidad y sus servicios ecosistémicos. </t>
  </si>
  <si>
    <t>Servicio de producción de plántulas en viveros</t>
  </si>
  <si>
    <t>320601400</t>
  </si>
  <si>
    <t>Plántulas producidas</t>
  </si>
  <si>
    <t>3206015</t>
  </si>
  <si>
    <t>Estufas ecoeficientes</t>
  </si>
  <si>
    <t>320601500</t>
  </si>
  <si>
    <t>Estufas ecoeficientes instaladas y en operación</t>
  </si>
  <si>
    <t>Desarrollo de  la Política  de Transparencia, Acceso a la Información Pública y Lucha Contra la Corrupción del Modelo Integrado de Planificación y Gestión MIPG, articulada con el "Pacto por la Integridad , Transparencia y Legalidad" del Gobierno Nacional</t>
  </si>
  <si>
    <t xml:space="preserve">Política de Transparencia, Acceso a la Información Pública y Lucha Contra la Corrupción  articulada   con el "Pacto por la Integridad , Transparencia y Legalidad" del Gobierno Nacional desarrollada.                                                                                   </t>
  </si>
  <si>
    <t>Herramientas implementada</t>
  </si>
  <si>
    <t>Implementación de la Política de Transparencia, Acceso a la Información Pública y Lucha Contra la Corrupción del Modelo Integrado de Planificación y Gestión MIPG, articulada con el "Pacto por la Integridad, Transparencia y Legalidad"  en el Departamento del Quindío</t>
  </si>
  <si>
    <t>Aumentar Índice de Gestión del Modelo Integrado de Planeación y de Gestión MIPG  del Departamento del Quindío, a través de desarrollo de la Política de Transparencia, Acceso a la Información Pública y Lucha Contra la Corrupción del Modelo Integrado de Planificación y Gestión MIPG, articulada con el "Pacto por la Integridad, Transparencia y Legalidad" del Gobierno Nacional, basado en la generación de cambios culturales en la institucionalidad y la ciudadanía.</t>
  </si>
  <si>
    <t>Desarrollo e implementación de la estrategia de comunicaciones para la Administración Departamental</t>
  </si>
  <si>
    <t>Estrategia de comunicaciones desarrollada e implementada</t>
  </si>
  <si>
    <t>Desarrollo e implementación de  una estrategia  de comunicaciones  de la gestión institucional  de la Administración Departamental del Quindío "Hacia un  gobierno abierto".</t>
  </si>
  <si>
    <t>Aumentar Índice de Gestión del Modelo Integrado de Planeación y de Gestión MIPG  del Departamento del Quindío, a través del desarrollo e implementación de la estrategia de comunicaciones para la administración departamental,  conducente a la divulgación de la  oferta institucional a nivel departamental, nacional e internacional, con el propósito de acercar a la comunidad y en Estado, incrementado de esta forma, la participación de los diferentes actores de la gestión territorial.</t>
  </si>
  <si>
    <t xml:space="preserve">Encuentros ciudadanos en el Departamento del Quindío en aplicación de la Política de Transparencia, Acceso a la Información Pública y Lucha contra la Corrupción.  </t>
  </si>
  <si>
    <t>Encuentros  ciudadanos realizados.</t>
  </si>
  <si>
    <t>Fortalecimiento de  las capacidades institucionales de la administración departamental del Quindío, para generar condiciones de gobernanza territorial, participación, administración eficiente y transparente.</t>
  </si>
  <si>
    <t xml:space="preserve">Incrementar en porcentaje promedio  de participación de ciudadanos en los eventos de elección popular,  a través de la realización de  encuentros ciudadanos como un mecanismo de gobernabilidad para identificar los problemas y necesidades más sentidas de la comunidad, enmarcado en la generación de soluciones adecuadas, a través de la ejecución de proyectos qué propicien en desarrollo territorial participativo e incluyente </t>
  </si>
  <si>
    <t>Secretaría de Educación</t>
  </si>
  <si>
    <t>Tasa de cobertura bruta en educación básica
Tasa de cobertura en educación media
Tasa de Analfabetismo
Tasa de deserción escolar intra-anual
Tasa de repitencia</t>
  </si>
  <si>
    <t>Servicio educación formal por modelos educativos flexibles</t>
  </si>
  <si>
    <t>Beneficiarios atendidos con modelos educativos flexibles</t>
  </si>
  <si>
    <t>Fortalecimiento de Estrategias de Acceso, Bienestar y Permanencia en el Sector Educativo del Departamento del Quindío</t>
  </si>
  <si>
    <t>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t>
  </si>
  <si>
    <t>Tasa de deserción escolar intra -anual</t>
  </si>
  <si>
    <t>Servicio de fomento para la permanencia en programas de educación formal</t>
  </si>
  <si>
    <t>Personas beneficiarias de estrategias de permanencia</t>
  </si>
  <si>
    <t xml:space="preserve">Tasa de Analfabetismo </t>
  </si>
  <si>
    <t>Servicio de alfabetización</t>
  </si>
  <si>
    <t xml:space="preserve">Personas beneficiarias con modelos de alfabetización </t>
  </si>
  <si>
    <t xml:space="preserve">Tasa de cobertura bruta en educación básica
Tasa de cobertura en educación media
</t>
  </si>
  <si>
    <t>Servicio de apoyo para la implementación de la estrategia educativa del sistema de responsabilidad penal para adolescentes</t>
  </si>
  <si>
    <t>Entidades Territoriales certificadas con asistencia técnica para el fortalecimiento de la estrategia educativa del sistema de responsabilidad penal para adolescentes</t>
  </si>
  <si>
    <t>Tasa de cobertura bruta en transición
Tasa de cobertura bruta en educación básica
Tasa de cobertura en educación media
Tasa de deserción escolar intra-anual
Tasa de repitencia</t>
  </si>
  <si>
    <t>Servicio de apoyo para el fortalecimiento de escuelas de padres</t>
  </si>
  <si>
    <t>Escuelas de padres apoyadas</t>
  </si>
  <si>
    <t>Servicio de apoyo a la permanencia con alimentación escolar</t>
  </si>
  <si>
    <t>Beneficiarios de la alimentación escolar</t>
  </si>
  <si>
    <t>Servicio de apoyo a la permanencia con transporte escolar</t>
  </si>
  <si>
    <t>Beneficiarios de transporte escolar</t>
  </si>
  <si>
    <t>Infraestructura de Instituciones Educativas con procesos constructivos, mejorados, ampliados, mantenidos, y/o reforzados.</t>
  </si>
  <si>
    <t xml:space="preserve">Sedes mantenidas </t>
  </si>
  <si>
    <t xml:space="preserve">Tasa de cobertura bruta en transición
Tasa de cobertura bruta en educación básica
Tasa de cobertura en educación media 
Tasa de deserción escolar intra-anual </t>
  </si>
  <si>
    <t>Estudios de preinversión</t>
  </si>
  <si>
    <t>Estudios o diseños realizados</t>
  </si>
  <si>
    <t>Infraestructura educativa dotada</t>
  </si>
  <si>
    <t>Sedes dotadas</t>
  </si>
  <si>
    <t>Cobertura en asistencia técnica a la educación inicial (0 a 4 años)</t>
  </si>
  <si>
    <t>Servicio de información para la gestión de la educación inicial y preescolar en condiciones de calidad</t>
  </si>
  <si>
    <t xml:space="preserve">Entidades territoriales que hacen seguimiento a las condiciones de calidad de los prestadores de educación inicial o preescolar a través del Sistema de Información de Primera Infancia -SIPI- </t>
  </si>
  <si>
    <t>Fortalecimiento para la gestión de la educación inicial y preescolar en el marco de la atención integral a la primera infancia en el Departamento del Quindío.</t>
  </si>
  <si>
    <t>Aumentar las coberturas de asistencia técnica en educación inicial y transición en el departamento del Quindío, a través de estrategias de mejoramiento de la calidad de la educación inicial en el nivel de preescolar en los Establecimientos Educativos Oficiales del departamento con la  apropiación de  políticas  y  lineamientos pedagógicos expedidos por el Ministerio de Educación Nacional.</t>
  </si>
  <si>
    <t>Tasa de cobertura bruta en transición</t>
  </si>
  <si>
    <t>Servicio de atención integral para la primera infancia</t>
  </si>
  <si>
    <t>Instituciones educativas oficiales que implementan en nivel preescolar en el marco de la atención integral</t>
  </si>
  <si>
    <t>Porcentaje de pruebas SABER 5 Lenguaje (nivel Insuficiente) 
Porcentaje de pruebas SABER 5 Matemáticas (nivel Insuficiente) 
Porcentaje de pruebas SABER 9 Lenguaje (nivel Insuficiente)  
Porcentaje de pruebas SABER 9 Matemáticas (nivel Insuficiente) 
Porcentaje de Colegios pruebas SABER 11 con resultado A+ - A</t>
  </si>
  <si>
    <t>Servicio de evaluación de la calidad de la educación preescolar, básica o media.</t>
  </si>
  <si>
    <t>Estudiantes evaluados con pruebas de calidad educativa</t>
  </si>
  <si>
    <t>Fortalecimiento de la Calidad Educativa con inclusión y equidad para el Desarrollo Integral de niños, niñas, adolescentes y jóvenes en el Departamento del Quindío.</t>
  </si>
  <si>
    <t>Aumentar las tasas  de coberturas  brutas y de  pruebas  saber 5, 9 y 11  y disminución  de los índices de analfabetismo, deserción, repitencia  en la  educación inicial y transición,    a través del fortalecimiento de la calidad educativa con inclusión y equidad,  generando  estrategias en innovación educativa  qué promuevan   en desarrollo integral de los estudiantes y docentes de las Instituciones Educativas Oficiales del Departamento.</t>
  </si>
  <si>
    <t>Tasa de cobertura bruta en transición
Tasa de cobertura bruta en educación básica
Tasa de cobertura en educación media 
Tasa de deserción escolar intra-anual 
Cobertura de Instituciones Educativas con Planes Escolares de Gestión del Riesgo de Desastres-PEGERD</t>
  </si>
  <si>
    <t>Servicio de acondicionamiento de ambientes de aprendizaje</t>
  </si>
  <si>
    <t>Ambientes de aprendizaje en funcionamiento</t>
  </si>
  <si>
    <t>Servicio de fortalecimiento a las capacidades de los docentes de educación inicial, preescolar, básica y media</t>
  </si>
  <si>
    <t>Docentes de educación inicial, preescolar, básica y media beneficiados con estrategias de mejoramiento de sus capacidades</t>
  </si>
  <si>
    <t xml:space="preserve">Docentes y agentes educativos  de educación inicial, preescolar, básica y media beneficiados con estrategias de mejoramiento de sus capacidades </t>
  </si>
  <si>
    <t>Servicio de fortalecimiento a las capacidades de los docentes y agentes educativos en educación inicial o preescolar de acuerdo a los referentes nacionales</t>
  </si>
  <si>
    <t>Servicio de fortalecimiento a las capacidades de los docentes de educación Inicial, preescolar, básica y media</t>
  </si>
  <si>
    <t>Docentes y agentes educativos beneficiarios de Servicio de fortalecimiento a sus capacidades de acuerdo a los referentes nacionales</t>
  </si>
  <si>
    <t xml:space="preserve">Tasa de cobertura bruta en educación media 
Años promedio de estudio (población de 15 a 24 años) </t>
  </si>
  <si>
    <t>Servicio de articulación entre la educación media y el sector productivo.</t>
  </si>
  <si>
    <t xml:space="preserve">Programas y proyectos de educación pertinente articulados con el sector productivo </t>
  </si>
  <si>
    <t>Servicios de asistencia técnica en innovación educativa en la educación inicial, preescolar, básica y media</t>
  </si>
  <si>
    <t>Instituciones educativas asistidas técnicamente en innovación educativa</t>
  </si>
  <si>
    <t>Servicio de fomento para la prevención de riesgos sociales en entornos escolares</t>
  </si>
  <si>
    <t>Entidades territoriales con estrategias para la prevención de riesgos sociales en los entornos escolares implementadas</t>
  </si>
  <si>
    <t>Servicio de apoyo a proyectos pedagógicos productivos</t>
  </si>
  <si>
    <t>Proyectos apoyados</t>
  </si>
  <si>
    <t>Tasa de cobertura en educación superior</t>
  </si>
  <si>
    <t>Servicio de orientación vocacional</t>
  </si>
  <si>
    <t>Estudiantes vinculados a procesos de orientación vocacional</t>
  </si>
  <si>
    <t>Tasa de cobertura bruta en transición
Tasa de cobertura bruta en educación básica
Tasa de cobertura en educación media
Tasa de Analfabetismo
Tasa de deserción escolar intra-anual
Tasa de repitencia</t>
  </si>
  <si>
    <t>Servicio de asistencia técnica en educación inicial, preescolar, básica y media</t>
  </si>
  <si>
    <t>Entidades y organizaciones asistidas técnicamente</t>
  </si>
  <si>
    <t>Fortalecimiento territorial para una gestión educativa integral en la Secretaría de Educación Departamental del Quindío</t>
  </si>
  <si>
    <t>Aumentar las tasas de cobertura bruta y disminuir las tasas  repitencia y deserción escolar, a través del fortalecimiento  del seguimiento y evaluación de la gestión institucional, buscando potenciar en los diferentes equipos de trabajo, las capacidades para ejecutar procesos de gestión integrales y articulados en la prestación del servicio educativo de calidad</t>
  </si>
  <si>
    <t>Servicio de monitoreo y seguimiento a la gestión del sector educativo</t>
  </si>
  <si>
    <t>Entidades territoriales con seguimiento y evaluación a la gestión.</t>
  </si>
  <si>
    <t>Servicios de atención psicosocial a estudiantes y docentes</t>
  </si>
  <si>
    <t xml:space="preserve">Personas atendidas </t>
  </si>
  <si>
    <t>Servicio educativo</t>
  </si>
  <si>
    <t>Establecimientos educativos en operación</t>
  </si>
  <si>
    <t>Servicio de accesibilidad a contenidos web para fines pedagógicos</t>
  </si>
  <si>
    <t>Estudiantes con acceso a contenidos web en el establecimiento educativo</t>
  </si>
  <si>
    <t>Fortalecimiento de las  Tecnologías de Información y Comunicación TIC,  para una innovación educativa de calidad en el departamento del Quindío.</t>
  </si>
  <si>
    <t>Aumentar las tasas de cobertura bruta y disminuir las tasas  repitencia y deserción escolar a través de la implementación de  estrategias basadas en las Tecnologías de la Información para los Establecimientos  Educativos y la  Secretaria de Educación Departamental, permitiendo dar una respuesta pertinente a las necesidades en los diferentes recursos tecnológicos, propiciando una Gestión Educativa Integral.</t>
  </si>
  <si>
    <t>Establecimientos educativos conectados a internet</t>
  </si>
  <si>
    <t>Documento para la planeación estratégica en TI</t>
  </si>
  <si>
    <t>Planes de mejoramiento de los sistemas de información de las secretarías de educación implementados</t>
  </si>
  <si>
    <t>Documentos de planeación para la educación inicial, preescolar, básica y media emitidos</t>
  </si>
  <si>
    <t>Porcentaje de estudiantes de grado 11 con dominio de inglés a nivel B1 (preintermedio)</t>
  </si>
  <si>
    <t>Servicio educativos de promoción del bilingüismo</t>
  </si>
  <si>
    <t>Estudiantes beneficiados con estrategias de promoción del bilingüismo</t>
  </si>
  <si>
    <t>Fortalecimiento de las competencias comunicativas en lengua extranjera en estudiantes y docentes de las instituciones educativas oficiales del Departamento del Quindío.</t>
  </si>
  <si>
    <t>Aumentar en porcentaje de estudiantes de grado 11 con dominio de inglés a nivel B1 (preintermedio) a través del fortalecimiento del nivel de inglés de los niños, niñas y jóvenes qué asisten a las Instituciones Educativas Oficiales del Departamento del Quindío.</t>
  </si>
  <si>
    <t>Servicios educativos de promoción del bilingüismo</t>
  </si>
  <si>
    <t>Instituciones educativas fortalecidas en competencias comunicativas en un segundo idioma</t>
  </si>
  <si>
    <t>Servicio educativo de promoción del bilingüismo para docentes</t>
  </si>
  <si>
    <t>Docentes beneficiados con estrategias de promoción del bilingüismo</t>
  </si>
  <si>
    <t>Implementación del observatorio de educación, con el fin de recopilar y producir información del sector educativo con enfoque territorial.</t>
  </si>
  <si>
    <t>Aumentar las tasas de cobertura bruta y disminuir las tasas  repitencia y deserción escolar, a través del diseño e implementación en   Observatorio de Investigación, Innovación y Documentación Educativa del Departamento del Quindío.</t>
  </si>
  <si>
    <t>Servicios de información en materia educativa</t>
  </si>
  <si>
    <t>Observatorio implementado</t>
  </si>
  <si>
    <t>Fortalecimiento de la educación media para la articulación con la educación superior o terciaria. "Tú y yo preparados para la educación superior"</t>
  </si>
  <si>
    <t xml:space="preserve">Calidad y fomento de la educación superior </t>
  </si>
  <si>
    <t>Servicio de apoyo para el acceso y la permanencia a la educación superior o terciaria</t>
  </si>
  <si>
    <t>Estrategias o programas de  fomento para  acceso y  permanencia a la educación superior o terciaria implementados</t>
  </si>
  <si>
    <t>Estrategias y programas de  fomento para acceso y  permanencia a la educación superior o postsecundaria implementados</t>
  </si>
  <si>
    <t>Fortalecimiento de estrategias para el acceso y la permanencia  de los estudiantes egresados de los Establecimientos Educativos Oficiales a la educación superior o terciaria en el Departamento del Quindío.</t>
  </si>
  <si>
    <t>Aumentar la tasa de cobertura en educación superior,  a través del fortalecimiento del acceso y la permanencia de los estudiantes egresados de los Establecimientos Educativos Oficiales   adscritos a la Secretaría de Educación Departamental a la educación técnica, tecnológica o superior.</t>
  </si>
  <si>
    <t>Ciencia, Tecnología e Innovación</t>
  </si>
  <si>
    <t>Generación de una cultura que valora y gestiona en conocimiento y la innovación.</t>
  </si>
  <si>
    <t>Generación de una cultura que valora y gestiona el conocimiento y la innovación</t>
  </si>
  <si>
    <t xml:space="preserve">
Tasa de cobertura bruta en educación básica
Tasa de cobertura en educación media
</t>
  </si>
  <si>
    <t>Servicio para el fortalecimiento de capacidades institucionales para el fomento de vocación científica</t>
  </si>
  <si>
    <t>Instituciones educativas qué participan en programas que fomentan la cultura de la Ciencia, la Tecnología y la Innovación fortalecidas</t>
  </si>
  <si>
    <t>Instituciones educativas que participan en programas qué fomentan la cultura de la Ciencia, la Tecnología y la Innovación fortalecidas</t>
  </si>
  <si>
    <t>Implementación  y fortalecimiento de  las estrategias qué fomenten la ciencia, la tecnología y la innovación en las Instituciones Educativas Oficiales del Departamento.</t>
  </si>
  <si>
    <t xml:space="preserve">Aumentar las tasas de cobertura bruta en educación  básica y media, a través de la  Promoción  de  la investigación en los estudiantes  matriculados en las Instituciones Educativas Oficiales del Departamento del Quindío, a través de la Ciencia, Tecnología y la Innovación. </t>
  </si>
  <si>
    <t>Secretaría de Familia</t>
  </si>
  <si>
    <t>Salud y protección social</t>
  </si>
  <si>
    <t>Salud Pública, "Tú y yo con salud de calidad"</t>
  </si>
  <si>
    <t xml:space="preserve">Salud pública </t>
  </si>
  <si>
    <t>Razón de mortalidad materna (por 100.000 nacidos vivos)
Porcentaje de atención institucional del parto.
Tasa  de mujeres de 10 a 14 años qué han sido madres o están en embarazo.
Tasa de mujeres de 15 a 19 años qué han sido madres o están en embarazo.
Prevalencia de VIH/SIDA en población de 15 a 49 años de edad.
Tasa de mortalidad asociada a VIH/SIDA.
Porcentaje transmisión materno -infantil del VIH.
Cobertura de tratamiento antirretroviral</t>
  </si>
  <si>
    <t xml:space="preserve">Servicio de gestión del riesgo en temas de salud sexual y reproductiva </t>
  </si>
  <si>
    <t>Campañas de gestión del riesgo en temas de salud sexual y reproductiva implementadas.</t>
  </si>
  <si>
    <t xml:space="preserve">Diseño e implementación de campañas para la promoción de la vida y prevención del consumo de sustancias psicoactivas en el Departamento del Quindío. "TU Y YO UNIDOS POR LA VIDA".  </t>
  </si>
  <si>
    <t xml:space="preserve">Disminuir las tasas  de mortalidad materna, embarazos, violencia y suicidios en el Departamento del Quindío, a través del fomento de  hábitos de vida saludables y derechos sexuales y reproductivos. </t>
  </si>
  <si>
    <t>Tasa de violencia de género.
Tasa de Suicidio  x 100.000 Habitantes en el Departamento del Quindío.
Tasa de suicidios en niños y niñas ( 6 a 11 años)
Tasa de suicidios en adolescentes (12 a 17 años)
Tasa de suicidios (18 - 28 años)Tasa de Consumo de Sustancias Psicoactivas  x 100.000 Habitantes en el Departamento del Quindío.</t>
  </si>
  <si>
    <t xml:space="preserve">Servicio de gestión del riesgo en temas de trastornos mentales </t>
  </si>
  <si>
    <t>Campañas de gestión del riesgo en temas de trastornos mentales implementadas</t>
  </si>
  <si>
    <t>Cobertura  de municipios   con  jóvenes en riesgo psicosocial impactados en los  barrios vulnerables del Departamento del Quindío</t>
  </si>
  <si>
    <t>Servicio de educación informal al sector artístico y cultural</t>
  </si>
  <si>
    <t>Capacitaciones de educación informal realizadas</t>
  </si>
  <si>
    <t xml:space="preserve">Implementación acciones de fortalecimiento  de los entornos protectores de los jóvenes en barrios vulnerables de los municipios, del Departamento del Quindío. </t>
  </si>
  <si>
    <t>Aumentar la cobertura  de municipios con jóvenes en riesgo psicosocial impactados en los barrios vulnerables del Departamento del Quindío, a través de la implementación de acciones que permitan fortalecer los entornos protectores de los jóvenes en riesgo psicosocial por consumo de sustancias psicoactivas, comportamiento suicida, Violencia Intrafamiliar, en barrios vulnerables, de los municipios, del Departamento del Quindío.</t>
  </si>
  <si>
    <t>Inclusión social y Reconciliación</t>
  </si>
  <si>
    <t>Desarrollo Integral de Niños, Niñas, Adolescentes y sus Familias. "Tú y yo niños, niñas y adolescentes con desarrollo integral"</t>
  </si>
  <si>
    <t>Desarrollo integral de la primera infancia a la juventud, y fortalecimiento de las capacidades de las familias de niñas, niños y adolescentes</t>
  </si>
  <si>
    <t xml:space="preserve">Cobertura en la  implementación del  Modelo de entornos protectores y atención integral de   la primera infancia </t>
  </si>
  <si>
    <t xml:space="preserve">Diseñar e implementar un modelo de atención integral en entornos protectores para la primera infancia </t>
  </si>
  <si>
    <t>Modelo de atención integral de entornos protectores implementado</t>
  </si>
  <si>
    <t xml:space="preserve">Diseño e implementación de un  Modelo de  atención integral a la primera infancia  a través de las Rutas Integrales de Atención  RIA en el Departamento del  Quindío </t>
  </si>
  <si>
    <t>Aumentar la cobertura en la implementación del Modelo de Entornos Protectores y Atención Integral de la Primera Infancia, a través de la atención integral a los niños y niñas, promoviendo la aplicabilidad de las rutas integrales de atención y  entornos protectores seguros en el departamento Quindío.</t>
  </si>
  <si>
    <t xml:space="preserve">Cobertura  en la  implementación y seguimiento de las   Rutas integrales de atención  a la primera infancia </t>
  </si>
  <si>
    <t xml:space="preserve">Implementar y realizar seguimiento a las rutas integrales de atención </t>
  </si>
  <si>
    <t xml:space="preserve">Servicio de atención integral a la primera infancia </t>
  </si>
  <si>
    <t xml:space="preserve">Número de rutas integrales de atención  a la  primera infancia implementadas y con seguimiento </t>
  </si>
  <si>
    <t>Niños y niñas atendidos en servicio integrales</t>
  </si>
  <si>
    <t>Tasa de Violencia Intrafamiliar x 100.000 Habitantes en el Departamento del Quindío.
Tasa de violencia de pareja cuando la víctima está entre los 18 y 28 años 
Tasa de violencia de Género
Tasa de Suicidio  x 100.000 Habitantes en el Departamento del Quindío.
Tasa  de Niños, Niñas y Adolescentes qué participan en una actividad remunerada  o no  x cada 100.000 habitantes  en el departamento del Quindío
Tasa  de mujeres de 12 a 14 años qué han sido madres o están en embarazo X 100.000 habitantes en el Departamento del Quindío
Cobertura a los grupos de adulto mayor del departamento del Quindío en articulación con los Municipios, en el marco de garantizar estimulación física, cognitiva, emocional y social en bienestar de una vejez activa y saludable</t>
  </si>
  <si>
    <t xml:space="preserve">Implementar la  política pública para la protección, en fortalecimiento y en desarrollo integral de la familia Quindiana </t>
  </si>
  <si>
    <t>4102043</t>
  </si>
  <si>
    <t xml:space="preserve">Servicio de promoción de temas de dinámica relacional y desarrollo autónomo </t>
  </si>
  <si>
    <t>Política Pública de Familia  implementada</t>
  </si>
  <si>
    <t>410204300</t>
  </si>
  <si>
    <t>Familias atendidas</t>
  </si>
  <si>
    <t xml:space="preserve"> Implementación de la  política pública  de Familia para la  promoción  del desarrollo integral de la población del Departamento del Quindío. </t>
  </si>
  <si>
    <t xml:space="preserve">Disminuir las tasas de violencia intrafamiliar, suicidio y embarazos en el departamento del Quindío a través del Desarrollo de  estrategias,  programas y proyectos en el marco de la implementación y seguimiento de la Política Pública de Familia para promover en desarrollo integral de la población. </t>
  </si>
  <si>
    <t>.- Tasa de violencia contra niños y niñas o a 5 años       
.- Tasa de violencia contra niños y niñas de 6 a 11 años
.- Tasa de violencia contra niños y niñas de 12 a 17 años
-Tasa de niños, niñas y adolescentes víctimas de violencia sexual  x 100 mil habitantes   en el Departamento del Quindío
-Tasa de suicidios en adolescentes (12 a 17 años)
-Tasa  de Niños, Niñas y Adolescentes qué participan en una actividad remunerada  o no  x cada 100.000 habitantes  en el departamento del Quindío
-Tasa  de mujeres de 12 a 14 años qué han sido madres o están en embarazo X 100.000 habitantes en el Departamento del Quindío
-Tasa de Consumo de Sustancias Psicoactivas  x 100.000 Habitantes en el Departamento del Quindío.</t>
  </si>
  <si>
    <t>Implementar  la política pública de primera infancia, infancia y adolescencia</t>
  </si>
  <si>
    <t>Servicio de promoción de temas de dinámica relacional y desarrollo autónomo</t>
  </si>
  <si>
    <t xml:space="preserve">Política Pública de Primera Infancia, Infancia y Adolescencia implementada. </t>
  </si>
  <si>
    <t>Niños, niñas y adolescentes atendidos</t>
  </si>
  <si>
    <t xml:space="preserve">Revisión, ajuste  e implementación de  la política pública de primera infancia, infancia y adolescencia en el Departamento del Quindío  </t>
  </si>
  <si>
    <t xml:space="preserve">Disminuir las tasa de violencia  contra niños, niñas y adolescentes, embarazos a temprana edad y consumo de sustancias psicoactivas en el Departamento del Quindío, a través del desarrollo de estrategias, proyectos y programas en el marco de la implementación y seguimiento de la Política Pública de Primera Infancia, Infancia y Adolescencia, al igual que su ajuste, para promover en desarrollo integral de la población. </t>
  </si>
  <si>
    <t>Tasa de Suicidio  x 100.000 Habitantes en el Departamento del Quindío.
Tasa de violencia de pareja cuando la víctima está entre los 18 y 28 años 
Tasa de violencia de Género
Tasa de Violencia Intrafamiliar x 100.000 Habitantes en el Departamento del Quindío.
Tasa de Consumo de Sustancias Psicoactivas  x 100.000 Habitantes en el Departamento del Quindío.
Cobertura de adolescentes y jóvenes atendidos en Post egreso, en los servicios de restablecimiento en la administración de justicia.
Cobertura  de municipios   con  jóvenes en riesgo psicosocial impactados en los  Barrios vulnerables del Departamento del Quindío</t>
  </si>
  <si>
    <t xml:space="preserve">Implementar  la política pública de juventud </t>
  </si>
  <si>
    <t>Servicio dirigidos a la atención de niños, niñas, adolescentes y jóvenes, con enfoque pedagógico y restaurativo encaminados a la inclusión social</t>
  </si>
  <si>
    <t>Política Pública de Juventud implementada</t>
  </si>
  <si>
    <t>Niños, niñas, adolescentes y jóvenes atendidos en los servicios de restablecimiento en la administración de justicia</t>
  </si>
  <si>
    <t xml:space="preserve">Implementación de  la política pública de juventud en el Departamento del Quindío  </t>
  </si>
  <si>
    <t xml:space="preserve"> Disminuir las tasa de violencia intrafamiliar,  consumo de sustancias psicoactivas y suicidio en el Departamento del Quindío a través de la revisión, ajuste e implementación la política pública de juventud con el propósito de desarrollar estrategias, programas y acciones acordes  con la normatividad y las nuevas dinámicas sociales. </t>
  </si>
  <si>
    <t>Tasa de Violencia Intrafamiliar x 100.000 Habitantes en el Departamento del Quindío.
Tasa de violencia de Género</t>
  </si>
  <si>
    <t>Rutas integrales de atención en violencia intrafamiliar y  violencia de género</t>
  </si>
  <si>
    <t>Servicio de asistencia técnica a comunidades en temas de fortalecimiento del tejido social y construcción de escenarios comunitarios protectores de derechos</t>
  </si>
  <si>
    <t>Capacitación en activación de las Rutas Integrales de Atención en Violencia Intrafamiliar y de Género, a trabajadores de Supermercados y Tenderos de los Municipios realizadas</t>
  </si>
  <si>
    <t>Acciones ejecutadas con las comunidades</t>
  </si>
  <si>
    <t xml:space="preserve">Diseño e implementación del programa de acompañamiento familiar y comunitario con enfoque preventivo en los tipos de violencia en el Departamento del Quindío "TU Y YO COMPROMETIDOS CON LA FAMILIA" </t>
  </si>
  <si>
    <t xml:space="preserve"> Disminuir las tasa de violencia   intrafamiliar y de género en el Departamento del Quindío , a través de la  articulación de acciones  con aliados estratégicos para capacitar a trabajadores de Supermercados y “tenderos” de los barrios, en la activación de Rutas Integrales de Atención en Violencia Intrafamiliar y Violencia de género. </t>
  </si>
  <si>
    <t>Cobertura de atención de niños y niñas en Hogar Infantil Nocturno, hijos de trabajadoras sexuales en el Departamento del Quindío</t>
  </si>
  <si>
    <t xml:space="preserve">Atención integral a niños y niñas en primera infancia en espacios socialmente no convencionales: tiempos no convencionales </t>
  </si>
  <si>
    <t>Servicio de atención integral a la primera infancia</t>
  </si>
  <si>
    <t xml:space="preserve">Atención integral a niños y niñas en primera infancia en espacios socialmente no convencionales implementados </t>
  </si>
  <si>
    <t>Niños y niñas atendidos en servicios integrales</t>
  </si>
  <si>
    <t xml:space="preserve">Diseño e implementación del programa comunitario para la prevención de los derechos de niños, niñas y adolescentes y su desarrollo integral. "TU Y YO COMPROMETIDOS CON LOS SUEÑOS". </t>
  </si>
  <si>
    <t xml:space="preserve"> Disminución de la Tasa de Violencia Intrafamiliar y  aumento de la cobertura de atención de niños y niñas en Hogar Infantil Nocturno, hijos de trabajadoras sexuales en el Departamento del Quindío, a través del diseño e implementación   de un programa comunitario para la   prevención y garantía de los derechos de los niños, niñas y adolescentes  buscando disminuir la violencia intrafamiliar en el departamento del Quindío en espacios socialmente no convencionales. </t>
  </si>
  <si>
    <t>Tasa de Violencia Intrafamiliar x 100.000 Habitantes en el Departamento del Quindío.
Tasa de violencia contra niños y niñas o a 5 años       
Tasa de violencia contra niños y niñas de 6 a 11 años
Tasa de violencia contra niños y niñas de 12 a 17 años
Tasa de niños, niñas y adolescentes víctimas de violencia sexual  x 100 mil habitantes   en el Departamento del Quindío
Tasa de violencia de pareja cuando la víctima está entre los 18 y 28 años 
Tasa de violencia de Género</t>
  </si>
  <si>
    <t>Servicio de divulgación para la promoción y prevención de los derechos de los niños, niñas y adolescentes</t>
  </si>
  <si>
    <t xml:space="preserve">Servicios de promoción de los derechos de los niños, niñas, adolescentes y jóvenes </t>
  </si>
  <si>
    <t>410202200</t>
  </si>
  <si>
    <t xml:space="preserve">Eventos de divulgación realizados </t>
  </si>
  <si>
    <t xml:space="preserve">Campañas de promoción realizadas </t>
  </si>
  <si>
    <t>Cobertura de adolescentes y jóvenes atendidos en Post egreso, en los servicios de restablecimiento en la administración de justicia.</t>
  </si>
  <si>
    <t>Servicios dirigidos a la atención de niños, niñas, adolescentes y jóvenes, con enfoque pedagógico y restaurativo encaminados a la inclusión social</t>
  </si>
  <si>
    <t>Servicio de atención Post egreso de adolescentes y jóvenes, en los servicios de restablecimiento en la administración de justicia, con enfoque pedagógico y restaurativo encaminados a la inclusión social en el  Departamento del   Quindío.</t>
  </si>
  <si>
    <t xml:space="preserve">Aumentar la cobertura de adolescentes y jóvenes atendidos en Post egreso, en los servicios de restablecimiento en la administración de justicia,  a través del desarrollo  de acciones encaminadas a reconocer, garantizar y permitir en goce efectivo de los derechos de los adolescentes y jóvenes del departamento del Quindío, promoviendo su integralidad, realización, protección y sostenibilidad. </t>
  </si>
  <si>
    <t xml:space="preserve">Cobertura de municipios del departamento apoyados con  emprendimientos juveniles </t>
  </si>
  <si>
    <t>Servicio de asistencia técnica para fortalecimiento de unidades productivas colectivas para la generación de ingresos</t>
  </si>
  <si>
    <t>Unidades productivas colectivas con asistencia técnica</t>
  </si>
  <si>
    <t xml:space="preserve">Fortalecimiento  de unidades productivas colectivas  juveniles para la generación de ingresos  en el departamento del Quindío  </t>
  </si>
  <si>
    <t>Aumentar la cobertura de municipios del departamento apoyados con  emprendimientos juveniles,   a través del fortalecimiento de los procesos de asistencia técnica en temas de formalización y comercialización.</t>
  </si>
  <si>
    <t>Cobertura para la atención al ciudadano migrante a través del plan de atención y de repatriación.</t>
  </si>
  <si>
    <t xml:space="preserve">Mecanismos de articulación implementados para la gestión de oferta social </t>
  </si>
  <si>
    <t xml:space="preserve">mecanismos de articulación implementados para la gestión de oferta social </t>
  </si>
  <si>
    <t xml:space="preserve">Formulación  e Implementación del  programa departamental para atención al ciudadano migrante y de repatriación.  </t>
  </si>
  <si>
    <t xml:space="preserve">Aumentar la cobertura para la atención al ciudadano migrante a través del plan de atención y de repatriación </t>
  </si>
  <si>
    <t>Servicio de acompañamiento familiar y comunitario para la superación de la pobreza</t>
  </si>
  <si>
    <t>Comunidades con acompañamiento familiar.</t>
  </si>
  <si>
    <t xml:space="preserve">Desarrollo de un  programa  de acompañamiento  familiar y comunitario  en procesos de Inclusión social y productivos para el emprendimiento de  alternativas de generación de ingresos  en el departamento del Quindío  </t>
  </si>
  <si>
    <t>Disminuir  la tasa de violencia intrafamiliar en el departamento del Quindío, a través de  procesos de acompañamiento familiar y comunitario a hogares de los doce municipios en condiciones de vulnerabilidad por “violencia intrafamiliar,” a través del desarrollo de programas de Inclusión social y productivos qué les permita emprender alternativas de generación de ingresos y   mejorar   las relaciones de convivencia en el entorno familiar y social.</t>
  </si>
  <si>
    <t xml:space="preserve">Cobertura de municipios del departamento con procesos de implementación de proyectos  productivos  para las personas con discapacidad </t>
  </si>
  <si>
    <t>Servicio de apoyo para el fortalecimiento de unidades productivas colectivas para la generación de ingresos</t>
  </si>
  <si>
    <t>Unidades productivas colectivas fortalecidas</t>
  </si>
  <si>
    <t xml:space="preserve">Formulación e implementación   de proyectos productivos  dirigidos a  la población en condición  de  discapacidad y sus familias para la generación de  ingresos  y fortalecimiento del entorno familiar.  </t>
  </si>
  <si>
    <t>Aumentar la cobertura de municipios del departamento con procesos de implementación de proyectos  productivos  para las personas con discapacidad, a través de la  formulación e implementación  de proyectos productivos qué garanticen a las personas con discapacidad y sus familias, ingresos económicos para satisfacer sus necesidades básicas.</t>
  </si>
  <si>
    <t xml:space="preserve">Tasa planes de vida de los cabildos  indígenas construidos e implementados </t>
  </si>
  <si>
    <t xml:space="preserve">Apoyar la construcción e Implementación de los  Planes de vida de los cabildos Indígenas asentados en el Departamento del Quindío </t>
  </si>
  <si>
    <t>Documento de lineamientos técnicos</t>
  </si>
  <si>
    <t xml:space="preserve">Planes de vida de los cabildos indígenas  construidos  e implementados </t>
  </si>
  <si>
    <t xml:space="preserve">Documentos de lineamientos técnicos elaborados </t>
  </si>
  <si>
    <t xml:space="preserve">Apoyo en la construcción e Implementación de los Planes de Vida de los Cabildos y Resguardos indígenas  asentados en el Departamento del Quindío "TU Y YO UNIDOS CON DIGNIDAD".  </t>
  </si>
  <si>
    <t>Incrementar la tasa planes de vida de los cabildos y resguardos   indígenas construidos e implementados, por medio del apoyo en  la construcción e implementación de los  mismos, como instrumentos de planeación organización y preservación de la historia y la cultura.</t>
  </si>
  <si>
    <t>Tasa de  planes de vida de los resguardos  indígenas construidos e implementados</t>
  </si>
  <si>
    <t xml:space="preserve">Apoyar la construcción e Implementación de los  Planes de vida de los resguardos indígenas  asentados en el Departamento del Quindío </t>
  </si>
  <si>
    <t xml:space="preserve">Planes de vida de los resguardos indígenas  construidos  e implementados </t>
  </si>
  <si>
    <t>Cobertura  de población diferencial,  comunidades negras, afros raizales y Palenqueras asentadas en el departamento del Quindío con una  política pública .</t>
  </si>
  <si>
    <t>Formular e implementar la política pública para la comunidad negra, afrocolombiana, raizal y palenquera residente en el Departamento del Quindío</t>
  </si>
  <si>
    <t xml:space="preserve">Política Pública para la comunidad negra, afrocolombiana, raizal y palenquera residente en el departamento del Quindío formulada e implementada </t>
  </si>
  <si>
    <t xml:space="preserve">Formulación e implementación de la política pública para la comunidad negra, afrocolombiana, raizal y palenquera residente en el Departamento del Quindío   </t>
  </si>
  <si>
    <t>Aumentar la cobertura  de población diferencial,  comunidades negras, afros raizales y Palenquearas asentadas en el departamento del Quindío con una  política publicación en propósito de garantizar la protección de derechos y la atención integral  con enfoque diferencial de las comunidades.</t>
  </si>
  <si>
    <t>Atención integral de población en situación permanente de desprotección social y/o familiar "Tú y yo con atención integral"</t>
  </si>
  <si>
    <t>Cobertura de municipios atendidos  con el Banco de ayudas técnicas NO POS tipo Estándar, para las personas con discapacidad .</t>
  </si>
  <si>
    <t>Servicios de atención integral a población en condición de discapacidad</t>
  </si>
  <si>
    <t>Servicio de atención integral a población en condición de discapacidad</t>
  </si>
  <si>
    <t xml:space="preserve">Personas atendidas con servicios integrales de atención </t>
  </si>
  <si>
    <t>Personas con discapacidad atendidas con servicios integrales</t>
  </si>
  <si>
    <t xml:space="preserve">Servicio de atención integral a población en condición de discapacidad en los municipios del Departamento del Quindío "TU Y YO JUNTOS EN LA INCLUSIÓN". </t>
  </si>
  <si>
    <t xml:space="preserve">Incrementar  la cobertura  de municipios del Departamento del Quindío  con programas  y banco de ayudas  para la Rehabilitación Basada en la Comunidad  RBC, a través del fortalecimiento de la capacidad  de atención integral  a población con discapacidad del departamento del Quindío. </t>
  </si>
  <si>
    <t>Cobertura  de municipios del Departamento del Quindío  con el   Programas  de Rehabilitación Basada en la Comunidad  RBC</t>
  </si>
  <si>
    <t xml:space="preserve">Estrategia de rehabilitación basada en la comunidad implementada en los municipios  </t>
  </si>
  <si>
    <t>Cobertura de municipios del departamento del Quindío, con programas de atención a la población habitante de calle.</t>
  </si>
  <si>
    <t>Servicio de articulación de oferta social para la población habitante de calle</t>
  </si>
  <si>
    <t xml:space="preserve">Servicio de atención integral al habitante de la calle </t>
  </si>
  <si>
    <t xml:space="preserve">Servicio de articulación habitante de calle implementado en los municipios </t>
  </si>
  <si>
    <t>Personas atendidas con servicios integrales</t>
  </si>
  <si>
    <t xml:space="preserve">Apoyo en  la articulación de la  oferta social para la población habitante de calle del departamento del Quindío  </t>
  </si>
  <si>
    <t xml:space="preserve">Aumentar la cobertura de municipios del departamento del Quindío, con programas de atención a la población habitante de calle a través de la coordinación y articulación  de la oferta social para la población en condición de calle en el departamento del Quindío. </t>
  </si>
  <si>
    <t xml:space="preserve">Cobertura a los grupos de adulto mayor del departamento del Quindío en articulación con los Municipios, en el marco de garantizar estimulación física, cognitiva, emocional y social en bienestar de una vejez activa y saludable </t>
  </si>
  <si>
    <t>Servicios de atención y protección integral al adulto mayor</t>
  </si>
  <si>
    <t>Centros de protección social de día para el adulto mayor construidos y dotados</t>
  </si>
  <si>
    <t xml:space="preserve">Adultos mayores atendidos con servicios integrales </t>
  </si>
  <si>
    <t>Centros de día para el adulto mayor construidos y dotados</t>
  </si>
  <si>
    <t xml:space="preserve">Servicio  de atención integral e inclusión para el bienestar de los adultos mayores del departamento del Quindío </t>
  </si>
  <si>
    <t>Disminuir Tasa de Suicidio  y Violencia Intrafamiliar , además del aumento de la Cobertura a los grupos de adulto mayor en programas  de estimulación física, cognitiva, emocional y social en bienestar de una vejez activa y saludable  y  en apoyo  a los   centros vida y de bienestar  con  recursos  de la  Estampilla Pro adulto Mayor  en el Departamento del Quindío.</t>
  </si>
  <si>
    <t>Cobertura  de  centros vida y centros de bienestar del adulto mayor (Legalmente constituidos)  apoyados con los recursos de la  Estampilla Pro adulto Mayor .</t>
  </si>
  <si>
    <t>Transferencia estampilla para el bienestar del adulto mayor</t>
  </si>
  <si>
    <t>Servicio de atención y protección integral al adulto mayor</t>
  </si>
  <si>
    <t>Municipios con recursos transferidos con la estampilla Departamental para el bienestar del adulto mayor</t>
  </si>
  <si>
    <t>Adultos mayores atendidos con servicios integrales</t>
  </si>
  <si>
    <t xml:space="preserve">Cobertura de Asociaciones de mujeres fortalecidas  </t>
  </si>
  <si>
    <t>Servicio de asesoría para el fortalecimiento de la Asociatividad</t>
  </si>
  <si>
    <t>170201102</t>
  </si>
  <si>
    <t>Asociaciones de mujeres fortalecidas</t>
  </si>
  <si>
    <t>Implementación de  estrategias de acompañamiento y asesoría a las asociaciones de mujeres del departamento del Quindío</t>
  </si>
  <si>
    <t xml:space="preserve">Aumentar la cobertura de Asociaciones de mujeres fortalecidas a través de la Implementación de  estrategias de acompañamiento y asesoría a las asociaciones de mujeres del departamento del Quindío con el propósito de brindar fortalecimiento  </t>
  </si>
  <si>
    <t>Derechos fundamentales del trabajo y fortalecimiento del diálogo social. "Tú y yo con una niñez protegida"</t>
  </si>
  <si>
    <t>Derechos fundamentales del trabajo y fortalecimiento del diálogo social</t>
  </si>
  <si>
    <t>Tasa  de Niños, Niñas y Adolescentes qué participan en una actividad remunerada  o no  x cada 100.000 habitantes  en el departamento del Quindío</t>
  </si>
  <si>
    <t>Servicio de educación informal para la prevención integral del trabajo infantil</t>
  </si>
  <si>
    <t>Desarrollo de jornadas de capacitación, sensibilización y prevención del  trabajo infantil  y protección del adolescente en el departamento del Quindío.</t>
  </si>
  <si>
    <t xml:space="preserve">Disminuir la Tasa  de Niños, Niñas y Adolescentes qué participan en una actividad remunerada  o no  x cada 100.000 habitantes  en el departamento del Quindío a través de jornadas de capacitación, sensibilización y prevención del  trabajo infantil  y protección del adolescente en el departamento del Quindío. </t>
  </si>
  <si>
    <t>Gobierno Territorial</t>
  </si>
  <si>
    <t>Tasa de participación femenina en cargos de elección popular en el departamento del Quindío</t>
  </si>
  <si>
    <t>Iniciativas para la promoción de la participación femenina en escenarios sociales y políticos implementada.</t>
  </si>
  <si>
    <t>Estrategias para el fomento de a la participación de las mujeres en los espacios de participación política y de toma de decisión implementadas</t>
  </si>
  <si>
    <t>Implementación del  programa de liderazgo  para la participación femenina en escenarios sociales y políticos del departamento del Quindío</t>
  </si>
  <si>
    <t xml:space="preserve">Aumentar la tasa de participación femenina en cargos de elección popular en el departamento del Quindío a través de la Implementación de un programa de liderazgo enfocado a las mujeres , con el propósito de incrementar la participación femenina en escenarios sociales y políticas </t>
  </si>
  <si>
    <t>Tasa de Suicidio  x 100.000 Habitantes en el Departamento del Quindío.
Tasa de Violencia Intrafamiliar x 100.000 Habitantes en el Departamento del Quindío.
Tasa de Consumo de Sustancias Psicoactivas  x 100.000 Habitantes en el Departamento del Quindío.
Tasa de violencia de Género</t>
  </si>
  <si>
    <t xml:space="preserve"> Implementar la política pública de equidad de género para la mujer </t>
  </si>
  <si>
    <t>Servicio de promoción de la garantía de derechos</t>
  </si>
  <si>
    <t>Política pública de la mujer y equidad de género   implementada.</t>
  </si>
  <si>
    <t>Estrategias de promoción de la garantía de derechos implementadas</t>
  </si>
  <si>
    <t xml:space="preserve">Implementación de la política pública de equidad de género para la mujer en el Departamento del Quindío  </t>
  </si>
  <si>
    <t>Disminuir la tasa de violencia  intrafamiliar, de género y embarazos a temprana edad, así  como en  aumento de la tasas de participación femenina en cargos de elección popular y fortalecimiento de las  asociaciones de mujeres a través de acciones encaminadas a la garantía de derechos de las mujeres,  promoción de su participación en el ámbito económico, social y cultural del departamento  Quindío.</t>
  </si>
  <si>
    <t>Implementar  la política  pública de diversidad sexual e identidad de género</t>
  </si>
  <si>
    <t>Política pública de diversidad sexual e identidad de género implementada.</t>
  </si>
  <si>
    <t xml:space="preserve">Implementación de la política pública  de diversidad sexual en el Departamento del Quindío 2019-2029  </t>
  </si>
  <si>
    <t xml:space="preserve">Disminuir  las tasa de suicidio, violencia intrafamiliar  consumo de sustancias psicoactivas  y violencia de género en el departamento del Quindío, a través de la implementación en la política pública de diversidad sexual e identidad de género con la participación de los diferente actores qué contribuyen  de manera integral a garantizar la visibilización, inclusión y mejoramiento de las condiciones de calidad de vida de la personas sexualmente diversas. </t>
  </si>
  <si>
    <t xml:space="preserve">Tasa de participación femenina en cargos de elección popular en el departamento del Quindío </t>
  </si>
  <si>
    <t>Casa de la Mujer Empoderada implementada</t>
  </si>
  <si>
    <t>Espacios generados para el fortalecimiento de capacidades institucionales del Estado</t>
  </si>
  <si>
    <t xml:space="preserve">Implementación de la Casa  de la Mujer Empoderada para la promoción a la participación ciudadana  de Mujeres en escenarios sociales, políticos y en fortalecimiento de la asociatividad  en el departamento del Quindío " TU Y YO CON LAS MUJERES EMPODERADAS." </t>
  </si>
  <si>
    <t>Mejorar las condiciones de calidad de vida de la población, en acceso incluyente y equitativo a la oferta de servicios del Estado y la ampliación de oportunidades para los Quindianos a través de la Implementación de la Casa de la Mujer Empoderada, para la  participación  y promoción de la  mujeres en escenarios sociales, políticos y productivos en el departamento del Quindío.</t>
  </si>
  <si>
    <t>Tasa de violencia de Género</t>
  </si>
  <si>
    <t>Casa Refugio de la Mujer implementada</t>
  </si>
  <si>
    <t>Implementación de la Casa Refugio de la Mujer del Departamento del Quindío</t>
  </si>
  <si>
    <t xml:space="preserve">Mejorar las condiciones de calidad de vida de la población, en acceso incluyente y equitativo a la oferta de servicios del Estado y la ampliación de oportunidades para los Quindianos a través de la implementación de la  Casa Refugia para la protección de la mujer víctima del departamento del Quindío. </t>
  </si>
  <si>
    <t>Secretaría de Salud</t>
  </si>
  <si>
    <t xml:space="preserve">Inspección, vigilancia y control. "Tú y yo con salud certificada" </t>
  </si>
  <si>
    <t>Inspección, vigilancia y control</t>
  </si>
  <si>
    <t>Mortalidad por diarreica aguda (EDA) menores 5 años (número de muertes anual)</t>
  </si>
  <si>
    <t>Servicio de concepto sanitario</t>
  </si>
  <si>
    <t>Servicio de registro sanitario</t>
  </si>
  <si>
    <t>Conceptos sanitarios expedidos</t>
  </si>
  <si>
    <t>Registros sanitarios expedidos</t>
  </si>
  <si>
    <t xml:space="preserve">Fortalecimiento de la autoridad sanitaria en el Departamento del Quindío                                                                                           </t>
  </si>
  <si>
    <t>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t>
  </si>
  <si>
    <t>Tasa de mortalidad en menores de 1 año (por 1000 nacidos vivos).</t>
  </si>
  <si>
    <t>Servicio de información de vigilancia epidemiológica</t>
  </si>
  <si>
    <t>Informes de evento generados en la vigencia</t>
  </si>
  <si>
    <t>Prevalencia de niños menores de 5 años con desnutrición aguda</t>
  </si>
  <si>
    <t>Servicio de asistencia técnica en inspección, vigilancia y control</t>
  </si>
  <si>
    <t>Asistencias técnica en Inspección, Vigilancia y Control realizadas</t>
  </si>
  <si>
    <t>Mortalidad por infección respiratoria aguda (IRA) menores 5 años (número de muertes anual)</t>
  </si>
  <si>
    <t>Realizar la vigilancia epidemiológica de plaguicidas en el marco del programa VEO (vigilancia epidemiológica de organofosforados y carba matos) en los municipios de competencia departamental.</t>
  </si>
  <si>
    <t>Servicio de asistencia técnica en inspección vigilancia y control</t>
  </si>
  <si>
    <t>Municipios con procesos de vigilancia epidemiológica de plaguicidas organofosforados y carbamatos realizados.</t>
  </si>
  <si>
    <t>Asistencias técnicas en inspección vigilacia y control realizadas</t>
  </si>
  <si>
    <t xml:space="preserve">Implementación del Modelo Operativo de Inspección, Vigilancia y Control IVC sanitario en los municipios de competencia departamental. </t>
  </si>
  <si>
    <t>Servicio de promoción, prevención, vigilancia y control de vectores y zoonosis</t>
  </si>
  <si>
    <t xml:space="preserve">Modelo de IVC sanitario operando </t>
  </si>
  <si>
    <t xml:space="preserve">Municipios categorías 4,5 y 6 que formulen y ejecuten real y efectivamente acciones de promoción, prevención, vigilancia  y control de vectores y zoonosis  realizados </t>
  </si>
  <si>
    <t>Mortalidad por dengue (casos)</t>
  </si>
  <si>
    <t>Municipios categorías 4, 5 y 6 qué formulen y ejecuten real y efectivamente acciones de promoción, prevención, vigilancia y control de vectores y zoonosis realizados</t>
  </si>
  <si>
    <t>Servicio de evaluación, aprobación y seguimiento de planes de gestión integral del riesgo</t>
  </si>
  <si>
    <t>Informes de evaluación, aprobación y seguimiento de Planes de Gestión Integral de Riesgo realizados</t>
  </si>
  <si>
    <t>Porcentaje de atención institucional del parto por personal calificado.</t>
  </si>
  <si>
    <t>Servicio de inspección, vigilancia y control</t>
  </si>
  <si>
    <t>visitas realizadas</t>
  </si>
  <si>
    <t>Visitas realizadas</t>
  </si>
  <si>
    <t>Porcentaje de población asegurada al SGSSS
Oportunidad en la presunción diagnóstica y tratamiento oncológico en menores de 18 años (alta y media)</t>
  </si>
  <si>
    <t>Documentos técnicos publicados y/o socializados</t>
  </si>
  <si>
    <t xml:space="preserve"> Implementación de programas de promoción social en poblaciones  especiales en el Departamento del Quindío </t>
  </si>
  <si>
    <t>Fortalecer la gestión intersectorial en salud de los grupos con alta vulnerabilidad</t>
  </si>
  <si>
    <t>Mortalidad por diarreica aguda (EDA) menores 5 años (número de muertes anual)
Prevalencia de niños menores de 5 años con desnutrición aguda
Índice de riesgo de la calidad de agua para consumo humano IRCA</t>
  </si>
  <si>
    <t>Servicio de análisis de laboratorio</t>
  </si>
  <si>
    <t>Análisis realizados</t>
  </si>
  <si>
    <t xml:space="preserve"> Fortalecimiento de las actividades de vigilancia y control del laboratorio de salud pública en el Departamento del Quindío</t>
  </si>
  <si>
    <t>Mejorar la capacidad analítica del LSP Departamental  para dar respuesta  a las necesidades del Sistema de Vigilancia en Salud Pública</t>
  </si>
  <si>
    <t>Tasa ajustada por edad de mortalidad asociada a cáncer de cuello uterino (por 100.000 mujeres).</t>
  </si>
  <si>
    <t>Servicio de auditoría y visitas inspectivas</t>
  </si>
  <si>
    <t>Auditorías y visitas inspectivas realizadas</t>
  </si>
  <si>
    <t>Tasa mortalidad en menores de 5 años (por 1.000 nacidos vivos).</t>
  </si>
  <si>
    <t xml:space="preserve">Informes de los resultados obtenidos en la vigilancia sanitaria </t>
  </si>
  <si>
    <t>Asistencias técnicas realizadas</t>
  </si>
  <si>
    <t xml:space="preserve"> Asistencia técnica para el fortalecimiento de la gestión de las entidades territoriales del Departamento del Quindío  </t>
  </si>
  <si>
    <t xml:space="preserve">Fortalecer los procesos de articulación y competencias territoriales en el sistema general de seguridad social en salud </t>
  </si>
  <si>
    <t>Oportunidad en la presunción diagnóstica y tratamiento oncológico en menores de 18 años (alta y media)</t>
  </si>
  <si>
    <t>Servicio de información para la gestión de la inspección, vigilancia y control sanitario</t>
  </si>
  <si>
    <t>Usuarios del sistema</t>
  </si>
  <si>
    <t>Asesoría y apoyo al proceso del sistema obligatorio de garantía de calidad de los prestadores de salud en el Departamento del Quindío</t>
  </si>
  <si>
    <t>Asegurar la implementación y cumplimiento de la totalidad de los estándares de Habilitación de acuerdo al nivel de complejidad.</t>
  </si>
  <si>
    <t>Razón de mortalidad materna (por 100.000 nacidos vivos)</t>
  </si>
  <si>
    <t>Servicio de certificaciones en buenas prácticas</t>
  </si>
  <si>
    <t>Certificaciones expedidas</t>
  </si>
  <si>
    <t>Porcentaje de población asegurada al SGSSS</t>
  </si>
  <si>
    <t>Servicios de comunicación y divulgación en inspección, vigilancia y control</t>
  </si>
  <si>
    <t>Eventos de rendición de cuentas realizados</t>
  </si>
  <si>
    <t xml:space="preserve">Apoyo operativo a la inversión social en salud en el Departamento del Quindío </t>
  </si>
  <si>
    <t xml:space="preserve">Fortalecer los procesos estratégicos, administrativos y misionales del sector salud en el departamento del Quindío  </t>
  </si>
  <si>
    <t>Porcentaje de nacidos vivos con 4 o más controles prenatales</t>
  </si>
  <si>
    <t>Servicio del ejercicio del procedimiento administrativo sancionatorio</t>
  </si>
  <si>
    <t xml:space="preserve">Procesos con aplicación del procedimiento administrativo sancionatorio tramitados </t>
  </si>
  <si>
    <t>Porcentaje transmisión materno -infantil del VIH.</t>
  </si>
  <si>
    <t>Servicio de Gestión de Peticiones, Quejas, Reclamos y Denuncias</t>
  </si>
  <si>
    <t>Preguntas Quejas Reclamos y Denuncias Gestionadas</t>
  </si>
  <si>
    <t>Tasa de violencia de género</t>
  </si>
  <si>
    <t>Servicio de implementación de estrategias para el fortalecimiento del control social en salud</t>
  </si>
  <si>
    <t>Estrategias para el fortalecimiento del control social en salud implementadas</t>
  </si>
  <si>
    <t>Salud pública</t>
  </si>
  <si>
    <t>Servicio de gestión del riesgo para temas de consumo, aprovechamiento biológico, calidad e inocuidad de los alimentos.</t>
  </si>
  <si>
    <t>Campañas de gestión del riesgo para temas de consumo, aprovechamiento biológico, calidad e inocuidad de los alimentos implementadas</t>
  </si>
  <si>
    <t xml:space="preserve">Aprovechamiento biológico y consumo de  alimentos inocuos  en el Departamento del Quindío </t>
  </si>
  <si>
    <t>Disminuir o mantener la proporción de niños menores de 5 años en riesgo de desnutrición moderada o severa aguda</t>
  </si>
  <si>
    <t>Servicios de promoción de la salud y prevención de riesgos asociados a condiciones no transmisibles</t>
  </si>
  <si>
    <t>Campañas de promoción de la salud y prevención de riesgos asociados a condiciones no transmisibles implementadas</t>
  </si>
  <si>
    <t>Tasa de mortalidad por malaria.</t>
  </si>
  <si>
    <t xml:space="preserve">Servicio de educación informal en temas de salud pública </t>
  </si>
  <si>
    <t>Control en Salud Ambiental para la consecución de un estado de vida saludable de la población  del  Departamento del Quindío.</t>
  </si>
  <si>
    <t>Disminuir  los factores de riesgo sanitarios y ambientales asociados a eventos de interés en salud pública relacionados con la salud ambiental como en aumento de la carga contaminante del agua, entre otros.</t>
  </si>
  <si>
    <t>Tasa  de mujeres de 10 a 14 años qué han sido madres o están en embarazo.
Tasa de mujeres de 15 a 19 años qué han sido madres o están en embarazo.</t>
  </si>
  <si>
    <t xml:space="preserve">Realizar seguimiento y monitoreo a las Entidades Administradoras de Planes Básicos EAPB en la implementación de la Ruta Integral de Atención para la Promoción y Mantenimiento de la Salud y Materno Perinatal en el Departamento  </t>
  </si>
  <si>
    <t>Servicio de promoción de la salud y prevención de riesgos asociados a condiciones no transmisibles (1905031)</t>
  </si>
  <si>
    <t>DNP</t>
  </si>
  <si>
    <t>Entidades Administradoras de Planes Básicos EAPB con Rutas de obligatorio cumplimiento Implementadas</t>
  </si>
  <si>
    <t>Campañas de promoción de la salud  y prevención de riesgos asociados a condiciones no transmisibles implementadas (190503100)</t>
  </si>
  <si>
    <t>Mortalidad por dengue (casos)
Letalidad por dengue.</t>
  </si>
  <si>
    <t>Formular en Plan de Fortalecimiento de Capacidades en Salud Ambiental en coordinación con el Consejo Territorial de Salud Ambiental COTSA</t>
  </si>
  <si>
    <t xml:space="preserve">Plan de Fortalecimiento de Capacidades en Salud Ambiental Formulado </t>
  </si>
  <si>
    <t>Implementar el protocolo de vigilancia sanitaria y ambiental de los efectos en salud relacionados con la contaminación del aire en los 11 municipios de competencia departamental.</t>
  </si>
  <si>
    <t>Servicio de gestión del riesgo para abordar situaciones de salud relacionadas con condiciones ambientales</t>
  </si>
  <si>
    <t>Protocolo implementado</t>
  </si>
  <si>
    <t>Campañas de gestión del riesgo para abordar situaciones de salud relacionadas con condiciones ambientales implementadas</t>
  </si>
  <si>
    <t>Formulación e implementación del Plan Departamental en Salud Ambiental de adaptación al cambio climático.</t>
  </si>
  <si>
    <t>Plan Departamental en Salud Ambiental de adaptación al cambio climático implementado</t>
  </si>
  <si>
    <t>Implementar la estrategia de entornos saludables en articulación intersectorial y sectorial en los entornos de vivienda, educativo, institucional y comunitario con énfasis en la Atención Primaria en Salud Ambiental APSA.</t>
  </si>
  <si>
    <t xml:space="preserve">Estrategia de entornos saludables en articulación intersectorial y sectorial implementada </t>
  </si>
  <si>
    <t xml:space="preserve">Implementación de la estrategia de movilidad saludable, segura y sostenible </t>
  </si>
  <si>
    <t xml:space="preserve">Estrategia de movilidad saludable, segura y sostenible   implementada </t>
  </si>
  <si>
    <t>Personas atendidas con campañas de gestión del riesgo para abordar situaciones de salud relacionadas con condiciones ambientales</t>
  </si>
  <si>
    <t xml:space="preserve">Fortalecimiento de acciones propias a los derechos sexuales y reproductivos en el Departamento del Quindío. </t>
  </si>
  <si>
    <t xml:space="preserve">Disminuir de los eventos de interés en salud pública relacionados con la salud sexual y reproductiva en especial de la mortalidad materna  </t>
  </si>
  <si>
    <t xml:space="preserve">Realizar seguimiento y Monitoreo a las Entidades Administradoras de Planes Básicos EAPB en la implementación de la Ruta Integral de Atención para la Promoción y Mantenimiento de la Salud y Materno Perinatal en el Departamento  </t>
  </si>
  <si>
    <t>Servicio de gestión del riesgo en temas de salud sexual y reproductiva (1905021)</t>
  </si>
  <si>
    <t>Campañas de gestión del riesgo en temas de salud sexual y reproductiva implementadas (190502100)</t>
  </si>
  <si>
    <t>Servicio de gestión del riesgo en temas de consumo de sustancias psicoactivas</t>
  </si>
  <si>
    <t>Campañas de gestión del riesgo en temas de consumo de sustancias psicoactivas implementadas</t>
  </si>
  <si>
    <t>Consolidación de acciones de promoción de la salud y prevención primaria en salud mental en el Departamento del Quindío.</t>
  </si>
  <si>
    <t>Disminuir la morbimortalidad asociada a la salud mental principalmente de la violencia intrafamiliar</t>
  </si>
  <si>
    <t>Generación de estilos de vida saludable y control y vigilancia en la gestión del riesgo de condiciones no transmisibles en el  Departamento del Quindío.</t>
  </si>
  <si>
    <t>Disminuir la carga de la enfermedad asociada a las enfermedades crónicas no trasmisibles</t>
  </si>
  <si>
    <t>Cobertura de vacunación con DPT en menores de 1 año
Cobertura de vacunación con Triple Viral en niños de 1 año
Cobertura útil con esquema completo de vacunación para la edad (triple viral a los 5 años)</t>
  </si>
  <si>
    <t>Cuartos fríos adecuados</t>
  </si>
  <si>
    <t xml:space="preserve">Fortalecimiento de acciones de promoción, prevención y protección específica para la población infantil en el Departamento del Quindío.  </t>
  </si>
  <si>
    <t>Reducir la exposición a condiciones y factores de riesgo ambientales, sanitarios y biológicos, de las contingencias y daños producidos por las enfermedades transmisibles</t>
  </si>
  <si>
    <t>Cobertura útil con esquema completo de vacunación para la edad (triple viral a los 5 años)
Mortalidad por infección respiratoria aguda (IRA) menores 5 años (número de muertes anual)
Mortalidad por diarreica aguda (EDA) menores 5 años (número de muertes anual)
Tasa de mortalidad por malaria.</t>
  </si>
  <si>
    <t>Servicio de gestión del riesgo para enfermedades emergentes, reemergentes y desatendidas</t>
  </si>
  <si>
    <t>Campañas de gestión del riesgo para enfermedades emergentes, reemergentes y desatendidas implementadas.</t>
  </si>
  <si>
    <t>Servicio de gestión del riesgo para enfermedades inmunoprevenibles</t>
  </si>
  <si>
    <t>Campañas de gestión del riesgo para enfermedades inmunoprevenibles  implementadas</t>
  </si>
  <si>
    <t>Mortalidad por dengue (casos) 
Letalidad por dengue.</t>
  </si>
  <si>
    <t xml:space="preserve">
190501500</t>
  </si>
  <si>
    <t xml:space="preserve">Difusión de la estrategia de gestión integral y de control en vectores, zoonosis y cambio climático del Departamento del Quindío.   </t>
  </si>
  <si>
    <t xml:space="preserve">Disminuir en índice de enfermedades trasmisión vectorial y zoonosis en la población   </t>
  </si>
  <si>
    <t xml:space="preserve">Fortalecimiento de la inclusión social para la disminución del riesgo de contraer enfermedades transmisibles en el Departamento del Quindío.  </t>
  </si>
  <si>
    <t xml:space="preserve">Aumentar la adherencia al tratamiento de los pacientes con diagnóstico de tuberculosis  </t>
  </si>
  <si>
    <t xml:space="preserve">Documentos de planeación en epidemiología y demografía elaborados </t>
  </si>
  <si>
    <t xml:space="preserve">Fortalecimiento del sistema de vigilancia en salud pública en el Departamento del Quindío. </t>
  </si>
  <si>
    <t xml:space="preserve"> Aumentar los índices de cumplimiento en los indicadores de calidad, cobertura y  oportunidad del sistema de vigilancia en salud pública departamental </t>
  </si>
  <si>
    <t>Porcentaje de atención institucional del parto.</t>
  </si>
  <si>
    <t>Centros reguladores de urgencias, emergencias y desastres funcionando y dotados</t>
  </si>
  <si>
    <t xml:space="preserve">Centros reguladores de urgencias, emergencias y desastres dotados </t>
  </si>
  <si>
    <t>Centros reguladores de urgencias, emergencias y desastres dotados y funcionando.</t>
  </si>
  <si>
    <t>Centros reguladores de urgencias, emergencias y desastres dotados</t>
  </si>
  <si>
    <t xml:space="preserve">Fortalecimiento de la red de urgencias y emergencias en el Departamento del Quindío. </t>
  </si>
  <si>
    <t>Fortalecer en la integración de la red hospitalaria del departamento del Quindío.</t>
  </si>
  <si>
    <t>Fortalecimiento de las intervenciones colectivas y prioridades en salud pública del Departamento del Quindío- PIC</t>
  </si>
  <si>
    <t>Disminuir la morbimortalidad asociada  a la carga de la enfermedad por los determinantes sociales fortaleciendo  las acciones de complementariedad  a los municipios</t>
  </si>
  <si>
    <t>Prestación de servicios de salud. "Tú y yo con servicios de salud"</t>
  </si>
  <si>
    <t>Aseguramiento y prestación integral de servicios de salud</t>
  </si>
  <si>
    <t>Cobertura de tratamiento antirretroviral</t>
  </si>
  <si>
    <t xml:space="preserve">Servicio de cofinanciación para la continuidad del  régimen subsidiado en salud  </t>
  </si>
  <si>
    <t xml:space="preserve">Servicio de tecnologías en salud financiadas con la unidad de pago por capitación - UPC </t>
  </si>
  <si>
    <t>Personas afiliadas</t>
  </si>
  <si>
    <t>Pacientes atendidos con tecnologías en salud financiados con cargo a los recursos de la UPC del Régimen Subsidiado</t>
  </si>
  <si>
    <t xml:space="preserve">Subsidio y cofinanciación al régimen subsidiado del Sistema General de Seguridad Social en Salud en el Departamento del Quindío.  </t>
  </si>
  <si>
    <t>Aumentar la cobertura universal en aseguramiento al sistema de atención integral y para la población del Departamento del Quindío</t>
  </si>
  <si>
    <t>Servicio de apoyo con tecnologías para prestación de servicios en salud</t>
  </si>
  <si>
    <t>Población inimputable atendida</t>
  </si>
  <si>
    <t>Pacientes atendidos con medicamentos en salud financiados con cargo a los recursos de la UPC del Régimen Subsidiado</t>
  </si>
  <si>
    <t>Prestación de Servicios a la Población no Afiliada al Sistema General de Seguridad Social en Salud y en el NO POS a la Población del Régimen Subsidiado.</t>
  </si>
  <si>
    <t xml:space="preserve">Mejoramiento en la prestación de los servicios de salud para la atención de la población no afiliada </t>
  </si>
  <si>
    <t>Servicios de reconocimientos para el cumplimiento de metas de calidad, financiera, producción y transferencias especiales.</t>
  </si>
  <si>
    <t xml:space="preserve">Servicio de apoyo financiero para el fortalecimiento patrimonial de las empresas prestadoras de salud con participación financiera de las entidades territoriales </t>
  </si>
  <si>
    <t>Porcentaje de recursos transferidos</t>
  </si>
  <si>
    <t>Empresas prestadoras de salud capitalizadas</t>
  </si>
  <si>
    <t>Servicios de reconocimientos de deuda</t>
  </si>
  <si>
    <t>Porcentaje de recursos pagados</t>
  </si>
  <si>
    <t>Tasa de mujeres de 15 a 19 años qué han sido madres o están en embarazo.</t>
  </si>
  <si>
    <t>Servicio de asistencia técnica a Instituciones prestadoras de servicios de salud</t>
  </si>
  <si>
    <t>Instituciones Prestadoras de Servicios de salud asistidas técnicamente</t>
  </si>
  <si>
    <t xml:space="preserve">Fortalecimiento de la red de prestación de servicios pública del Departamento del Quindío.   </t>
  </si>
  <si>
    <t>Aumento en la calidad del proceso de reporte, vigilancia y control del manejo de los recursos de salud en el Departamento del Quindío</t>
  </si>
  <si>
    <t>Cobertura útil con esquema completo de vacunación para la edad (triple viral a los 5 años)
Porcentaje de nacidos vivos con 4 o más controles prenatales</t>
  </si>
  <si>
    <t>Hospitales de primer nivel de atención dotados</t>
  </si>
  <si>
    <t>Servicio de apoyo a la prestación del servicio de transporte de pacientes</t>
  </si>
  <si>
    <t>Entidades de la red pública en salud apoyadas en la adquisición de ambulancias</t>
  </si>
  <si>
    <t>Servicio de tecnologías en salud financiadas con la unidad de pago por capitación - UPC (1906023)</t>
  </si>
  <si>
    <t>Pacientes atendidos</t>
  </si>
  <si>
    <t>Servicio de adopción y seguimiento de acciones y medidas especiales</t>
  </si>
  <si>
    <t>Acciones y medidas especiales ejecutadas</t>
  </si>
  <si>
    <t>Adaptar e implementar la política pública de salud mental para el Departamento del Quindío</t>
  </si>
  <si>
    <t xml:space="preserve">Política pública en Salud Mental adaptada e Implementada  </t>
  </si>
  <si>
    <t xml:space="preserve">
190501501</t>
  </si>
  <si>
    <t>Planes de salud pública elaborados</t>
  </si>
  <si>
    <t>Tasa ajustada por edad de mortalidad asociada a cáncer de cuello uterino (por 100.000 mujeres).
Oportunidad en la presunción diagnóstica y tratamiento oncológico en menores de 18 años (alta y media)</t>
  </si>
  <si>
    <t>Servicio de gestión del riesgo para abordar condiciones crónicas prevalentes</t>
  </si>
  <si>
    <t>Campañas de gestión del riesgo para abordar condiciones crónicas prevalentes implementadas</t>
  </si>
  <si>
    <t>Servicio de gestión del riesgo para enfermedades emergentes, reemergentes y desatendidas.</t>
  </si>
  <si>
    <t xml:space="preserve">Implementación de acciones para la contención de la pandemia Tú y Yo contra COVID </t>
  </si>
  <si>
    <t>Eficiente gestión integral del riesgo en eventos de interés en salud pública, ante la pandemia por COVID-19</t>
  </si>
  <si>
    <t>Servicios de atención en salud pública en situaciones de emergencias y desastres</t>
  </si>
  <si>
    <t xml:space="preserve">Servicio de atención en salud pública en situaciones de emergencias y desastres </t>
  </si>
  <si>
    <t>Personas en capacidad de ser atendidas</t>
  </si>
  <si>
    <t xml:space="preserve">Prevención, preparación, contingencia, mitigación y superación de emergencias y contingencias por eventos relacionados con la salud pública en el Departamento del Quindío.  </t>
  </si>
  <si>
    <t>Coordinar acciones  para la gestión integral  del riesgo en  situaciones de emergencias y desastres  en las IPS y autoridad sanitaria del departamento</t>
  </si>
  <si>
    <t>Servicio de gestión del riesgo para abordar situaciones prevalentes de origen laboral</t>
  </si>
  <si>
    <t>Campañas de gestión del riesgo para abordar situaciones prevalentes de origen laboral implementadas</t>
  </si>
  <si>
    <t xml:space="preserve">Prevención vigilancia y control de eventos en el ámbito laboral en el Departamento del Quindío.  </t>
  </si>
  <si>
    <t xml:space="preserve">Disminuir los eventos de origen laboral en los trabajadores del sector formal del Departamento del Quindío </t>
  </si>
  <si>
    <t>Secretaría Tecnologías de la Información y las Comunicaciones</t>
  </si>
  <si>
    <t>Tecnologías de la información y las comunicaciones</t>
  </si>
  <si>
    <t>Facilitar el acceso y uso de las Tecnologías de la Información y las Comunicaciones en todo el departamento del Quindío. "Tú y yo somos ciudadanos TIC"</t>
  </si>
  <si>
    <t>Facilitar el acceso y uso de las Tecnologías de la Información y las Comunicaciones en todo el territorio nacional</t>
  </si>
  <si>
    <t>Tasa de crecimiento de puntos de acceso a internet gratis 
Índice Departamental de Competitividad
Tasa de Desempleo</t>
  </si>
  <si>
    <t>Servicio de acceso y uso de tecnologías de la información y las comunicaciones</t>
  </si>
  <si>
    <t>Centros de acceso comunitario en zonas urbanas funcionando</t>
  </si>
  <si>
    <t>Fortalecimiento  y apoyo a las tecnologías de la información y las comunicaciones en el departamento del Quindío.</t>
  </si>
  <si>
    <t xml:space="preserve"> Incrementar  la Tasa de crecimiento de puntos de acceso a internet gratis  y del Índice de competitividad en el departamento del Quindío, mediante en mejoramiento de los servicio de acceso a las tecnologías de la información  y las comunicaciones </t>
  </si>
  <si>
    <t>Soluciones de conectividad en instituciones públicas instaladas</t>
  </si>
  <si>
    <t>Servicio de acceso Zonas Wifi</t>
  </si>
  <si>
    <t>Servicio de acceso zonas digitales</t>
  </si>
  <si>
    <t>Zonas Wifi en áreas rurales instaladas</t>
  </si>
  <si>
    <t>Zonas digitales en áreas rurales con redes terrestres instaladas</t>
  </si>
  <si>
    <t>Servicio de apoyo en tecnologías de la información y las comunicaciones para la educación básica, primaria y secundaria</t>
  </si>
  <si>
    <t>Relación de estudiantes por terminal de cómputo en sedes educativas oficiales</t>
  </si>
  <si>
    <t>Nivel de avance alto en el Índice de Gobierno digital
Índice Departamental de Competitividad
Tasa de Desempleo</t>
  </si>
  <si>
    <t>Servicio de educación informal en tecnologías de la información y las comunicaciones.</t>
  </si>
  <si>
    <t>Personas capacitadas en tecnologías de la información y las comunicaciones</t>
  </si>
  <si>
    <t>Asistencia y apropiación tecnológica y generacional en el departamento del Quindio</t>
  </si>
  <si>
    <t>Incrementar  en  Índice de Gobierno digital y de competitividad, además de disminuir la tasa de desempleo en el Departamento de Quindío, a través del fortalecimiento de la apropiación tecnológica, mediante estrategias de asistencia técnica, pedagógicas qué permitan lograr el empoderamiento TIC en el Departamento</t>
  </si>
  <si>
    <t>Servicio de asistencia técnica para proyectos en Tecnologías de la Información y las Comunicaciones</t>
  </si>
  <si>
    <t>Municipios asistidos en diseño, implementación, ejecución y/ o liquidación  de proyectos</t>
  </si>
  <si>
    <t>Servicio de educación para el trabajo en temas de uso pedagógico de tecnologías de la información y las comunicaciones.</t>
  </si>
  <si>
    <t>Docentes formados en uso pedagógico de tecnologías de la información y las comunicaciones.</t>
  </si>
  <si>
    <t>Servicio de telecomunicaciones para el envío de alertas tempranas a la población.</t>
  </si>
  <si>
    <t xml:space="preserve">Disponibilidad del servicio  de telecomunicaciones para el envío de alertas tempranas a la población. </t>
  </si>
  <si>
    <t>Fomento del desarrollo de aplicaciones, software y contenidos para impulsar la apropiación de las Tecnologías de la Información y las Comunicaciones (TIC) "Quindío paraíso empresarial TIC-Quindío TIC"</t>
  </si>
  <si>
    <t>Fomento del desarrollo de aplicaciones, software y contenidos para impulsar la apropiación de las Tecnologías de la Información y las Comunicaciones (TIC)</t>
  </si>
  <si>
    <t>Servicio de asistencia técnica a empresas de la industria de Tecnologías de la Información para mejorar sus capacidades de comercialización e innovación</t>
  </si>
  <si>
    <t>Empresas beneficiadas con actividades de fortalecimiento  de la industria TI</t>
  </si>
  <si>
    <t xml:space="preserve">Fortalecimiento del sector empresarial del departamento del Quindío </t>
  </si>
  <si>
    <t xml:space="preserve">Incrementar la Tasa de crecimiento de puntos de acceso a internet gratis,  en Índice Departamental de Competitividad y la Tasa de Desempleo  a través de la potencialización  del Sector Empresarial del departamento del Quindío con la  apropiación y uso de las tecnologías de la información y las comunicaciones  </t>
  </si>
  <si>
    <t>Servicio de asistencia técnica a emprendedores y empresas</t>
  </si>
  <si>
    <t>Emprendedores y empresas asistidas técnicamente</t>
  </si>
  <si>
    <t xml:space="preserve">Tasa de crecimiento de puntos de acceso a internet gratis </t>
  </si>
  <si>
    <t>Servicio de educación informal en Teletrabajo</t>
  </si>
  <si>
    <t xml:space="preserve">Personas y/o entidades (públicas y privadas) de la comunidad capacitadas en teletrabajo </t>
  </si>
  <si>
    <t>Servicio de educación informal para aumentar la calidad y cantidad de talento humano para la industria TI</t>
  </si>
  <si>
    <t>Personas capacitadas en programas informales de Tecnologías de la Información</t>
  </si>
  <si>
    <t>3903</t>
  </si>
  <si>
    <t xml:space="preserve">Desarrollo tecnológico e innovación para el crecimiento empresarial </t>
  </si>
  <si>
    <t>Desarrollo tecnológico e innovación para crecimiento empresarial</t>
  </si>
  <si>
    <t>Tasa de crecimiento de empresas en el sector productivo transformadas digitalmente</t>
  </si>
  <si>
    <t>Servicio de apoyo para la transferencia de conocimiento y tecnología</t>
  </si>
  <si>
    <t>390300501</t>
  </si>
  <si>
    <t>Nuevas tecnologías adoptadas</t>
  </si>
  <si>
    <t xml:space="preserve">Implementación de la transformación digital del sector empresarial en el Departamento del Quindío  </t>
  </si>
  <si>
    <t xml:space="preserve">Incrementar la tasa de crecimiento de empresas en el sector productivo transformadas digitalmente,  a través de  la apropiación de herramientas digitales, qué les  permitan ser competitivos en los diferentes sectores </t>
  </si>
  <si>
    <t>390300507</t>
  </si>
  <si>
    <t>Start up generadas</t>
  </si>
  <si>
    <t>390300511</t>
  </si>
  <si>
    <t>Conocimiento tecnológico adquirido</t>
  </si>
  <si>
    <t>Generación de una cultura qué valora y gestiona en conocimiento y la innovación.</t>
  </si>
  <si>
    <t>Incremento de emprendimientos y/o empresas de base tecnológica</t>
  </si>
  <si>
    <t>Servicios de comunicación con enfoque en ciencia tecnología y sociedad</t>
  </si>
  <si>
    <t>Juguetes, juegos o videojuegos para la comunicación de la ciencia, tecnología e innovación producidos</t>
  </si>
  <si>
    <t xml:space="preserve">Implementación  y  divulgación de la estrategia    "Quindío innovador y competitivo"   </t>
  </si>
  <si>
    <t xml:space="preserve"> Incrementar  los  emprendimientos y/o empresas de base tecnológica a través de la implementación de una estrategia de  promoción de la  cultura  de la innovación  y gestión del  conocimiento. </t>
  </si>
  <si>
    <t>Nivel de avance alto en el Índice de Gobierno digital</t>
  </si>
  <si>
    <t>Desarrollos digitales</t>
  </si>
  <si>
    <t>Productos digitales desarrollados</t>
  </si>
  <si>
    <t xml:space="preserve">Fortalecimiento de la estrategia de gobierno digital  en la Administración Departamental y  Entes Territoriales del departamento del  Quindío  </t>
  </si>
  <si>
    <t xml:space="preserve">Incrementar  Índice de Gobierno digital de la Administración departamental  y los Entes territoriales del Quindío generando condiciones de gobernanza, participación comunitaria y administraciones  eficientes </t>
  </si>
  <si>
    <t>Servicio de educación informal para la implementación de la estrategia de gobierno digital</t>
  </si>
  <si>
    <t>Personas capacitadas para la implementación de la Estrategia de Gobierno digital</t>
  </si>
  <si>
    <t>Servicio de educación informal en Gestión TI y en Seguridad y Privacidad de la Información</t>
  </si>
  <si>
    <t>Personas capacitadas en Gestión TI y en Seguridad y Privacidad de la Información</t>
  </si>
  <si>
    <t>Documentos de evaluación</t>
  </si>
  <si>
    <t>Documentos de evaluación de programas enfocados en generar competencias TIC</t>
  </si>
  <si>
    <t>Documentos metodológicos</t>
  </si>
  <si>
    <t>Documento metodológico del modelo de acompañamiento para la implementación de la Estrategia de Gobierno digital elaborado</t>
  </si>
  <si>
    <t>Instituto Departamental de Deporte y Recreación del Quindío</t>
  </si>
  <si>
    <t>Cobertura de municipios qué participan en programas de recreación, actividad física y deporte social y comunitario en el Departamento del Quindío.
Tasa de consumo de sustancias psicoactivas X100.000 habitantes en el Departamento del Quindío</t>
  </si>
  <si>
    <t>Servicio de Escuelas Deportivas</t>
  </si>
  <si>
    <t>Municipios con Escuelas Deportivas</t>
  </si>
  <si>
    <t>Fortalecimiento, hábitos y estilos de vida saludable como instrumento SALVAVIDAS en el departamento del Quindío</t>
  </si>
  <si>
    <t xml:space="preserve">Incrementar la cobertura de municipios qué participan en programas de recreación, actividad física, deporte social y comunitario, además de la  disminución de las tasas de sustancias psicoactivas en el Departamento del Quindío,  a través   participación y promoción de actividades físicas, deportivas y recreativas. </t>
  </si>
  <si>
    <t>Servicio de promoción de la actividad física, la recreación y el deporte</t>
  </si>
  <si>
    <t>Municipios vinculados al programa Supérate-Intercolegiados</t>
  </si>
  <si>
    <t>430103704</t>
  </si>
  <si>
    <t>Municipios implementando  programas de recreación, actividad física y deporte social comunitario</t>
  </si>
  <si>
    <t>Formular e  implementar una  política pública para el desarrollo y acceso al deporte, la recreación, la actividad física, la educación física y en uso adecuado del tiempo libre, como ejes de transformación humana y social en el departamento del Quindío</t>
  </si>
  <si>
    <t>Documentos normativos</t>
  </si>
  <si>
    <t>Política pública formulada e implementada</t>
  </si>
  <si>
    <t>Documentos normativos realizados</t>
  </si>
  <si>
    <t>Formación y preparación de deportistas. "Tú y yo campeones"</t>
  </si>
  <si>
    <t>Formación y preparación de deportistas</t>
  </si>
  <si>
    <t>Cobertura de ligas apoyadas en el departamento del Quindío.
Porcentaje de medallería del departamento del Quindío en los Juegos Nacionales.</t>
  </si>
  <si>
    <t>Servicio de asistencia técnica para la promoción del deporte</t>
  </si>
  <si>
    <t xml:space="preserve">Organismos deportivos asistidos </t>
  </si>
  <si>
    <t>Fortalecimiento al deporte competitivo y de altos logros "TU Y    YO SOMOS SALVAVIDAS POR UN QUINDIO GANADOR" en el Departamento del Quindío</t>
  </si>
  <si>
    <t xml:space="preserve">Incrementar la cobertura de municipios qué participan en programas de recreación, actividad física , deporte social y comunitario, además de la  disminución de las tasas de sustancias psicoactivas en el Departamento del Quindío, a través  de  la definición de  nuevas metodologías para el desarrollo del deporte formativo y competitivo  </t>
  </si>
  <si>
    <t>Servicio de organización de eventos deportivos de alto rendimiento</t>
  </si>
  <si>
    <t>Juegos Deportivos Realizados</t>
  </si>
  <si>
    <t>Eventos deportivos de alto rendimiento con sede en Colombia realizados</t>
  </si>
  <si>
    <t>Desarrollo de los  XXII JUEGOS DEPORTIVOS NACIONALES Y VI JUEGOS PARANACIONALES   2023</t>
  </si>
  <si>
    <t xml:space="preserve">Incrementar la cobertura de municipios qué participan en programas de recreación, actividad física , deporte social y comunitario, además de la  disminución de las tasas de sustancias psicoactivas en el Departamento del Quindío, a través de la participación deportiva y organización de eventos multideportivos  </t>
  </si>
  <si>
    <t>Proyecta Empresa para el Desarrollo Territorial</t>
  </si>
  <si>
    <t xml:space="preserve">Infraestructura  deportiva y/o recreativa con procesos   constructivos, mejorados,  ampliados, mantenidos y/o  reforzados </t>
  </si>
  <si>
    <t xml:space="preserve">Infraestructura   deportiva y/o recreativa construida, mejorada, ampliada, mantenida, y/o  reforzada </t>
  </si>
  <si>
    <t>Mantenimiento de obras complementarias de la infraestructura  deportiva y recreativa en el Departamento del Quindío.</t>
  </si>
  <si>
    <t>Incrementar la cobertura de municipios qué participan en programas de recreación, actividad física y deporte social y comunitario en el Departamento del Quindío, a través del   mantenimiento de obras complementarias de infraestructura deportiva y recreativa en el Departamento del Quindío con el propósito de generar espacio para la utilización del tiempo libre.</t>
  </si>
  <si>
    <t>Mantenimiento de obras complementarias en la Infraestructura educativa en el Departamento del Quindío.</t>
  </si>
  <si>
    <t>Incrementar las tasas de cobertura bruta en preescolar, educación básica y media, a través de esfuerzos interinstitucionales para realizar  obras complementarias en  Infraestructura educativa  mantenida, en el Departamento del Quindío.</t>
  </si>
  <si>
    <t xml:space="preserve">índice de competitividad  en el sector de infraestructura vial </t>
  </si>
  <si>
    <t xml:space="preserve"> Mantenimiento de obras complementarias a la infraestructura vial en el Departamento del Quindío</t>
  </si>
  <si>
    <t xml:space="preserve">Servicio de asistencia técnica y jurídica en saneamiento y titulación de predios </t>
  </si>
  <si>
    <t>400100100</t>
  </si>
  <si>
    <t>Entidades territoriales asistidas técnica y jurídicamente</t>
  </si>
  <si>
    <t xml:space="preserve">Apoyo en la formulación y ejecución de proyectos de vivienda en el Departamento del Quindío  </t>
  </si>
  <si>
    <t>Disminuir en déficit cualitativo cuantitativo  de viviendas por hogares, a través de procesos de apoyo  en la formulación y ejecución de proyectos de vivienda,  con el ánimo de garantizar el derecho a la salud, a entornos saludables de los hogares de menores ingresos y a mejorar la calidad de vida de los quindianos.</t>
  </si>
  <si>
    <t>Déficit cuantitativo de viviendas por hogares</t>
  </si>
  <si>
    <t xml:space="preserve">Viviendas de Interés Prioritario urbanas construidas </t>
  </si>
  <si>
    <t>400101700</t>
  </si>
  <si>
    <t>Viviendas de Interés Prioritario urbanas construidas</t>
  </si>
  <si>
    <t xml:space="preserve">Viviendas de Interés Prioritario urbanas mejoradas </t>
  </si>
  <si>
    <t>400101800</t>
  </si>
  <si>
    <t>Viviendas de Interés Prioritario urbanas mejoradas</t>
  </si>
  <si>
    <t>Estudios de preinversión e inversión</t>
  </si>
  <si>
    <t>400103000</t>
  </si>
  <si>
    <t>Servicio de apoyo financiero para adquisición de vivienda</t>
  </si>
  <si>
    <t>Equipamientos construidos</t>
  </si>
  <si>
    <t>4001014</t>
  </si>
  <si>
    <t>Viviendas de Interés Social urbanas construidas</t>
  </si>
  <si>
    <t>400101400</t>
  </si>
  <si>
    <t>4001015</t>
  </si>
  <si>
    <t xml:space="preserve">Fortalecimiento de la gestión y desempeño institucional. “Quindío con una administración al servicio de la ciudadanía”. </t>
  </si>
  <si>
    <t>Infraestructura institucional o edificios públicos construida, mejorada, ampliada, mantenida, y/o reforzada</t>
  </si>
  <si>
    <t>Mantenimiento de los edificios públicos y/o equipamientos colectivos y comunitarios en el Departamento del Quindío.</t>
  </si>
  <si>
    <t xml:space="preserve">Instituto Departamental de Tránsito del Quindío </t>
  </si>
  <si>
    <t>Seguridad de Transporte. "Tú y yo seguros en la vía"</t>
  </si>
  <si>
    <t>Seguridad de transporte</t>
  </si>
  <si>
    <t>Tasa de lesionados por siniestros viales por cada 100 habitantes.
Tasa de fallecidos por siniestros viales por cada 100 habitantes.</t>
  </si>
  <si>
    <t>Formular e Implementar una estrategia de movilidad saludable, segura y sostenible.</t>
  </si>
  <si>
    <t>Servicio de promoción y difusión para la seguridad de transporte</t>
  </si>
  <si>
    <t xml:space="preserve">Estrategia de movilidad saludable, segura y sostenible  formulada e implementada </t>
  </si>
  <si>
    <t xml:space="preserve">Estrategias implementadas </t>
  </si>
  <si>
    <t>Implementación del programa de seguridad vial en el Departamento del Quindío  "TU Y YO POR LA SEGURIDAD VIAL"</t>
  </si>
  <si>
    <t>Disminuir las tasa de lesionados por siniestros viales y fallecidos por siniestros viales  a través de acciones de fortalecimiento de la seguridad vial en el Departamento del Quindío.</t>
  </si>
  <si>
    <t>Formular e Implementar un programa de formación en normas de tránsito y fomento de cultura  de la seguridad en la vía.</t>
  </si>
  <si>
    <t xml:space="preserve">Servicio de educación informal en seguridad vial </t>
  </si>
  <si>
    <t>Programa de formación cultural  de la seguridad en la vía formulado e implementado.</t>
  </si>
  <si>
    <t>Estrategias de promoción de la cultura ciudadana implementadas</t>
  </si>
  <si>
    <t>Formular e Implementar un programa de control, prevención y atención del tránsito y el transporte en los municipios y vías de jurisdicción del IDTQ.</t>
  </si>
  <si>
    <t>Programa de control y atención del tránsito y en transporte formulado e implementado</t>
  </si>
  <si>
    <t>Documentos de planeación realizados</t>
  </si>
  <si>
    <t>Diseñar e Implementar un programa de señalización y demarcación en los municipios y vías de jurisdicción del IDTQ.</t>
  </si>
  <si>
    <t>Vías con dispositivos de control y señalización</t>
  </si>
  <si>
    <t>Programa de Señalización y demarcación en los municipios y vías de jurisdicción del IDTQ diseñado e Implementado</t>
  </si>
  <si>
    <t xml:space="preserve">Demarcación horizontal longitudinal realizada </t>
  </si>
  <si>
    <t xml:space="preserve"> SUBTOTALES:</t>
  </si>
  <si>
    <t>TOTAL PRESUPUESTO</t>
  </si>
  <si>
    <t>304 SECRETARÍA ADMINISTRATIVA</t>
  </si>
  <si>
    <t xml:space="preserve">LIDERAZGO, GOBERNABILIDAD Y TRANSPARENCIA </t>
  </si>
  <si>
    <t>Fortalecimiento del buen gobierno para el respeto y garantía de los derechos humanos. "Quindío integrado y participativo"</t>
  </si>
  <si>
    <t>Fortalecimiento a la gestión y dirección de la administración pública territorial "Quindío con una administración al servicio de la ciudadanía "</t>
  </si>
  <si>
    <t xml:space="preserve">305 SECRETARÍA DE PLANEACIÓN </t>
  </si>
  <si>
    <t>307 SECREATRÍA DE HACIENDA</t>
  </si>
  <si>
    <t xml:space="preserve">308 SECRETARÍA DE AGUAS E INFRAESTRUCTURA </t>
  </si>
  <si>
    <t xml:space="preserve">INCLUSIÓN SOCIAL Y EQUIDAD </t>
  </si>
  <si>
    <t>Fomento a la recreación, la actividad física y el deporte para desarrollar entornos de convivencia y paz "Tú y yo en la recreación y en deporte"</t>
  </si>
  <si>
    <t>PRODUCTIVIDAD Y COMPETITIVIDAD</t>
  </si>
  <si>
    <t>Agrucultura y desarrollo rural</t>
  </si>
  <si>
    <t xml:space="preserve">TERRITORIO, AMBIENTE Y DESARROLLO SOSTENIBLE </t>
  </si>
  <si>
    <t>Vivienda, Ciudad y Territorio</t>
  </si>
  <si>
    <t xml:space="preserve">309  SECRETARÍA DEL INTERIOR </t>
  </si>
  <si>
    <t>Gestión del riesgo de desastres y emergencias. "Tú y yo preparados en gestión del riesgo"</t>
  </si>
  <si>
    <t xml:space="preserve">310 SECRETARÍA DE CULTURA </t>
  </si>
  <si>
    <t xml:space="preserve">311 SECRETARÍA DE TURISMO INDUSTRIA Y COMERCIO </t>
  </si>
  <si>
    <t xml:space="preserve">Productividad y competitividad de las empresas colombianas. "Tú y yo con empresas competitivas" </t>
  </si>
  <si>
    <t xml:space="preserve">312 SECRETARÍA DE AGRICULTURA, DESARROLLO RURAL Y MEDIO AMBIENTE </t>
  </si>
  <si>
    <t>Fortalecimiento a la gestión y dirección de la administración pública territorial "Quindío con una administración al servicio de la ciudadanía"</t>
  </si>
  <si>
    <t xml:space="preserve">314 SECRETARÍA DE EDUCACIÓN </t>
  </si>
  <si>
    <t>Calidad y fomento de la Educación "Tú y yo preparados para la educación superior"</t>
  </si>
  <si>
    <t>316 SECRETARÍA DE FAMILIA</t>
  </si>
  <si>
    <t xml:space="preserve">318 SECRETARIA DE SALUD </t>
  </si>
  <si>
    <t>Aseguramiento y Prestación integral de servicios de salud "Tú y yo con servicios de salud"</t>
  </si>
  <si>
    <t>324  SECRETARÍA TECNOLÓGIAS DE LA INFORMACIÓN Y COMUNICACIÓN</t>
  </si>
  <si>
    <t>Facilitar en acceso y uso de las Tecnologías de la Información y las Comunicaciones (TIC)  en todo el territorio nacional.  "Tú y yo somos ciudadanos TIC"</t>
  </si>
  <si>
    <t>TOTAL ADMINISTRACIÓN CENTRAL:</t>
  </si>
  <si>
    <t xml:space="preserve">319 INDEPORTES QUINDÍO </t>
  </si>
  <si>
    <t>320 PROYECTA EMPRESA PARA EL DESARROLLO TERRITORIAL</t>
  </si>
  <si>
    <t>321 INSTITUTO DEPARTAMENTAL DE TRANSITO</t>
  </si>
  <si>
    <t>TOTAL ENTES DESCENTRALIZADOS</t>
  </si>
  <si>
    <t>TOTAL POAI:</t>
  </si>
  <si>
    <t>UNIDAD
EJECUTORA</t>
  </si>
  <si>
    <t>FUENTE DE FINANCIACIÓN</t>
  </si>
  <si>
    <t>PRESUPUESTO</t>
  </si>
  <si>
    <t>Recurso Ordinario</t>
  </si>
  <si>
    <t>Convenio Anticontrabando</t>
  </si>
  <si>
    <t>Estampilla Prodesarrollo</t>
  </si>
  <si>
    <t>SGP Agua Potable Saneamiento Básico</t>
  </si>
  <si>
    <t>Sobretasa al ACPM</t>
  </si>
  <si>
    <t>Fondo de Seguridad 5%</t>
  </si>
  <si>
    <t>Estampilla Pro Cultura</t>
  </si>
  <si>
    <t>Iva Telefonía Móvil</t>
  </si>
  <si>
    <t>Impuesto al Registro 4%</t>
  </si>
  <si>
    <t>Monopolio</t>
  </si>
  <si>
    <t>SGP Educación</t>
  </si>
  <si>
    <t>Programa Alimentación Escolar</t>
  </si>
  <si>
    <t>Estampilla Pro Adulto Mayor</t>
  </si>
  <si>
    <t>SGP Salud</t>
  </si>
  <si>
    <t>Rentas Cedidas</t>
  </si>
  <si>
    <t>324  SECRETARÍA TECNOLÓGIAS DE LA INFORMACIÓN Y LASCOMUNICACIÓN</t>
  </si>
  <si>
    <t>Nación</t>
  </si>
  <si>
    <t>Estampilla Pro Desarrollo</t>
  </si>
  <si>
    <t>Impuesto al Registro</t>
  </si>
  <si>
    <t>Recursos Propios</t>
  </si>
  <si>
    <t>Total Inversión</t>
  </si>
  <si>
    <t>305 SECRETARÍA DE PLANEACIÓN</t>
  </si>
  <si>
    <t xml:space="preserve">Fortalecimiento del Consejo Territorial de Planeación del Departamento del Quindío. "TÚ y YO SOMOS QUINDIO" </t>
  </si>
  <si>
    <t xml:space="preserve"> Implementación  de eventos de Rendición Pública de Cuentas  de divulgación de gestión  de la Administración Departamental  "TU Y YO SOMOS QUINDIO" </t>
  </si>
  <si>
    <t xml:space="preserve"> Implementación   de instrumentos de planificación para  en  Ordenamiento y la Gestión Territorial Departamental del Quindío  "TU Y YO SOMOS QUINDIO" </t>
  </si>
  <si>
    <t xml:space="preserve">  Implementación del Observatorio Económico  de la Administración Departamental del Quindío "TU Y YO SOMOS QUINDIO"</t>
  </si>
  <si>
    <t xml:space="preserve"> Implementación  del Modelo Integrado de Planeación y de Gestión MIPG en la Administración Departamental del   Quindío</t>
  </si>
  <si>
    <t>307 SECRETARÍA DE HACIENDA Y FINANZAS PÚBLICAS</t>
  </si>
  <si>
    <t xml:space="preserve">Implementación de un programa para el cumplimiento de las políticas y prácticas contables de la administración departamental del Quindío.    </t>
  </si>
  <si>
    <t>308 SECRETARÍA DE AGUAS E INFRAESTRUCTURA</t>
  </si>
  <si>
    <t xml:space="preserve"> Mantenimiento de la infraestructura Educativa en el Departamento del Quindío. </t>
  </si>
  <si>
    <t xml:space="preserve"> Mantenimiento de la infraestructura cultural en el departamento del Quindío  </t>
  </si>
  <si>
    <t>Construcción y dotación centro de atención integral para personas con discapacidad en el Departamento del Quindío</t>
  </si>
  <si>
    <t xml:space="preserve"> Construcción, mantenimiento y/o mejoramiento de obras de infraestructura  para la mitigación y atención de desastres en los municipios del departamento del Quindío </t>
  </si>
  <si>
    <t>309 SECRETARÍA DE INTERIOR</t>
  </si>
  <si>
    <t xml:space="preserve"> Implementación  de acciones con los Entes Municipales, para la reducción de los delitos en el Departamento del Quindío</t>
  </si>
  <si>
    <t xml:space="preserve">  Implementación de  métodos  para la resolución de conflictos y el  fortalecimiento de la seguridad de los ciudadanos en el Departamento del Quindío  </t>
  </si>
  <si>
    <t xml:space="preserve">Implementación de acciones de apoyo para la resocialización de las personas privadas de la libertad en las Instituciones Penitenciarias  del Departamento  del Quindío. </t>
  </si>
  <si>
    <t xml:space="preserve"> Implementación  y/o fortalecimiento  de  los planes para la gestión del riesgo y desastres en las Instituciones Educativas Oficiales  del Departamento </t>
  </si>
  <si>
    <t xml:space="preserve">Asistencia, atención y capacitación a la población excombatiente en el Departamento del Quindío. </t>
  </si>
  <si>
    <t xml:space="preserve"> Fortalecimiento de los organismos de seguridad del Departamento del Quindío, para mejorar la convivencia, preservación del orden público y la seguridad ciudadana. </t>
  </si>
  <si>
    <t xml:space="preserve"> Implementación del Plan Integral de prevención de vulneraciones de los Derechos Humanos DDHH e infracciones  al Derecho Internacional Humanitario DIH en el Departamento del Quindío </t>
  </si>
  <si>
    <t xml:space="preserve"> Fortalecimiento de la participación ciudadana, veedurías y organizaciones comunales para el cumplimiento, protección y restablecimiento de los derechos contemplados en la Constitución Política.    </t>
  </si>
  <si>
    <t>310 SECRETARÍA DE CULTURA</t>
  </si>
  <si>
    <t xml:space="preserve"> Apoyo artistas y gestores culturales  del departamento del Quindío con el  beneficio de la Seguridad Social.  </t>
  </si>
  <si>
    <t xml:space="preserve"> Apoyo al Paisaje, Café y Tradición mediante procesos de manejo, gestión, asistencia técnica, divulgación y publicación del patrimonio, arqueológico, antropológico e histórico en el Departamento del Quindío </t>
  </si>
  <si>
    <t>311 SECRETARÍA DE TURISMO INDUSTRIA Y COMERCIO</t>
  </si>
  <si>
    <t xml:space="preserve"> Fortalecimiento del sector empresarial  para el acceso a nuevos mercados en el departamento del Quindío</t>
  </si>
  <si>
    <t>Mejoramiento  de la competitividad turística del Destino  Quindio</t>
  </si>
  <si>
    <t xml:space="preserve"> Fortalecimiento de la promoción turística  nacional e internacional  del destino Quindio </t>
  </si>
  <si>
    <t>312 SECRETARÍA DE AGRICULTURA DESARROLLO RUAL Y MEDIO AMBIENTE</t>
  </si>
  <si>
    <t xml:space="preserve"> Fortalecimiento e implementación de procesos de mercadeo y comercialización agropecuaria en el Departamento del Quindío.                </t>
  </si>
  <si>
    <t xml:space="preserve"> Servicio de apoyo en la formulación y estructuración de proyectos de Desarrollo Rural e inclusión productiva  campesina en el Departamento del Quindío  </t>
  </si>
  <si>
    <t xml:space="preserve"> Apoyo a la Implementación de procesos para la prevención y mitigación de riesgos naturales del sector agropecuario en el Departamento del Quindío.  </t>
  </si>
  <si>
    <t xml:space="preserve">Implementación de procesos de sanidad e inocuidad alimentaria en el departamento del Quindío. </t>
  </si>
  <si>
    <t xml:space="preserve"> Fortalecimiento de nuevos emprendimientos e iniciativas clúster de las cadenas promisorias agropecuarias en el Departamento del Quindío.                     </t>
  </si>
  <si>
    <t xml:space="preserve"> Generación y desarrollo de acciones para la conservación de las áreas de importancia estratégica hídrica en el Departamento del Quindío </t>
  </si>
  <si>
    <t>314 SECRETARÍA DE EDUCACIÓN</t>
  </si>
  <si>
    <t xml:space="preserve">  Diseño e implementación de campañas para la promoción de la vida y prevención del consumo de sustancias psicoactivas en el Departamento del Quindío. "TU Y YO UNIDOS POR LA VIDA".  </t>
  </si>
  <si>
    <t xml:space="preserve">Implementación acciones de fortalecimiento de los entornos protectores de los jóvenes en barrios vulnerables de los municipios, del Departamento del Quindío. </t>
  </si>
  <si>
    <t xml:space="preserve"> Diseño e implementación de un  Modelo de  atención integral a la primera infancia  a través de las Rutas Integrales de Atención  RIA en el Departamento del  Quindío </t>
  </si>
  <si>
    <t xml:space="preserve"> Implementación de la política pública de Familia para la promoción del desarrollo integral de la población del Departamento del Quindío. </t>
  </si>
  <si>
    <t xml:space="preserve"> Diseño e implementación del programa de acompañamiento familiar y comunitario con enfoque preventivo en los tipos de violencias en el Departamento del Quindío "TU Y YO COMPROMETIDOS CON LA FAMILIA" </t>
  </si>
  <si>
    <t xml:space="preserve"> Diseño e implementación del programa comunitario para la prevención de los derechos de niños, niñas y adolescentes y su desarrollo integral. "TU Y YO COMPROMETIDOS CON LOS SUEÑOS". </t>
  </si>
  <si>
    <t xml:space="preserve"> Servicio de atención Post egreso de adolescentes y jóvenes, en los servicios de restablecimiento en la administración de justicia, con enfoque pedagógico y restaurativo encaminados a la inclusión social en el  Departamento del   Quindío.</t>
  </si>
  <si>
    <t xml:space="preserve">Formulación e Implementación del programa departamental para atención al ciudadano migrante y de repatriación.  </t>
  </si>
  <si>
    <t xml:space="preserve">Formulación e implementación   de proyectos productivos dirigidos a la población en condición de discapacidad y sus familias para la generación de  ingresos  y fortalecimiento del entorno familiar.  </t>
  </si>
  <si>
    <t xml:space="preserve">Apoyo en la construcción e Implementación de los Planes de Vida de los Cabildos y Resguardos indígenas asentados en el Departamento del Quindío "TU Y YO UNIDOS CON DIGNIDAD".  </t>
  </si>
  <si>
    <t xml:space="preserve"> Servicio  de atención integral e inclusión para el bienestar de los adultos mayores del departamento del Quindío </t>
  </si>
  <si>
    <t xml:space="preserve"> Implementación de  estrategias de acompañamiento y asesoría a las asociaciones de mujeres del departamento del Quindío</t>
  </si>
  <si>
    <t xml:space="preserve"> Implementación del  programa de liderazgo  para la participación femenina en escenarios sociales y políticos del departamento del Quindío</t>
  </si>
  <si>
    <t xml:space="preserve">  Implementación de la política pública de equidad de género para la mujer en el Departamento del Quindío  </t>
  </si>
  <si>
    <t xml:space="preserve">    Implementación de la política pública  de diversidad sexual en el Departamento del Quindío 20192029  </t>
  </si>
  <si>
    <t xml:space="preserve">Implementación de la Casa  de la Mujer Empoderada para la promoción a la participación ciudadana  de Mujeres en escenarios sociales, políticos y en fortalecimiento de la asociatividad  en el departamento del Quindío </t>
  </si>
  <si>
    <t>318 SECRETARÍA DE SALUD</t>
  </si>
  <si>
    <t xml:space="preserve"> Apoyo operativo a la inversión social en salud en el Departamento del Quindío </t>
  </si>
  <si>
    <t xml:space="preserve"> Aprovechamiento biológico y consumo de  alimentos inocuos  en el Departamento del Quindío </t>
  </si>
  <si>
    <t xml:space="preserve"> Fortalecimiento de la inclusión social para la disminución del riesgo de contraer enfermedades transmisibles en el Departamento del Quindío.  </t>
  </si>
  <si>
    <t xml:space="preserve"> Prevención vigilancia y control de eventos en el ámbito laboral en el Departamento del Quindío.  </t>
  </si>
  <si>
    <t xml:space="preserve"> Fortalecimiento del sistema de vigilancia en salud pública en el Departamento del Quindío. </t>
  </si>
  <si>
    <t>Fortalecimiento de las intervenciones colectivas y prioridades en salud pública del Departamento del Quindío PIC</t>
  </si>
  <si>
    <t>324 SECRETARÍA DE TECNOLOGÍA DE LA INFORMACIÓN Y COMUNICACÓN</t>
  </si>
  <si>
    <t xml:space="preserve"> Fortalecimiento  y apoyo a las tecnologías de la información y las comunicaciones en el departamento del Quindío.</t>
  </si>
  <si>
    <t>Asistencia y apropiación tecnológica generacional en el departamento del Quindio</t>
  </si>
  <si>
    <t xml:space="preserve"> Fortalecimiento del sector empresarial del departamento del Quindío </t>
  </si>
  <si>
    <t xml:space="preserve">   Implementación de la transformación digital del sector empresarial en el Departamento del Quindío  </t>
  </si>
  <si>
    <t xml:space="preserve">  Implementación  y  divulgación de la estrategia    "Quindío innovador y competitivo"   </t>
  </si>
  <si>
    <t xml:space="preserve"> Fortalecimiento de la estrategia de gobierno digital  en la Administración Departamental y  Entes Territoriales del departamento del  Quindío  </t>
  </si>
  <si>
    <t>319 INDEPORTES</t>
  </si>
  <si>
    <t xml:space="preserve">  Mantenimiento de obras complementarias a la infraestructura vial en el Departamento del Quindío </t>
  </si>
  <si>
    <t xml:space="preserve"> Apoyo en la formulación y ejecución de proyectos de vivienda en el Departamento del Quindío   </t>
  </si>
  <si>
    <t>321 INSTITUTO DEPARTAMENTAL DE TRÁNSITO DEL QUINDÍO</t>
  </si>
  <si>
    <t>TOTAL PROYECTOS INVERSION DEPARTAMENTAL 2023</t>
  </si>
  <si>
    <t>LUIS ALBERTO RINCÓN QUINTERO</t>
  </si>
  <si>
    <t>Secretario de Planeación Departamental</t>
  </si>
  <si>
    <t>Planeación</t>
  </si>
  <si>
    <t>Aguas e Infraestructura</t>
  </si>
  <si>
    <t>Interior</t>
  </si>
  <si>
    <t>Turismo Industria y Comercio</t>
  </si>
  <si>
    <t>Familia</t>
  </si>
  <si>
    <t>Salud</t>
  </si>
  <si>
    <t>Proyecta</t>
  </si>
  <si>
    <t xml:space="preserve">313 SECRETARÍA  PRIVADA </t>
  </si>
  <si>
    <t xml:space="preserve">313 SECRETARÍA PRIVADA </t>
  </si>
  <si>
    <t>313 SECRETARÍA PRIVADA</t>
  </si>
  <si>
    <t>Privada</t>
  </si>
  <si>
    <t>Secretaría Privada</t>
  </si>
  <si>
    <t>Secretario Privada</t>
  </si>
  <si>
    <t>Número</t>
  </si>
  <si>
    <t>450200100</t>
  </si>
  <si>
    <t>450200101</t>
  </si>
  <si>
    <t>459901800</t>
  </si>
  <si>
    <t>459902500</t>
  </si>
  <si>
    <t>RECURSO DEL CREDITO</t>
  </si>
  <si>
    <t>Fortalecimiento del sistema de gestión documental mediante la modernización locativa y tecnológica para garantizar el acceso a la información oportuna y eficiente en el departamento del Quindío</t>
  </si>
  <si>
    <t xml:space="preserve">Optimizar los procesos y procedimiento s relacionados con la Gestión Documental de la Administración Central Departamental </t>
  </si>
  <si>
    <t>Estudios y diseños de infraestructura vial</t>
  </si>
  <si>
    <t>Estudios de preinversión para la red vial regional</t>
  </si>
  <si>
    <t>Estudios y diseños de infraestructura vial elaborado.</t>
  </si>
  <si>
    <t>Estudios de preinversión realizados</t>
  </si>
  <si>
    <t xml:space="preserve">Elaboración estudios y diseños de Infraestructura vial en el Departamento de Quindío </t>
  </si>
  <si>
    <t>Realizar  estudios de pre inversión de infraestructura vial,  con el objeto de gestionar  recursos de inversión   para  la  optimización de la red vial, reducción de costos de operación y  mejoramiento de la calidad de vida se los  habitantes del  departamento del Quindío,</t>
  </si>
  <si>
    <t>Infraestructura  vial    construída, mejorada, ampliada,  mantenida, y/o  reforzada</t>
  </si>
  <si>
    <t>Vía secundaria mejorada</t>
  </si>
  <si>
    <t xml:space="preserve">Infraestructura  vial    construída, mejorada, ampliada,  mantenida, y/o  reforzada </t>
  </si>
  <si>
    <t>Mejoramiento de vías con soluciones tradicionales</t>
  </si>
  <si>
    <t>Mejoramiento de la vía Circasia-Montenegro con código 29BQN03, en los municipios de Circasia y Montenegro, departamento del  Quindio</t>
  </si>
  <si>
    <t>Mejorar la movilidad de la poblacion que transita la via que comunica a los municipios de Circasia y Montenegro.</t>
  </si>
  <si>
    <t>Rehabilitación y atención de vías, para restaurar la conectividad en el departamento</t>
  </si>
  <si>
    <t>Mejorar la intercomunicación terrestre en vías del Departamento del Quindío</t>
  </si>
  <si>
    <t>Adecuación y mantenimiento del hogar del anciano en el municipio de   La Tebaida</t>
  </si>
  <si>
    <t>Adecuar la infraestructura física del hogar del anciano en el municipio de La Tebaida</t>
  </si>
  <si>
    <t>Infraestructura de laboratorios costruida y dotada</t>
  </si>
  <si>
    <t>Modernización del laboratorio de salud pública departamental</t>
  </si>
  <si>
    <t>Mejorar la capacidad instalada del laboratorio de salud publica en la realización de las actividades de inspección, vigilancia y control IVC</t>
  </si>
  <si>
    <t>Índice Departamental de Competitividad</t>
  </si>
  <si>
    <t>Laboratorios construidos</t>
  </si>
  <si>
    <t xml:space="preserve">Acumulada </t>
  </si>
  <si>
    <t>Construcción y dotación de un centro de atención integral para personas con discapacidad en el departamento del Quindio</t>
  </si>
  <si>
    <t>Fortalecer infraestructura para la atención integral a personas con discapacidad en el departamento</t>
  </si>
  <si>
    <t>Fortalecimiento de la competitividad a través de la difución de los servicios complementarios del sector turistico del departamento del Quindío</t>
  </si>
  <si>
    <t>conocimiento de las ventajas competitivas del turismo como eje de desarrollo sostenible en el departamento del Quindío</t>
  </si>
  <si>
    <t>Implementación de herramientas que garanticen el acceso verídico y oportuno a la información para contribuir a la política pública de transparencia en el departamento del Quindío.</t>
  </si>
  <si>
    <t>Articular el acceso a la información pública de la administración departamental mediante el desarrollo e implementación de herramientas de difusión</t>
  </si>
  <si>
    <t>Recurso del Crédito</t>
  </si>
  <si>
    <t>Liderazgo, Gobernabilidad y Transparencia</t>
  </si>
  <si>
    <t>COMPROMISOS</t>
  </si>
  <si>
    <t>OBLIGACIONES</t>
  </si>
  <si>
    <t xml:space="preserve"> SGP EDUCACIÓN - CONECTIVIDAD 
</t>
  </si>
  <si>
    <t>Seguimiento Plan Operativo Anual de Inversiones POAI Vigencia   2023</t>
  </si>
  <si>
    <t>Plan de Desarrollo 2020-2023 "Tú y yo somos Quindío"</t>
  </si>
  <si>
    <t>RESPONSABLE
CARGO</t>
  </si>
  <si>
    <t>F-PLA-43</t>
  </si>
  <si>
    <t>% COMPROMISOS</t>
  </si>
  <si>
    <t>% OBLIGACIONES</t>
  </si>
  <si>
    <t>DISPONIBILIDADES</t>
  </si>
  <si>
    <t>% CD
DISPON
/APRO DEF</t>
  </si>
  <si>
    <t>% RP
COMPROM
APROP DEF</t>
  </si>
  <si>
    <t xml:space="preserve">OBLIGACIONES </t>
  </si>
  <si>
    <t>% OBLIG
OBLIG/PPTO</t>
  </si>
  <si>
    <t>PAGOS</t>
  </si>
  <si>
    <t>% PAGOS
PAGOS/
COMPR</t>
  </si>
  <si>
    <t>SALDOS
DISPONIBLES</t>
  </si>
  <si>
    <t>%  DISP.
SALDO
/APRO DEF</t>
  </si>
  <si>
    <t>Administrativa</t>
  </si>
  <si>
    <t>Hacienda</t>
  </si>
  <si>
    <t>Agricultura, Desarrollo Rural y Medio Ambiente</t>
  </si>
  <si>
    <t>Tecnología de la Información y las Comunicaciones</t>
  </si>
  <si>
    <t>TOTAL SECTOR CENTRAL</t>
  </si>
  <si>
    <t>Indeportes</t>
  </si>
  <si>
    <t>Instituto Departamental de Transito</t>
  </si>
  <si>
    <t>TOTAL DESCENTRALIZADOS</t>
  </si>
  <si>
    <t>TOTAL DEPARTAMENTO</t>
  </si>
  <si>
    <t>Presupuesto</t>
  </si>
  <si>
    <t>%</t>
  </si>
  <si>
    <t xml:space="preserve">Disponibilidades </t>
  </si>
  <si>
    <t>Compromisos</t>
  </si>
  <si>
    <t xml:space="preserve">Sobresaliente  (Entre 80%-100%) </t>
  </si>
  <si>
    <t>Obligaciones</t>
  </si>
  <si>
    <t>Satisfactorio (Entre 70% -79%)</t>
  </si>
  <si>
    <t xml:space="preserve">Pagos </t>
  </si>
  <si>
    <t>Medio (Entre 60%-69%)</t>
  </si>
  <si>
    <t>Disponible</t>
  </si>
  <si>
    <t>Bajo (Entre 40% - 59%)</t>
  </si>
  <si>
    <t>Critico (Entre 0% - 39%)</t>
  </si>
  <si>
    <t>SEMAFORO CUMPLIMIENTO</t>
  </si>
  <si>
    <t>% AP</t>
  </si>
  <si>
    <t xml:space="preserve">Recurso </t>
  </si>
  <si>
    <t>CONSOLIDADO EJECUCIÓN GASTOS DE INVERSIÓN DEPARTAMENTAL
A MARZO 31 DE 2023</t>
  </si>
  <si>
    <t>APROPIACIÓN DEFINITIVA</t>
  </si>
  <si>
    <t>Apropiación Definitiva</t>
  </si>
  <si>
    <t>Construcción y/o mejoramiento de las redes de acueducto y alcantarillado en los municipios del departamento del Quindío</t>
  </si>
  <si>
    <t>TOTAL EJECUTADA</t>
  </si>
  <si>
    <t>Tasa  Deporte</t>
  </si>
  <si>
    <t xml:space="preserve"> ESTAMPILLAS 
PRO - CULTURA
PRO - ADULTO MAYOR
PRO - DESARROLLO
TASA - DEPORTE
 </t>
  </si>
  <si>
    <t>Estudios y diseños para la adecuación del Puente Don Nicolás Via Armenia-Bohemia-Calarcá con código 40QN10 en el departamento del Quindío</t>
  </si>
  <si>
    <t>Mejorar el acceso de la vía que comunica al municipio de Armenia con Calarcá por el sector de la Bohemia</t>
  </si>
  <si>
    <t>Servicio de Investigación, Desarrollo e Innovación para la industria de las Tecnologías de la Información
Indicador principal : Modelos para el desarrollo de actividades I+D+i en la industria TIC nacional desarrollados</t>
  </si>
  <si>
    <t>Modelos para el desarrollo de actividades I+D+i en la industria TIC nacional desarrollados</t>
  </si>
  <si>
    <t xml:space="preserve">Índice Departamental de Competitividad
Tasa de desempleo
</t>
  </si>
  <si>
    <t>Mantenimiento y Mejoramiento del ECO Parque MIrador "Colina Iluminada" en el Municipio de Filandia.</t>
  </si>
  <si>
    <t>Mantenimiento y mejoramiento de la infraestructura del ECO PARQUE MIRADOR “COLINA ILUMINADA” en el municipio de Filandia</t>
  </si>
  <si>
    <t>Convenio 047/22 Resguardo Indigena</t>
  </si>
  <si>
    <t>Impuesto al Consumo</t>
  </si>
  <si>
    <t>Ingresos Corrientes de Libre Destinación</t>
  </si>
  <si>
    <t>Impuesto al Cigarrillo</t>
  </si>
  <si>
    <t>Nación  Convenios INVIAS</t>
  </si>
  <si>
    <t>Nación Ministerio Salud Laboratorio</t>
  </si>
  <si>
    <t>Realizar mantenimiento preventivo y correctivo a las redes de acueducto y alcantarillado</t>
  </si>
  <si>
    <t>Incrementar el índice de competitividad  en el sector de infraestructura vial,    a través de obras físicas complementarias, garantizando condiciones de eficiencia, seguridad y confort a los a sus usuarios</t>
  </si>
  <si>
    <t>Material de rio</t>
  </si>
  <si>
    <t>PLAN OPERATIVO ANUAL DE INVERSIONES POAI  2023
PLAN DE DESARROLLO 2020-2023 "TÚ Y YO SOMOS QUINDIO"
RELACIÓN PROYECTOS DE INVERSION EN EJECUCIÓN
PROYECCIÓN A DICIEMBRE 2023</t>
  </si>
  <si>
    <t>Estado de Ejecución Entes Descentralizados
Gastos de Inversión con proyección a diciembre 2023</t>
  </si>
  <si>
    <t>Estado de Ejecución Departamento Quindio
Gastos de Inversión con proyección a diciembre 2023</t>
  </si>
  <si>
    <t>Estado de Ejecución  Sector Central
Gastos de Inversión con con proyección a diciembre 2023</t>
  </si>
  <si>
    <t>PLAN OPERATIVO ANUAL DE INVERSIÓN POAI  2023
PLAN DE DESARROLLO 2020-2023 "TÚ Y YO SOMOS QUINDIO"
RELACIÓN DE RECURSOS POR LÍNEA ESTRATÉGICA
PROYECCION A DICIEMBRE 2023</t>
  </si>
  <si>
    <t>PLAN OPERATIVO ANUAL DE INVERSIÓN POAI  2023
PLAN DE DESARROLLO 2020-2023 "TÚ Y YO SOMOS QUINDIO"
REPORTE UNIDADES EJECUTORAS POR FUENTES DE FINANCIACIÓN
PROYECCION A DICIEMBRE 2023</t>
  </si>
  <si>
    <t>PLAN OPERATIVO ANUAL DE INVERSIÓN POAI  2023
PLAN DE DESARROLLO 2020-2023 "TÚ Y YO SOMOS QUINDIO"
REPORTE UNIDADES EJECUTORAS POR PROGRAMAS
PROYECCION A DICIEMBRE  2023</t>
  </si>
  <si>
    <t>Con proyección a diciembre 2023</t>
  </si>
  <si>
    <t>MONOPOLIO EDUCACIÓN SALUD  INDEPORTES</t>
  </si>
  <si>
    <t>FUENTES DE FINANCIACIÓN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</si>
</sst>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_(&quot;$&quot;\ * #,##0.00_);_(&quot;$&quot;\ * \(#,##0.00\);_(&quot;$&quot;\ * &quot;-&quot;??_);_(@_)"/>
    <numFmt numFmtId="167" formatCode="_(* #,##0.00_);_(* \(#,##0.00\);_(* &quot;-&quot;??_);_(@_)"/>
    <numFmt numFmtId="168" formatCode="_-* #,##0.00\ _€_-;\-* #,##0.00\ _€_-;_-* &quot;-&quot;??\ _€_-;_-@_-"/>
    <numFmt numFmtId="169" formatCode="_([$$-240A]\ * #,##0.00_);_([$$-240A]\ * \(#,##0.00\);_([$$-240A]\ * &quot;-&quot;??_);_(@_)"/>
    <numFmt numFmtId="170" formatCode="00"/>
    <numFmt numFmtId="171" formatCode="_(* #,##0_);_(* \(#,##0\);_(* &quot;-&quot;??_);_(@_)"/>
    <numFmt numFmtId="172" formatCode="_-* #,##0_-;\-* #,##0_-;_-* &quot;-&quot;??_-;_-@_-"/>
    <numFmt numFmtId="173" formatCode="_-&quot;$&quot;\ * #,##0.00_-;\-&quot;$&quot;\ * #,##0.00_-;_-&quot;$&quot;\ * &quot;-&quot;_-;_-@_-"/>
    <numFmt numFmtId="174" formatCode="_ [$€-2]\ * #,##0.00_ ;_ [$€-2]\ * \-#,##0.00_ ;_ [$€-2]\ * &quot;-&quot;??_ "/>
    <numFmt numFmtId="175" formatCode="#,##0."/>
    <numFmt numFmtId="176" formatCode="_ * #,##0.00_ ;_ * \-#,##0.00_ ;_ * &quot;-&quot;??_ ;_ @_ "/>
    <numFmt numFmtId="177" formatCode="_([$$-240A]\ * #,##0.0_);_([$$-240A]\ * \(#,##0.0\);_([$$-240A]\ * &quot;-&quot;??_);_(@_)"/>
    <numFmt numFmtId="178" formatCode="&quot;$&quot;\ #,##0.00"/>
    <numFmt numFmtId="179" formatCode="0.000"/>
    <numFmt numFmtId="180" formatCode="0.0"/>
  </numFmts>
  <fonts count="75">
    <font>
      <sz val="11"/>
      <color theme="1"/>
      <name val="Calibri"/>
      <family val="2"/>
      <scheme val="minor"/>
    </font>
    <font>
      <sz val="11"/>
      <color theme="1"/>
      <name val="Calibri"/>
      <family val="2"/>
      <scheme val="minor"/>
    </font>
    <font>
      <sz val="12"/>
      <name val="Arial"/>
      <family val="2"/>
    </font>
    <font>
      <b/>
      <sz val="12"/>
      <name val="Arial"/>
      <family val="2"/>
    </font>
    <font>
      <b/>
      <sz val="10"/>
      <name val="Arial"/>
      <family val="2"/>
    </font>
    <font>
      <sz val="11"/>
      <color indexed="8"/>
      <name val="Calibri"/>
      <family val="2"/>
    </font>
    <font>
      <sz val="12"/>
      <color theme="1"/>
      <name val="Arial"/>
      <family val="2"/>
    </font>
    <font>
      <b/>
      <sz val="11"/>
      <color rgb="FF6F6F6E"/>
      <name val="Calibri"/>
      <family val="2"/>
      <scheme val="minor"/>
    </font>
    <font>
      <sz val="10"/>
      <name val="Arial"/>
      <family val="2"/>
    </font>
    <font>
      <b/>
      <sz val="11"/>
      <color theme="0"/>
      <name val="Calibri"/>
      <family val="2"/>
      <scheme val="minor"/>
    </font>
    <font>
      <sz val="11"/>
      <color rgb="FF00000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8"/>
      <color theme="3"/>
      <name val="Calibri Light"/>
      <family val="2"/>
      <scheme val="major"/>
    </font>
    <font>
      <sz val="10"/>
      <color theme="1"/>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
      <color indexed="8"/>
      <name val="Courier"/>
      <family val="3"/>
    </font>
    <font>
      <b/>
      <sz val="1"/>
      <color indexed="8"/>
      <name val="Courier"/>
      <family val="3"/>
    </font>
    <font>
      <b/>
      <i/>
      <sz val="1"/>
      <color indexed="8"/>
      <name val="Courier"/>
      <family val="3"/>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0"/>
      <name val="Arial"/>
      <family val="2"/>
      <charset val="1"/>
    </font>
    <font>
      <sz val="11"/>
      <color rgb="FFFFFFFF"/>
      <name val="Arial"/>
      <family val="2"/>
      <charset val="1"/>
    </font>
    <font>
      <sz val="9"/>
      <color indexed="81"/>
      <name val="Tahoma"/>
      <family val="2"/>
    </font>
    <font>
      <b/>
      <sz val="9"/>
      <color indexed="81"/>
      <name val="Tahoma"/>
      <family val="2"/>
    </font>
    <font>
      <b/>
      <sz val="14"/>
      <name val="Arial"/>
      <family val="2"/>
    </font>
    <font>
      <b/>
      <sz val="10"/>
      <color theme="1"/>
      <name val="Arial"/>
      <family val="2"/>
    </font>
    <font>
      <sz val="10"/>
      <color theme="1"/>
      <name val="Arial"/>
      <family val="2"/>
    </font>
    <font>
      <sz val="10"/>
      <color rgb="FF000000"/>
      <name val="Arial"/>
      <family val="2"/>
    </font>
    <font>
      <b/>
      <sz val="10"/>
      <color rgb="FF000000"/>
      <name val="Arial"/>
      <family val="2"/>
    </font>
    <font>
      <sz val="8"/>
      <color rgb="FF000000"/>
      <name val="Arial"/>
      <family val="2"/>
    </font>
    <font>
      <sz val="8"/>
      <color theme="1"/>
      <name val="Arial"/>
      <family val="2"/>
    </font>
    <font>
      <sz val="9"/>
      <color theme="1"/>
      <name val="Arial"/>
      <family val="2"/>
    </font>
    <font>
      <b/>
      <sz val="11"/>
      <name val="Arial"/>
      <family val="2"/>
    </font>
    <font>
      <sz val="11"/>
      <name val="Arial"/>
      <family val="2"/>
    </font>
    <font>
      <b/>
      <sz val="12"/>
      <color theme="1"/>
      <name val="Arial"/>
      <family val="2"/>
    </font>
    <font>
      <b/>
      <sz val="10"/>
      <color theme="0"/>
      <name val="Arial"/>
      <family val="2"/>
    </font>
    <font>
      <sz val="12"/>
      <color theme="0"/>
      <name val="Arial"/>
      <family val="2"/>
    </font>
    <font>
      <sz val="11"/>
      <name val="Calibri"/>
      <family val="2"/>
      <scheme val="minor"/>
    </font>
    <font>
      <sz val="11"/>
      <name val="Calibri"/>
      <family val="2"/>
    </font>
    <font>
      <sz val="11"/>
      <color rgb="FF000000"/>
      <name val="Arial"/>
      <family val="2"/>
    </font>
    <font>
      <sz val="11"/>
      <color rgb="FF000000"/>
      <name val="Calibri"/>
      <family val="2"/>
    </font>
    <font>
      <sz val="11"/>
      <color indexed="8"/>
      <name val="Calibri"/>
      <family val="2"/>
    </font>
    <font>
      <b/>
      <sz val="11"/>
      <color rgb="FF6F6F6E"/>
      <name val="Calibri"/>
      <family val="2"/>
    </font>
    <font>
      <sz val="10"/>
      <name val="Arial Nova Cond Light"/>
      <family val="2"/>
    </font>
    <font>
      <b/>
      <sz val="12"/>
      <color rgb="FF595959"/>
      <name val="Arial"/>
      <family val="2"/>
    </font>
    <font>
      <sz val="11"/>
      <color theme="1"/>
      <name val="Arial"/>
      <family val="2"/>
    </font>
    <font>
      <sz val="10"/>
      <color indexed="8"/>
      <name val="MS Sans Serif"/>
      <family val="2"/>
    </font>
    <font>
      <sz val="10"/>
      <color indexed="8"/>
      <name val="MS Sans Serif"/>
    </font>
    <font>
      <sz val="10"/>
      <color theme="0"/>
      <name val="Arial"/>
      <family val="2"/>
    </font>
  </fonts>
  <fills count="7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ECECEC"/>
        <bgColor indexed="64"/>
      </patternFill>
    </fill>
    <fill>
      <patternFill patternType="solid">
        <fgColor rgb="FF522B57"/>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FF6600"/>
        <bgColor rgb="FFFF9900"/>
      </patternFill>
    </fill>
    <fill>
      <patternFill patternType="solid">
        <fgColor theme="3" tint="0.39997558519241921"/>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D6DCE4"/>
        <bgColor indexed="64"/>
      </patternFill>
    </fill>
    <fill>
      <patternFill patternType="solid">
        <fgColor rgb="FFFFFFFF"/>
        <bgColor indexed="64"/>
      </patternFill>
    </fill>
    <fill>
      <patternFill patternType="solid">
        <fgColor rgb="FFE2EFDA"/>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FF0000"/>
        <bgColor indexed="64"/>
      </patternFill>
    </fill>
    <fill>
      <patternFill patternType="solid">
        <fgColor rgb="FF00B05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002060"/>
        <bgColor indexed="64"/>
      </patternFill>
    </fill>
  </fills>
  <borders count="90">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522B57"/>
      </left>
      <right style="thin">
        <color rgb="FF522B57"/>
      </right>
      <top style="thin">
        <color rgb="FF522B57"/>
      </top>
      <bottom style="thin">
        <color rgb="FF522B57"/>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rgb="FFECECEC"/>
      </left>
      <right style="medium">
        <color rgb="FFECECEC"/>
      </right>
      <top style="medium">
        <color rgb="FFECECEC"/>
      </top>
      <bottom style="medium">
        <color rgb="FFECECEC"/>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style="medium">
        <color indexed="64"/>
      </right>
      <top style="medium">
        <color indexed="64"/>
      </top>
      <bottom/>
      <diagonal/>
    </border>
    <border>
      <left/>
      <right style="thin">
        <color rgb="FF000000"/>
      </right>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right style="thin">
        <color rgb="FF000000"/>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rgb="FF000000"/>
      </left>
      <right style="thin">
        <color indexed="64"/>
      </right>
      <top style="thin">
        <color indexed="64"/>
      </top>
      <bottom style="medium">
        <color indexed="64"/>
      </bottom>
      <diagonal/>
    </border>
    <border>
      <left style="thin">
        <color rgb="FF000000"/>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rgb="FF000000"/>
      </top>
      <bottom style="medium">
        <color rgb="FF000000"/>
      </bottom>
      <diagonal/>
    </border>
    <border>
      <left style="thin">
        <color rgb="FF000000"/>
      </left>
      <right/>
      <top style="thin">
        <color indexed="64"/>
      </top>
      <bottom style="thin">
        <color indexed="64"/>
      </bottom>
      <diagonal/>
    </border>
    <border>
      <left style="thin">
        <color rgb="FF000000"/>
      </left>
      <right/>
      <top style="thin">
        <color indexed="64"/>
      </top>
      <bottom/>
      <diagonal/>
    </border>
    <border>
      <left style="thin">
        <color indexed="64"/>
      </left>
      <right/>
      <top style="thin">
        <color indexed="64"/>
      </top>
      <bottom style="medium">
        <color indexed="64"/>
      </bottom>
      <diagonal/>
    </border>
    <border>
      <left style="thin">
        <color rgb="FF000000"/>
      </left>
      <right/>
      <top style="thin">
        <color rgb="FF000000"/>
      </top>
      <bottom/>
      <diagonal/>
    </border>
    <border>
      <left style="thin">
        <color rgb="FF000000"/>
      </left>
      <right/>
      <top style="thin">
        <color rgb="FF000000"/>
      </top>
      <bottom style="thin">
        <color indexed="64"/>
      </bottom>
      <diagonal/>
    </border>
    <border>
      <left style="thin">
        <color rgb="FF000000"/>
      </left>
      <right/>
      <top/>
      <bottom style="thin">
        <color rgb="FF000000"/>
      </bottom>
      <diagonal/>
    </border>
  </borders>
  <cellStyleXfs count="444">
    <xf numFmtId="169" fontId="0" fillId="0" borderId="0"/>
    <xf numFmtId="43" fontId="1" fillId="0" borderId="0" applyFont="0" applyFill="0" applyBorder="0" applyAlignment="0" applyProtection="0"/>
    <xf numFmtId="42" fontId="1" fillId="0" borderId="0" applyFont="0" applyFill="0" applyBorder="0" applyAlignment="0" applyProtection="0"/>
    <xf numFmtId="167" fontId="5" fillId="0" borderId="0" applyFont="0" applyFill="0" applyBorder="0" applyAlignment="0" applyProtection="0"/>
    <xf numFmtId="169" fontId="7" fillId="4" borderId="10">
      <alignment horizontal="center" vertical="center" wrapText="1"/>
    </xf>
    <xf numFmtId="0" fontId="1" fillId="0" borderId="0"/>
    <xf numFmtId="167" fontId="1" fillId="0" borderId="0" applyFont="0" applyFill="0" applyBorder="0" applyAlignment="0" applyProtection="0"/>
    <xf numFmtId="0" fontId="7" fillId="4" borderId="10">
      <alignment horizontal="center" vertical="center" wrapText="1"/>
    </xf>
    <xf numFmtId="169" fontId="8" fillId="0" borderId="0"/>
    <xf numFmtId="165"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0" fontId="9" fillId="5" borderId="14">
      <alignment horizontal="center" vertical="center" wrapText="1"/>
    </xf>
    <xf numFmtId="0" fontId="8" fillId="0" borderId="0"/>
    <xf numFmtId="0" fontId="10" fillId="0" borderId="0"/>
    <xf numFmtId="0" fontId="8" fillId="0" borderId="0"/>
    <xf numFmtId="0" fontId="1" fillId="0" borderId="0"/>
    <xf numFmtId="0" fontId="1" fillId="0" borderId="0"/>
    <xf numFmtId="0" fontId="11" fillId="0" borderId="26" applyNumberFormat="0" applyFill="0" applyAlignment="0" applyProtection="0"/>
    <xf numFmtId="0" fontId="12" fillId="0" borderId="27" applyNumberFormat="0" applyFill="0" applyAlignment="0" applyProtection="0"/>
    <xf numFmtId="0" fontId="13" fillId="0" borderId="28" applyNumberFormat="0" applyFill="0" applyAlignment="0" applyProtection="0"/>
    <xf numFmtId="0" fontId="13" fillId="0" borderId="0" applyNumberFormat="0" applyFill="0" applyBorder="0" applyAlignment="0" applyProtection="0"/>
    <xf numFmtId="0" fontId="14" fillId="6" borderId="0" applyNumberFormat="0" applyBorder="0" applyAlignment="0" applyProtection="0"/>
    <xf numFmtId="0" fontId="15" fillId="7" borderId="0" applyNumberFormat="0" applyBorder="0" applyAlignment="0" applyProtection="0"/>
    <xf numFmtId="0" fontId="16" fillId="8" borderId="29" applyNumberFormat="0" applyAlignment="0" applyProtection="0"/>
    <xf numFmtId="0" fontId="17" fillId="9" borderId="30" applyNumberFormat="0" applyAlignment="0" applyProtection="0"/>
    <xf numFmtId="0" fontId="18" fillId="9" borderId="29" applyNumberFormat="0" applyAlignment="0" applyProtection="0"/>
    <xf numFmtId="0" fontId="19" fillId="0" borderId="31" applyNumberFormat="0" applyFill="0" applyAlignment="0" applyProtection="0"/>
    <xf numFmtId="0" fontId="9" fillId="10" borderId="32" applyNumberFormat="0" applyAlignment="0" applyProtection="0"/>
    <xf numFmtId="0" fontId="20" fillId="0" borderId="0" applyNumberFormat="0" applyFill="0" applyBorder="0" applyAlignment="0" applyProtection="0"/>
    <xf numFmtId="0" fontId="1" fillId="11" borderId="33" applyNumberFormat="0" applyFont="0" applyAlignment="0" applyProtection="0"/>
    <xf numFmtId="0" fontId="21" fillId="0" borderId="0" applyNumberFormat="0" applyFill="0" applyBorder="0" applyAlignment="0" applyProtection="0"/>
    <xf numFmtId="0" fontId="22" fillId="0" borderId="34" applyNumberFormat="0" applyFill="0" applyAlignment="0" applyProtection="0"/>
    <xf numFmtId="0" fontId="23"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23" fillId="35" borderId="0" applyNumberFormat="0" applyBorder="0" applyAlignment="0" applyProtection="0"/>
    <xf numFmtId="0" fontId="1" fillId="0" borderId="0"/>
    <xf numFmtId="169" fontId="1" fillId="0" borderId="0"/>
    <xf numFmtId="174" fontId="1" fillId="21" borderId="0" applyNumberFormat="0" applyBorder="0" applyAlignment="0" applyProtection="0"/>
    <xf numFmtId="174" fontId="1" fillId="0" borderId="0"/>
    <xf numFmtId="169" fontId="1" fillId="0" borderId="0"/>
    <xf numFmtId="0" fontId="25" fillId="0" borderId="0" applyNumberFormat="0" applyFill="0" applyBorder="0" applyAlignment="0" applyProtection="0"/>
    <xf numFmtId="174" fontId="12" fillId="0" borderId="27" applyNumberFormat="0" applyFill="0" applyAlignment="0" applyProtection="0"/>
    <xf numFmtId="174" fontId="1" fillId="0" borderId="0"/>
    <xf numFmtId="174" fontId="1" fillId="34" borderId="0" applyNumberFormat="0" applyBorder="0" applyAlignment="0" applyProtection="0"/>
    <xf numFmtId="174" fontId="9" fillId="10" borderId="32" applyNumberFormat="0" applyAlignment="0" applyProtection="0"/>
    <xf numFmtId="174" fontId="18" fillId="9" borderId="29" applyNumberFormat="0" applyAlignment="0" applyProtection="0"/>
    <xf numFmtId="174" fontId="1" fillId="0" borderId="0"/>
    <xf numFmtId="169" fontId="1" fillId="0" borderId="0"/>
    <xf numFmtId="174" fontId="23" fillId="23" borderId="0" applyNumberFormat="0" applyBorder="0" applyAlignment="0" applyProtection="0"/>
    <xf numFmtId="174" fontId="1" fillId="0" borderId="0"/>
    <xf numFmtId="174" fontId="1" fillId="0" borderId="0"/>
    <xf numFmtId="174" fontId="1" fillId="0" borderId="0"/>
    <xf numFmtId="169" fontId="1" fillId="0" borderId="0"/>
    <xf numFmtId="174" fontId="15" fillId="7" borderId="0" applyNumberFormat="0" applyBorder="0" applyAlignment="0" applyProtection="0"/>
    <xf numFmtId="174" fontId="1" fillId="0" borderId="0"/>
    <xf numFmtId="169" fontId="1" fillId="0" borderId="0"/>
    <xf numFmtId="174" fontId="23" fillId="35" borderId="0" applyNumberFormat="0" applyBorder="0" applyAlignment="0" applyProtection="0"/>
    <xf numFmtId="169" fontId="1" fillId="0" borderId="0"/>
    <xf numFmtId="174" fontId="1" fillId="0" borderId="0"/>
    <xf numFmtId="174"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5"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2" fontId="1" fillId="0" borderId="0" applyFont="0" applyFill="0" applyBorder="0" applyAlignment="0" applyProtection="0"/>
    <xf numFmtId="165" fontId="1" fillId="0" borderId="0" applyFont="0" applyFill="0" applyBorder="0" applyAlignment="0" applyProtection="0"/>
    <xf numFmtId="43"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26" fillId="0" borderId="0"/>
    <xf numFmtId="44" fontId="1" fillId="0" borderId="0" applyFont="0" applyFill="0" applyBorder="0" applyAlignment="0" applyProtection="0"/>
    <xf numFmtId="0" fontId="8" fillId="0" borderId="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42" fontId="8" fillId="0" borderId="0" applyFont="0" applyFill="0" applyBorder="0" applyAlignment="0" applyProtection="0"/>
    <xf numFmtId="174" fontId="1" fillId="0" borderId="0"/>
    <xf numFmtId="0" fontId="1" fillId="0" borderId="0"/>
    <xf numFmtId="0" fontId="1" fillId="0" borderId="0"/>
    <xf numFmtId="9"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9" fontId="8"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44"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0" fontId="1" fillId="0" borderId="0"/>
    <xf numFmtId="43" fontId="5" fillId="0" borderId="0" applyFont="0" applyFill="0" applyBorder="0" applyAlignment="0" applyProtection="0"/>
    <xf numFmtId="0" fontId="26" fillId="0" borderId="0"/>
    <xf numFmtId="164" fontId="1" fillId="0" borderId="0" applyFont="0" applyFill="0" applyBorder="0" applyAlignment="0" applyProtection="0"/>
    <xf numFmtId="0" fontId="1" fillId="0" borderId="0"/>
    <xf numFmtId="169" fontId="1" fillId="0" borderId="0"/>
    <xf numFmtId="174" fontId="19" fillId="0" borderId="31" applyNumberFormat="0" applyFill="0" applyAlignment="0" applyProtection="0"/>
    <xf numFmtId="169" fontId="1" fillId="0" borderId="0"/>
    <xf numFmtId="174" fontId="23" fillId="20" borderId="0" applyNumberFormat="0" applyBorder="0" applyAlignment="0" applyProtection="0"/>
    <xf numFmtId="174" fontId="1" fillId="0" borderId="0"/>
    <xf numFmtId="169" fontId="1" fillId="0" borderId="0"/>
    <xf numFmtId="174" fontId="1" fillId="0" borderId="0"/>
    <xf numFmtId="174" fontId="1" fillId="0" borderId="0"/>
    <xf numFmtId="174" fontId="1" fillId="0" borderId="0"/>
    <xf numFmtId="174" fontId="1" fillId="0" borderId="0"/>
    <xf numFmtId="174" fontId="1" fillId="0" borderId="0"/>
    <xf numFmtId="174" fontId="16" fillId="8" borderId="29" applyNumberFormat="0" applyAlignment="0" applyProtection="0"/>
    <xf numFmtId="169" fontId="1" fillId="0" borderId="0"/>
    <xf numFmtId="174" fontId="1" fillId="0" borderId="0"/>
    <xf numFmtId="174" fontId="23" fillId="16" borderId="0" applyNumberFormat="0" applyBorder="0" applyAlignment="0" applyProtection="0"/>
    <xf numFmtId="174" fontId="1" fillId="0" borderId="0"/>
    <xf numFmtId="174" fontId="1" fillId="0" borderId="0"/>
    <xf numFmtId="174" fontId="1" fillId="0" borderId="0"/>
    <xf numFmtId="174" fontId="23" fillId="24" borderId="0" applyNumberFormat="0" applyBorder="0" applyAlignment="0" applyProtection="0"/>
    <xf numFmtId="174" fontId="1" fillId="0" borderId="0"/>
    <xf numFmtId="174" fontId="13" fillId="0" borderId="28" applyNumberFormat="0" applyFill="0" applyAlignment="0" applyProtection="0"/>
    <xf numFmtId="169" fontId="1" fillId="0" borderId="0"/>
    <xf numFmtId="174" fontId="24" fillId="0" borderId="0" applyNumberFormat="0" applyFill="0" applyBorder="0" applyAlignment="0" applyProtection="0"/>
    <xf numFmtId="174" fontId="1" fillId="0" borderId="0"/>
    <xf numFmtId="174" fontId="1" fillId="0" borderId="0"/>
    <xf numFmtId="169" fontId="1" fillId="0" borderId="0"/>
    <xf numFmtId="174" fontId="1" fillId="14" borderId="0" applyNumberFormat="0" applyBorder="0" applyAlignment="0" applyProtection="0"/>
    <xf numFmtId="174" fontId="26" fillId="0" borderId="0"/>
    <xf numFmtId="174" fontId="1" fillId="0" borderId="0"/>
    <xf numFmtId="169" fontId="1" fillId="0" borderId="0"/>
    <xf numFmtId="174" fontId="1" fillId="0" borderId="0"/>
    <xf numFmtId="174" fontId="13" fillId="0" borderId="0" applyNumberFormat="0" applyFill="0" applyBorder="0" applyAlignment="0" applyProtection="0"/>
    <xf numFmtId="174" fontId="1" fillId="0" borderId="0"/>
    <xf numFmtId="174" fontId="1" fillId="11" borderId="33" applyNumberFormat="0" applyFont="0" applyAlignment="0" applyProtection="0"/>
    <xf numFmtId="174" fontId="1" fillId="0" borderId="0"/>
    <xf numFmtId="174" fontId="17" fillId="9" borderId="30" applyNumberFormat="0" applyAlignment="0" applyProtection="0"/>
    <xf numFmtId="169" fontId="1" fillId="0" borderId="0"/>
    <xf numFmtId="169" fontId="1" fillId="0" borderId="0"/>
    <xf numFmtId="174" fontId="1" fillId="0" borderId="0"/>
    <xf numFmtId="174" fontId="1" fillId="0" borderId="0"/>
    <xf numFmtId="174" fontId="1" fillId="0" borderId="0"/>
    <xf numFmtId="169" fontId="1" fillId="0" borderId="0"/>
    <xf numFmtId="174" fontId="8" fillId="0" borderId="0"/>
    <xf numFmtId="174" fontId="23" fillId="15" borderId="0" applyNumberFormat="0" applyBorder="0" applyAlignment="0" applyProtection="0"/>
    <xf numFmtId="169" fontId="1" fillId="0" borderId="0"/>
    <xf numFmtId="174" fontId="1" fillId="33" borderId="0" applyNumberFormat="0" applyBorder="0" applyAlignment="0" applyProtection="0"/>
    <xf numFmtId="174" fontId="1" fillId="0" borderId="0"/>
    <xf numFmtId="174" fontId="1" fillId="0" borderId="0"/>
    <xf numFmtId="174" fontId="1" fillId="26" borderId="0" applyNumberFormat="0" applyBorder="0" applyAlignment="0" applyProtection="0"/>
    <xf numFmtId="169" fontId="1" fillId="0" borderId="0"/>
    <xf numFmtId="174" fontId="22" fillId="0" borderId="34" applyNumberFormat="0" applyFill="0" applyAlignment="0" applyProtection="0"/>
    <xf numFmtId="174" fontId="8" fillId="0" borderId="0"/>
    <xf numFmtId="174" fontId="1" fillId="0" borderId="0"/>
    <xf numFmtId="174" fontId="1" fillId="29" borderId="0" applyNumberFormat="0" applyBorder="0" applyAlignment="0" applyProtection="0"/>
    <xf numFmtId="174" fontId="23" fillId="12" borderId="0" applyNumberFormat="0" applyBorder="0" applyAlignment="0" applyProtection="0"/>
    <xf numFmtId="174" fontId="1" fillId="0" borderId="0"/>
    <xf numFmtId="169" fontId="1" fillId="0" borderId="0"/>
    <xf numFmtId="174" fontId="1" fillId="0" borderId="0"/>
    <xf numFmtId="169" fontId="1" fillId="0" borderId="0"/>
    <xf numFmtId="169" fontId="1" fillId="0" borderId="0"/>
    <xf numFmtId="174" fontId="8" fillId="0" borderId="0"/>
    <xf numFmtId="174" fontId="25" fillId="0" borderId="0" applyNumberFormat="0" applyFill="0" applyBorder="0" applyAlignment="0" applyProtection="0"/>
    <xf numFmtId="174" fontId="1" fillId="0" borderId="0"/>
    <xf numFmtId="174" fontId="1" fillId="13" borderId="0" applyNumberFormat="0" applyBorder="0" applyAlignment="0" applyProtection="0"/>
    <xf numFmtId="174" fontId="1" fillId="0" borderId="0"/>
    <xf numFmtId="174" fontId="23" fillId="31" borderId="0" applyNumberFormat="0" applyBorder="0" applyAlignment="0" applyProtection="0"/>
    <xf numFmtId="174" fontId="1" fillId="0" borderId="0"/>
    <xf numFmtId="174" fontId="23" fillId="27" borderId="0" applyNumberFormat="0" applyBorder="0" applyAlignment="0" applyProtection="0"/>
    <xf numFmtId="174" fontId="1" fillId="0" borderId="0"/>
    <xf numFmtId="174" fontId="1" fillId="0" borderId="0"/>
    <xf numFmtId="174" fontId="1" fillId="0" borderId="0"/>
    <xf numFmtId="174" fontId="1" fillId="0" borderId="0"/>
    <xf numFmtId="174" fontId="23" fillId="19" borderId="0" applyNumberFormat="0" applyBorder="0" applyAlignment="0" applyProtection="0"/>
    <xf numFmtId="174" fontId="1" fillId="0" borderId="0"/>
    <xf numFmtId="174" fontId="8" fillId="0" borderId="0"/>
    <xf numFmtId="174" fontId="1" fillId="0" borderId="0"/>
    <xf numFmtId="174" fontId="10" fillId="0" borderId="0"/>
    <xf numFmtId="174" fontId="1" fillId="0" borderId="0"/>
    <xf numFmtId="174" fontId="23" fillId="32" borderId="0" applyNumberFormat="0" applyBorder="0" applyAlignment="0" applyProtection="0"/>
    <xf numFmtId="174" fontId="20" fillId="0" borderId="0" applyNumberFormat="0" applyFill="0" applyBorder="0" applyAlignment="0" applyProtection="0"/>
    <xf numFmtId="174" fontId="1" fillId="30" borderId="0" applyNumberFormat="0" applyBorder="0" applyAlignment="0" applyProtection="0"/>
    <xf numFmtId="174" fontId="1" fillId="18" borderId="0" applyNumberFormat="0" applyBorder="0" applyAlignment="0" applyProtection="0"/>
    <xf numFmtId="174" fontId="21" fillId="0" borderId="0" applyNumberFormat="0" applyFill="0" applyBorder="0" applyAlignment="0" applyProtection="0"/>
    <xf numFmtId="174" fontId="1" fillId="17" borderId="0" applyNumberFormat="0" applyBorder="0" applyAlignment="0" applyProtection="0"/>
    <xf numFmtId="174" fontId="14" fillId="6" borderId="0" applyNumberFormat="0" applyBorder="0" applyAlignment="0" applyProtection="0"/>
    <xf numFmtId="169" fontId="1" fillId="0" borderId="0"/>
    <xf numFmtId="169" fontId="1" fillId="0" borderId="0"/>
    <xf numFmtId="174" fontId="1" fillId="25" borderId="0" applyNumberFormat="0" applyBorder="0" applyAlignment="0" applyProtection="0"/>
    <xf numFmtId="174" fontId="1" fillId="0" borderId="0"/>
    <xf numFmtId="174" fontId="1" fillId="0" borderId="0"/>
    <xf numFmtId="174" fontId="1" fillId="22" borderId="0" applyNumberFormat="0" applyBorder="0" applyAlignment="0" applyProtection="0"/>
    <xf numFmtId="174" fontId="7" fillId="4" borderId="10">
      <alignment horizontal="center" vertical="center" wrapText="1"/>
    </xf>
    <xf numFmtId="174" fontId="1" fillId="0" borderId="0"/>
    <xf numFmtId="174" fontId="7" fillId="4" borderId="10">
      <alignment horizontal="center" vertical="center" wrapText="1"/>
    </xf>
    <xf numFmtId="174" fontId="1" fillId="0" borderId="0"/>
    <xf numFmtId="174" fontId="23" fillId="28" borderId="0" applyNumberFormat="0" applyBorder="0" applyAlignment="0" applyProtection="0"/>
    <xf numFmtId="169" fontId="1" fillId="0" borderId="0"/>
    <xf numFmtId="174" fontId="1" fillId="0" borderId="0"/>
    <xf numFmtId="174" fontId="1" fillId="0" borderId="0"/>
    <xf numFmtId="174" fontId="11" fillId="0" borderId="26" applyNumberFormat="0" applyFill="0" applyAlignment="0" applyProtection="0"/>
    <xf numFmtId="174" fontId="26" fillId="0" borderId="0"/>
    <xf numFmtId="174" fontId="1" fillId="0" borderId="0"/>
    <xf numFmtId="174" fontId="1" fillId="0" borderId="0"/>
    <xf numFmtId="174" fontId="1" fillId="0" borderId="0"/>
    <xf numFmtId="169" fontId="1" fillId="0" borderId="0"/>
    <xf numFmtId="174" fontId="1" fillId="0" borderId="0"/>
    <xf numFmtId="174" fontId="1" fillId="0" borderId="0"/>
    <xf numFmtId="0" fontId="8" fillId="0" borderId="0"/>
    <xf numFmtId="174" fontId="1" fillId="0" borderId="0"/>
    <xf numFmtId="174" fontId="1" fillId="0" borderId="0"/>
    <xf numFmtId="174" fontId="1" fillId="0" borderId="0"/>
    <xf numFmtId="169" fontId="1" fillId="0" borderId="0"/>
    <xf numFmtId="0" fontId="1" fillId="0" borderId="0"/>
    <xf numFmtId="0" fontId="8" fillId="0" borderId="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27" fillId="46" borderId="0" applyNumberFormat="0" applyBorder="0" applyAlignment="0" applyProtection="0"/>
    <xf numFmtId="0" fontId="27" fillId="43" borderId="0" applyNumberFormat="0" applyBorder="0" applyAlignment="0" applyProtection="0"/>
    <xf numFmtId="0" fontId="27" fillId="44" borderId="0" applyNumberFormat="0" applyBorder="0" applyAlignment="0" applyProtection="0"/>
    <xf numFmtId="0" fontId="27" fillId="47" borderId="0" applyNumberFormat="0" applyBorder="0" applyAlignment="0" applyProtection="0"/>
    <xf numFmtId="0" fontId="27" fillId="48" borderId="0" applyNumberFormat="0" applyBorder="0" applyAlignment="0" applyProtection="0"/>
    <xf numFmtId="0" fontId="27" fillId="49" borderId="0" applyNumberFormat="0" applyBorder="0" applyAlignment="0" applyProtection="0"/>
    <xf numFmtId="0" fontId="28" fillId="38" borderId="0" applyNumberFormat="0" applyBorder="0" applyAlignment="0" applyProtection="0"/>
    <xf numFmtId="0" fontId="29" fillId="50" borderId="35" applyNumberFormat="0" applyAlignment="0" applyProtection="0"/>
    <xf numFmtId="0" fontId="30" fillId="51" borderId="36" applyNumberFormat="0" applyAlignment="0" applyProtection="0"/>
    <xf numFmtId="0" fontId="31" fillId="0" borderId="37" applyNumberFormat="0" applyFill="0" applyAlignment="0" applyProtection="0"/>
    <xf numFmtId="0" fontId="32" fillId="0" borderId="0" applyNumberFormat="0" applyFill="0" applyBorder="0" applyAlignment="0" applyProtection="0"/>
    <xf numFmtId="0" fontId="27" fillId="52" borderId="0" applyNumberFormat="0" applyBorder="0" applyAlignment="0" applyProtection="0"/>
    <xf numFmtId="0" fontId="27" fillId="53" borderId="0" applyNumberFormat="0" applyBorder="0" applyAlignment="0" applyProtection="0"/>
    <xf numFmtId="0" fontId="27" fillId="54" borderId="0" applyNumberFormat="0" applyBorder="0" applyAlignment="0" applyProtection="0"/>
    <xf numFmtId="0" fontId="27" fillId="47" borderId="0" applyNumberFormat="0" applyBorder="0" applyAlignment="0" applyProtection="0"/>
    <xf numFmtId="0" fontId="27" fillId="48" borderId="0" applyNumberFormat="0" applyBorder="0" applyAlignment="0" applyProtection="0"/>
    <xf numFmtId="0" fontId="27" fillId="55" borderId="0" applyNumberFormat="0" applyBorder="0" applyAlignment="0" applyProtection="0"/>
    <xf numFmtId="0" fontId="33" fillId="41" borderId="35" applyNumberFormat="0" applyAlignment="0" applyProtection="0"/>
    <xf numFmtId="174" fontId="8" fillId="0" borderId="0" applyFont="0" applyFill="0" applyBorder="0" applyAlignment="0" applyProtection="0"/>
    <xf numFmtId="174" fontId="8" fillId="0" borderId="0" applyFont="0" applyFill="0" applyBorder="0" applyAlignment="0" applyProtection="0"/>
    <xf numFmtId="175" fontId="34" fillId="0" borderId="0">
      <protection locked="0"/>
    </xf>
    <xf numFmtId="175" fontId="34" fillId="0" borderId="0">
      <protection locked="0"/>
    </xf>
    <xf numFmtId="175" fontId="34" fillId="0" borderId="0">
      <protection locked="0"/>
    </xf>
    <xf numFmtId="175" fontId="35" fillId="0" borderId="0">
      <protection locked="0"/>
    </xf>
    <xf numFmtId="175" fontId="36" fillId="0" borderId="0">
      <protection locked="0"/>
    </xf>
    <xf numFmtId="175" fontId="35" fillId="0" borderId="0">
      <protection locked="0"/>
    </xf>
    <xf numFmtId="175" fontId="36" fillId="0" borderId="0">
      <protection locked="0"/>
    </xf>
    <xf numFmtId="0" fontId="37" fillId="37" borderId="0" applyNumberFormat="0" applyBorder="0" applyAlignment="0" applyProtection="0"/>
    <xf numFmtId="176" fontId="8" fillId="0" borderId="0" applyFont="0" applyFill="0" applyBorder="0" applyAlignment="0" applyProtection="0"/>
    <xf numFmtId="0" fontId="38" fillId="56" borderId="0" applyNumberFormat="0" applyBorder="0" applyAlignment="0" applyProtection="0"/>
    <xf numFmtId="0" fontId="8" fillId="0" borderId="0"/>
    <xf numFmtId="174" fontId="5" fillId="0" borderId="0"/>
    <xf numFmtId="0" fontId="8" fillId="0" borderId="0"/>
    <xf numFmtId="174" fontId="5" fillId="0" borderId="0"/>
    <xf numFmtId="0" fontId="8" fillId="0" borderId="0"/>
    <xf numFmtId="174" fontId="5" fillId="0" borderId="0"/>
    <xf numFmtId="0" fontId="8" fillId="0" borderId="0"/>
    <xf numFmtId="0" fontId="8" fillId="0" borderId="0"/>
    <xf numFmtId="174" fontId="5" fillId="0" borderId="0"/>
    <xf numFmtId="174" fontId="5" fillId="0" borderId="0"/>
    <xf numFmtId="0" fontId="8" fillId="0" borderId="0"/>
    <xf numFmtId="0" fontId="8" fillId="0" borderId="0"/>
    <xf numFmtId="0" fontId="8" fillId="0" borderId="0"/>
    <xf numFmtId="174" fontId="5" fillId="0" borderId="0"/>
    <xf numFmtId="174" fontId="5" fillId="0" borderId="0"/>
    <xf numFmtId="174" fontId="5" fillId="0" borderId="0"/>
    <xf numFmtId="0" fontId="8" fillId="0" borderId="0"/>
    <xf numFmtId="0" fontId="1" fillId="0" borderId="0"/>
    <xf numFmtId="174" fontId="5" fillId="0" borderId="0"/>
    <xf numFmtId="174" fontId="5" fillId="0" borderId="0"/>
    <xf numFmtId="0" fontId="8" fillId="0" borderId="0"/>
    <xf numFmtId="0" fontId="8" fillId="0" borderId="0"/>
    <xf numFmtId="0" fontId="8" fillId="0" borderId="0"/>
    <xf numFmtId="0" fontId="46" fillId="0" borderId="0"/>
    <xf numFmtId="0" fontId="8" fillId="0" borderId="0"/>
    <xf numFmtId="0" fontId="8" fillId="0" borderId="0"/>
    <xf numFmtId="0" fontId="8" fillId="57" borderId="39" applyNumberFormat="0" applyFont="0" applyAlignment="0" applyProtection="0"/>
    <xf numFmtId="0" fontId="8" fillId="57" borderId="39" applyNumberFormat="0" applyFont="0" applyAlignment="0" applyProtection="0"/>
    <xf numFmtId="0" fontId="39" fillId="50" borderId="40" applyNumberFormat="0" applyAlignment="0" applyProtection="0"/>
    <xf numFmtId="0" fontId="47" fillId="58" borderId="0"/>
    <xf numFmtId="0" fontId="40" fillId="0" borderId="0" applyNumberFormat="0" applyFill="0" applyBorder="0" applyAlignment="0" applyProtection="0"/>
    <xf numFmtId="0" fontId="41" fillId="0" borderId="0" applyNumberFormat="0" applyFill="0" applyBorder="0" applyAlignment="0" applyProtection="0"/>
    <xf numFmtId="0" fontId="42" fillId="0" borderId="38" applyNumberFormat="0" applyFill="0" applyAlignment="0" applyProtection="0"/>
    <xf numFmtId="0" fontId="43" fillId="0" borderId="41" applyNumberFormat="0" applyFill="0" applyAlignment="0" applyProtection="0"/>
    <xf numFmtId="0" fontId="32" fillId="0" borderId="42" applyNumberFormat="0" applyFill="0" applyAlignment="0" applyProtection="0"/>
    <xf numFmtId="0" fontId="44" fillId="0" borderId="0" applyNumberFormat="0" applyFill="0" applyBorder="0" applyAlignment="0" applyProtection="0"/>
    <xf numFmtId="0" fontId="45" fillId="0" borderId="43" applyNumberFormat="0" applyFill="0" applyAlignment="0" applyProtection="0"/>
    <xf numFmtId="0" fontId="8" fillId="0" borderId="0"/>
    <xf numFmtId="166"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174" fontId="1" fillId="0" borderId="0"/>
    <xf numFmtId="0" fontId="64" fillId="0" borderId="0">
      <alignment vertical="center"/>
    </xf>
    <xf numFmtId="166" fontId="66" fillId="0" borderId="0">
      <alignment vertical="top"/>
      <protection locked="0"/>
    </xf>
    <xf numFmtId="9" fontId="67" fillId="0" borderId="0">
      <alignment vertical="top"/>
      <protection locked="0"/>
    </xf>
    <xf numFmtId="169" fontId="68" fillId="4" borderId="10">
      <protection locked="0"/>
    </xf>
    <xf numFmtId="43" fontId="66" fillId="0" borderId="0">
      <alignment vertical="top"/>
      <protection locked="0"/>
    </xf>
    <xf numFmtId="43" fontId="67" fillId="0" borderId="0">
      <alignment vertical="top"/>
      <protection locked="0"/>
    </xf>
    <xf numFmtId="9" fontId="66" fillId="0" borderId="0">
      <alignment vertical="top"/>
      <protection locked="0"/>
    </xf>
    <xf numFmtId="9" fontId="66" fillId="0" borderId="0">
      <alignment vertical="top"/>
      <protection locked="0"/>
    </xf>
    <xf numFmtId="0" fontId="65" fillId="0" borderId="0">
      <protection locked="0"/>
    </xf>
    <xf numFmtId="0" fontId="65" fillId="0" borderId="0">
      <protection locked="0"/>
    </xf>
    <xf numFmtId="43" fontId="66" fillId="0" borderId="0">
      <alignment vertical="top"/>
      <protection locked="0"/>
    </xf>
    <xf numFmtId="0" fontId="1" fillId="0" borderId="0"/>
    <xf numFmtId="0" fontId="64" fillId="0" borderId="0">
      <alignment vertical="center"/>
    </xf>
    <xf numFmtId="169" fontId="68" fillId="4" borderId="10">
      <protection locked="0"/>
    </xf>
    <xf numFmtId="43" fontId="10" fillId="0" borderId="0">
      <alignment vertical="top"/>
      <protection locked="0"/>
    </xf>
    <xf numFmtId="43" fontId="5" fillId="0" borderId="0">
      <alignment vertical="top"/>
      <protection locked="0"/>
    </xf>
    <xf numFmtId="9" fontId="5" fillId="0" borderId="0">
      <alignment vertical="top"/>
      <protection locked="0"/>
    </xf>
    <xf numFmtId="9" fontId="10" fillId="0" borderId="0">
      <alignment vertical="top"/>
      <protection locked="0"/>
    </xf>
    <xf numFmtId="9" fontId="10" fillId="0" borderId="0">
      <alignment vertical="top"/>
      <protection locked="0"/>
    </xf>
    <xf numFmtId="43" fontId="1" fillId="0" borderId="0" applyFont="0" applyFill="0" applyBorder="0" applyAlignment="0" applyProtection="0"/>
    <xf numFmtId="43" fontId="5"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71" fillId="0" borderId="0" applyFont="0" applyFill="0" applyBorder="0" applyAlignment="0" applyProtection="0"/>
    <xf numFmtId="43" fontId="1" fillId="0" borderId="0" applyFont="0" applyFill="0" applyBorder="0" applyAlignment="0" applyProtection="0"/>
    <xf numFmtId="0" fontId="1" fillId="0" borderId="0"/>
    <xf numFmtId="0" fontId="71" fillId="0" borderId="0"/>
    <xf numFmtId="0" fontId="71" fillId="0" borderId="0"/>
    <xf numFmtId="0" fontId="72" fillId="0" borderId="0"/>
    <xf numFmtId="0" fontId="72" fillId="0" borderId="0"/>
    <xf numFmtId="0" fontId="72" fillId="0" borderId="0"/>
    <xf numFmtId="0" fontId="72" fillId="0" borderId="0"/>
    <xf numFmtId="0" fontId="72" fillId="0" borderId="0"/>
    <xf numFmtId="0" fontId="73" fillId="0" borderId="0"/>
    <xf numFmtId="0" fontId="73" fillId="0" borderId="0"/>
    <xf numFmtId="0" fontId="73" fillId="0" borderId="0"/>
    <xf numFmtId="0" fontId="73" fillId="0" borderId="0"/>
    <xf numFmtId="0" fontId="73"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cellStyleXfs>
  <cellXfs count="580">
    <xf numFmtId="169" fontId="0" fillId="0" borderId="0" xfId="0"/>
    <xf numFmtId="169" fontId="2" fillId="0" borderId="0" xfId="0" applyFont="1"/>
    <xf numFmtId="169" fontId="2" fillId="2" borderId="0" xfId="0" applyFont="1" applyFill="1"/>
    <xf numFmtId="169" fontId="4" fillId="0" borderId="0" xfId="0" applyFont="1" applyAlignment="1">
      <alignment horizontal="center" vertical="center"/>
    </xf>
    <xf numFmtId="169" fontId="3" fillId="0" borderId="0" xfId="0" applyFont="1" applyAlignment="1">
      <alignment vertical="center"/>
    </xf>
    <xf numFmtId="0" fontId="2" fillId="0" borderId="0" xfId="0" applyNumberFormat="1" applyFont="1" applyAlignment="1">
      <alignment horizontal="center" vertical="center"/>
    </xf>
    <xf numFmtId="169" fontId="2" fillId="0" borderId="0" xfId="0" applyFont="1" applyAlignment="1">
      <alignment horizontal="center"/>
    </xf>
    <xf numFmtId="0" fontId="2" fillId="0" borderId="0" xfId="0" applyNumberFormat="1" applyFont="1" applyAlignment="1">
      <alignment horizontal="center" vertical="center" wrapText="1"/>
    </xf>
    <xf numFmtId="169" fontId="2" fillId="0" borderId="0" xfId="0" applyFont="1" applyAlignment="1">
      <alignment horizontal="justify" vertical="center" wrapText="1"/>
    </xf>
    <xf numFmtId="169" fontId="3" fillId="0" borderId="0" xfId="0" applyFont="1"/>
    <xf numFmtId="169" fontId="3" fillId="0" borderId="5" xfId="0" applyFont="1" applyBorder="1" applyAlignment="1">
      <alignment horizontal="center" vertical="center" wrapText="1"/>
    </xf>
    <xf numFmtId="169" fontId="3" fillId="0" borderId="6" xfId="0" applyFont="1" applyBorder="1" applyAlignment="1">
      <alignment horizontal="center" vertical="center" wrapText="1"/>
    </xf>
    <xf numFmtId="0" fontId="2" fillId="0" borderId="13" xfId="0" applyNumberFormat="1" applyFont="1" applyBorder="1" applyAlignment="1">
      <alignment horizontal="center" vertical="center" wrapText="1"/>
    </xf>
    <xf numFmtId="0" fontId="3" fillId="0" borderId="13" xfId="0" applyNumberFormat="1" applyFont="1" applyBorder="1" applyAlignment="1">
      <alignment horizontal="center" vertical="center" wrapText="1"/>
    </xf>
    <xf numFmtId="0" fontId="2" fillId="0" borderId="13" xfId="0" applyNumberFormat="1" applyFont="1" applyBorder="1" applyAlignment="1">
      <alignment horizontal="center" vertical="center"/>
    </xf>
    <xf numFmtId="0" fontId="2" fillId="0" borderId="13" xfId="5" applyFont="1" applyBorder="1" applyAlignment="1">
      <alignment horizontal="justify" vertical="center" wrapText="1"/>
    </xf>
    <xf numFmtId="0" fontId="2" fillId="0" borderId="3" xfId="0" applyNumberFormat="1" applyFont="1" applyBorder="1" applyAlignment="1">
      <alignment horizontal="center" vertical="center" wrapText="1"/>
    </xf>
    <xf numFmtId="169" fontId="2" fillId="0" borderId="3" xfId="0" applyFont="1" applyBorder="1" applyAlignment="1">
      <alignment horizontal="justify" vertical="center" wrapText="1"/>
    </xf>
    <xf numFmtId="169" fontId="2" fillId="0" borderId="0" xfId="0" applyFont="1" applyAlignment="1">
      <alignment vertical="center"/>
    </xf>
    <xf numFmtId="0" fontId="3" fillId="0" borderId="0" xfId="0" applyNumberFormat="1" applyFont="1" applyAlignment="1">
      <alignment horizontal="center" vertical="center" wrapText="1"/>
    </xf>
    <xf numFmtId="169" fontId="2" fillId="0" borderId="16" xfId="0" applyFont="1" applyBorder="1" applyAlignment="1">
      <alignment horizontal="justify" vertical="center" wrapText="1"/>
    </xf>
    <xf numFmtId="43" fontId="2" fillId="0" borderId="13" xfId="1" applyFont="1" applyFill="1" applyBorder="1" applyAlignment="1">
      <alignment vertical="center"/>
    </xf>
    <xf numFmtId="0" fontId="2" fillId="0" borderId="16" xfId="0" applyNumberFormat="1" applyFont="1" applyBorder="1" applyAlignment="1">
      <alignment horizontal="center" vertical="center" wrapText="1"/>
    </xf>
    <xf numFmtId="169" fontId="2" fillId="0" borderId="13" xfId="0" applyFont="1" applyBorder="1" applyAlignment="1">
      <alignment horizontal="justify" vertical="center" wrapText="1"/>
    </xf>
    <xf numFmtId="0" fontId="2" fillId="0" borderId="13" xfId="0" applyNumberFormat="1" applyFont="1" applyBorder="1" applyAlignment="1">
      <alignment horizontal="justify" vertical="center" wrapText="1"/>
    </xf>
    <xf numFmtId="0" fontId="3" fillId="0" borderId="44"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xf numFmtId="0" fontId="2" fillId="0" borderId="44" xfId="0" applyNumberFormat="1" applyFont="1" applyBorder="1" applyAlignment="1">
      <alignment horizontal="center" vertical="center" wrapText="1"/>
    </xf>
    <xf numFmtId="0" fontId="2" fillId="0" borderId="16" xfId="0" applyNumberFormat="1" applyFont="1" applyBorder="1" applyAlignment="1">
      <alignment horizontal="center" vertical="center"/>
    </xf>
    <xf numFmtId="43" fontId="2" fillId="0" borderId="13" xfId="1" applyFont="1" applyFill="1" applyBorder="1" applyAlignment="1">
      <alignment horizontal="left" vertical="center"/>
    </xf>
    <xf numFmtId="0" fontId="2" fillId="0" borderId="5" xfId="0" applyNumberFormat="1" applyFont="1" applyBorder="1" applyAlignment="1">
      <alignment horizontal="center" vertical="center" wrapText="1"/>
    </xf>
    <xf numFmtId="0" fontId="2" fillId="0" borderId="12" xfId="0" applyNumberFormat="1" applyFont="1" applyBorder="1" applyAlignment="1">
      <alignment horizontal="center" vertical="center" wrapText="1"/>
    </xf>
    <xf numFmtId="0" fontId="2" fillId="0" borderId="24" xfId="0" applyNumberFormat="1" applyFont="1" applyBorder="1" applyAlignment="1">
      <alignment horizontal="center" vertical="center"/>
    </xf>
    <xf numFmtId="169" fontId="2" fillId="0" borderId="25" xfId="0" applyFont="1" applyBorder="1" applyAlignment="1">
      <alignment horizontal="justify" vertical="center" wrapText="1"/>
    </xf>
    <xf numFmtId="43" fontId="2" fillId="0" borderId="25" xfId="1" applyFont="1" applyFill="1" applyBorder="1" applyAlignment="1">
      <alignment vertical="center"/>
    </xf>
    <xf numFmtId="0" fontId="2" fillId="0" borderId="45" xfId="0" applyNumberFormat="1" applyFont="1" applyBorder="1" applyAlignment="1">
      <alignment horizontal="center" vertical="center" wrapText="1"/>
    </xf>
    <xf numFmtId="0" fontId="2" fillId="0" borderId="47" xfId="0" applyNumberFormat="1" applyFont="1" applyBorder="1" applyAlignment="1">
      <alignment horizontal="center" vertical="center" wrapText="1"/>
    </xf>
    <xf numFmtId="0" fontId="2" fillId="0" borderId="11" xfId="0" applyNumberFormat="1" applyFont="1" applyBorder="1" applyAlignment="1">
      <alignment horizontal="center" vertical="center" wrapText="1"/>
    </xf>
    <xf numFmtId="43" fontId="2" fillId="0" borderId="0" xfId="1" applyFont="1" applyBorder="1" applyAlignment="1">
      <alignment horizontal="center"/>
    </xf>
    <xf numFmtId="169" fontId="6" fillId="0" borderId="0" xfId="0" applyFont="1"/>
    <xf numFmtId="0" fontId="3" fillId="0" borderId="45" xfId="0" applyNumberFormat="1" applyFont="1" applyBorder="1" applyAlignment="1">
      <alignment horizontal="center" vertical="center" wrapText="1"/>
    </xf>
    <xf numFmtId="0" fontId="3" fillId="0" borderId="46" xfId="0" applyNumberFormat="1" applyFont="1" applyBorder="1" applyAlignment="1">
      <alignment horizontal="center" vertical="center" wrapText="1"/>
    </xf>
    <xf numFmtId="0" fontId="2" fillId="0" borderId="46" xfId="0" applyNumberFormat="1" applyFont="1" applyBorder="1" applyAlignment="1">
      <alignment horizontal="center" vertical="center" wrapText="1"/>
    </xf>
    <xf numFmtId="0" fontId="2" fillId="2" borderId="9" xfId="0" applyNumberFormat="1" applyFont="1" applyFill="1" applyBorder="1" applyAlignment="1">
      <alignment horizontal="center" vertical="center" wrapText="1"/>
    </xf>
    <xf numFmtId="43" fontId="2" fillId="0" borderId="3" xfId="1" applyFont="1" applyFill="1" applyBorder="1" applyAlignment="1">
      <alignment horizontal="left" vertical="center"/>
    </xf>
    <xf numFmtId="0" fontId="2" fillId="0" borderId="3" xfId="0" applyNumberFormat="1" applyFont="1" applyBorder="1" applyAlignment="1">
      <alignment horizontal="center" vertical="center"/>
    </xf>
    <xf numFmtId="169" fontId="2" fillId="0" borderId="13" xfId="0" applyFont="1" applyBorder="1" applyAlignment="1">
      <alignment horizontal="justify" vertical="center"/>
    </xf>
    <xf numFmtId="0" fontId="2" fillId="0" borderId="45" xfId="0" applyNumberFormat="1" applyFont="1" applyBorder="1" applyAlignment="1">
      <alignment horizontal="center" vertical="center"/>
    </xf>
    <xf numFmtId="0" fontId="2" fillId="0" borderId="12" xfId="0" applyNumberFormat="1" applyFont="1" applyBorder="1" applyAlignment="1">
      <alignment horizontal="center" vertical="center"/>
    </xf>
    <xf numFmtId="43" fontId="2" fillId="0" borderId="13" xfId="1" applyFont="1" applyBorder="1" applyAlignment="1">
      <alignment horizontal="left" vertical="center"/>
    </xf>
    <xf numFmtId="0" fontId="2" fillId="0" borderId="13" xfId="0" applyNumberFormat="1" applyFont="1" applyBorder="1" applyAlignment="1">
      <alignment horizontal="justify" vertical="center"/>
    </xf>
    <xf numFmtId="43" fontId="2" fillId="0" borderId="0" xfId="1" applyFont="1" applyAlignment="1">
      <alignment horizontal="center"/>
    </xf>
    <xf numFmtId="0" fontId="3" fillId="0" borderId="0" xfId="0" applyNumberFormat="1" applyFont="1" applyAlignment="1">
      <alignment horizontal="center" vertical="center"/>
    </xf>
    <xf numFmtId="169" fontId="3" fillId="0" borderId="0" xfId="0" applyFont="1" applyAlignment="1">
      <alignment horizontal="center"/>
    </xf>
    <xf numFmtId="43" fontId="3" fillId="0" borderId="0" xfId="1" applyFont="1" applyFill="1" applyAlignment="1">
      <alignment horizontal="center"/>
    </xf>
    <xf numFmtId="0" fontId="2" fillId="0" borderId="3" xfId="0" applyNumberFormat="1" applyFont="1" applyBorder="1" applyAlignment="1">
      <alignment horizontal="left" vertical="center" wrapText="1"/>
    </xf>
    <xf numFmtId="0" fontId="3" fillId="61" borderId="13" xfId="0" applyNumberFormat="1" applyFont="1" applyFill="1" applyBorder="1" applyAlignment="1">
      <alignment horizontal="left" vertical="center"/>
    </xf>
    <xf numFmtId="0" fontId="2" fillId="0" borderId="22" xfId="0" applyNumberFormat="1" applyFont="1" applyBorder="1" applyAlignment="1">
      <alignment horizontal="center" vertical="center"/>
    </xf>
    <xf numFmtId="0" fontId="2" fillId="0" borderId="18" xfId="0" applyNumberFormat="1" applyFont="1" applyBorder="1" applyAlignment="1">
      <alignment horizontal="center" vertical="center" wrapText="1"/>
    </xf>
    <xf numFmtId="169" fontId="2" fillId="0" borderId="18" xfId="0" applyFont="1" applyBorder="1" applyAlignment="1">
      <alignment horizontal="justify" vertical="center" wrapText="1"/>
    </xf>
    <xf numFmtId="43" fontId="2" fillId="0" borderId="22" xfId="1" applyFont="1" applyBorder="1" applyAlignment="1">
      <alignment horizontal="center"/>
    </xf>
    <xf numFmtId="169" fontId="3" fillId="61" borderId="19" xfId="0" applyFont="1" applyFill="1" applyBorder="1" applyAlignment="1">
      <alignment horizontal="center" vertical="center"/>
    </xf>
    <xf numFmtId="0" fontId="3" fillId="61" borderId="13" xfId="0" applyNumberFormat="1" applyFont="1" applyFill="1" applyBorder="1" applyAlignment="1">
      <alignment horizontal="center" vertical="center"/>
    </xf>
    <xf numFmtId="169" fontId="3" fillId="61" borderId="13" xfId="0" applyFont="1" applyFill="1" applyBorder="1" applyAlignment="1">
      <alignment horizontal="center" vertical="center"/>
    </xf>
    <xf numFmtId="43" fontId="3" fillId="61" borderId="13" xfId="1" applyFont="1" applyFill="1" applyBorder="1" applyAlignment="1">
      <alignment horizontal="center" vertical="center"/>
    </xf>
    <xf numFmtId="0" fontId="3" fillId="61" borderId="17" xfId="0" applyNumberFormat="1" applyFont="1" applyFill="1" applyBorder="1" applyAlignment="1">
      <alignment horizontal="left" vertical="center"/>
    </xf>
    <xf numFmtId="0" fontId="3" fillId="60" borderId="3" xfId="0" applyNumberFormat="1" applyFont="1" applyFill="1" applyBorder="1" applyAlignment="1">
      <alignment horizontal="center" vertical="center" wrapText="1"/>
    </xf>
    <xf numFmtId="0" fontId="3" fillId="60" borderId="3" xfId="0" applyNumberFormat="1" applyFont="1" applyFill="1" applyBorder="1" applyAlignment="1">
      <alignment horizontal="left" vertical="center" wrapText="1"/>
    </xf>
    <xf numFmtId="169" fontId="22" fillId="0" borderId="0" xfId="0" applyFont="1"/>
    <xf numFmtId="43" fontId="3" fillId="60" borderId="3" xfId="1" applyFont="1" applyFill="1" applyBorder="1" applyAlignment="1">
      <alignment horizontal="center" vertical="center"/>
    </xf>
    <xf numFmtId="0" fontId="3" fillId="61" borderId="54" xfId="0" applyNumberFormat="1" applyFont="1" applyFill="1" applyBorder="1" applyAlignment="1">
      <alignment horizontal="left" vertical="center"/>
    </xf>
    <xf numFmtId="0" fontId="3" fillId="61" borderId="55" xfId="0" applyNumberFormat="1" applyFont="1" applyFill="1" applyBorder="1" applyAlignment="1">
      <alignment horizontal="center" vertical="center"/>
    </xf>
    <xf numFmtId="169" fontId="3" fillId="61" borderId="55" xfId="0" applyFont="1" applyFill="1" applyBorder="1" applyAlignment="1">
      <alignment horizontal="center" vertical="center"/>
    </xf>
    <xf numFmtId="43" fontId="3" fillId="61" borderId="56" xfId="1" applyFont="1" applyFill="1" applyBorder="1" applyAlignment="1">
      <alignment horizontal="center" vertical="center"/>
    </xf>
    <xf numFmtId="0" fontId="3" fillId="62" borderId="48" xfId="0" applyNumberFormat="1" applyFont="1" applyFill="1" applyBorder="1" applyAlignment="1">
      <alignment horizontal="left" vertical="center"/>
    </xf>
    <xf numFmtId="0" fontId="3" fillId="62" borderId="49" xfId="0" applyNumberFormat="1" applyFont="1" applyFill="1" applyBorder="1" applyAlignment="1">
      <alignment horizontal="center" vertical="center"/>
    </xf>
    <xf numFmtId="169" fontId="3" fillId="62" borderId="49" xfId="0" applyFont="1" applyFill="1" applyBorder="1" applyAlignment="1">
      <alignment horizontal="center"/>
    </xf>
    <xf numFmtId="43" fontId="3" fillId="62" borderId="52" xfId="1" applyFont="1" applyFill="1" applyBorder="1" applyAlignment="1">
      <alignment horizontal="center" vertical="center"/>
    </xf>
    <xf numFmtId="0" fontId="3" fillId="60" borderId="13" xfId="0" applyNumberFormat="1" applyFont="1" applyFill="1" applyBorder="1" applyAlignment="1">
      <alignment horizontal="left" vertical="center"/>
    </xf>
    <xf numFmtId="43" fontId="3" fillId="60" borderId="13" xfId="1" applyFont="1" applyFill="1" applyBorder="1" applyAlignment="1">
      <alignment horizontal="left" vertical="center"/>
    </xf>
    <xf numFmtId="0" fontId="3" fillId="60" borderId="13" xfId="0" applyNumberFormat="1" applyFont="1" applyFill="1" applyBorder="1" applyAlignment="1">
      <alignment horizontal="center" vertical="center"/>
    </xf>
    <xf numFmtId="0" fontId="3" fillId="60" borderId="13" xfId="0" applyNumberFormat="1" applyFont="1" applyFill="1" applyBorder="1" applyAlignment="1">
      <alignment horizontal="left" vertical="center" wrapText="1"/>
    </xf>
    <xf numFmtId="43" fontId="3" fillId="60" borderId="13" xfId="1" applyFont="1" applyFill="1" applyBorder="1" applyAlignment="1">
      <alignment horizontal="left" vertical="center" wrapText="1"/>
    </xf>
    <xf numFmtId="0" fontId="4" fillId="62" borderId="2" xfId="0" applyNumberFormat="1" applyFont="1" applyFill="1" applyBorder="1" applyAlignment="1">
      <alignment horizontal="center" vertical="center" wrapText="1"/>
    </xf>
    <xf numFmtId="0" fontId="4" fillId="62" borderId="3" xfId="0" applyNumberFormat="1" applyFont="1" applyFill="1" applyBorder="1" applyAlignment="1">
      <alignment horizontal="center" vertical="center" wrapText="1"/>
    </xf>
    <xf numFmtId="171" fontId="4" fillId="62" borderId="3" xfId="3" applyNumberFormat="1" applyFont="1" applyFill="1" applyBorder="1" applyAlignment="1">
      <alignment horizontal="center" vertical="center" wrapText="1"/>
    </xf>
    <xf numFmtId="169" fontId="52" fillId="0" borderId="0" xfId="0" applyFont="1"/>
    <xf numFmtId="169" fontId="4" fillId="62" borderId="3" xfId="0" applyFont="1" applyFill="1" applyBorder="1" applyAlignment="1">
      <alignment horizontal="center" vertical="center" wrapText="1"/>
    </xf>
    <xf numFmtId="0" fontId="2" fillId="0" borderId="16" xfId="0" applyNumberFormat="1" applyFont="1" applyBorder="1" applyAlignment="1">
      <alignment vertical="center"/>
    </xf>
    <xf numFmtId="0" fontId="2" fillId="0" borderId="13" xfId="0" applyNumberFormat="1" applyFont="1" applyBorder="1" applyAlignment="1">
      <alignment vertical="center"/>
    </xf>
    <xf numFmtId="0" fontId="3" fillId="61" borderId="25" xfId="0" applyNumberFormat="1" applyFont="1" applyFill="1" applyBorder="1" applyAlignment="1">
      <alignment horizontal="left" vertical="center"/>
    </xf>
    <xf numFmtId="169" fontId="3" fillId="61" borderId="25" xfId="0" applyFont="1" applyFill="1" applyBorder="1" applyAlignment="1">
      <alignment horizontal="center" vertical="center"/>
    </xf>
    <xf numFmtId="43" fontId="3" fillId="61" borderId="25" xfId="1" applyFont="1" applyFill="1" applyBorder="1" applyAlignment="1">
      <alignment horizontal="center" vertical="center"/>
    </xf>
    <xf numFmtId="43" fontId="2" fillId="0" borderId="19" xfId="1" applyFont="1" applyFill="1" applyBorder="1" applyAlignment="1">
      <alignment horizontal="left" vertical="center"/>
    </xf>
    <xf numFmtId="0" fontId="2" fillId="0" borderId="53" xfId="0" applyNumberFormat="1" applyFont="1" applyBorder="1" applyAlignment="1">
      <alignment horizontal="center" vertical="center" wrapText="1"/>
    </xf>
    <xf numFmtId="0" fontId="2" fillId="0" borderId="3" xfId="0" applyNumberFormat="1" applyFont="1" applyBorder="1" applyAlignment="1">
      <alignment vertical="center"/>
    </xf>
    <xf numFmtId="169" fontId="2" fillId="0" borderId="16" xfId="0" applyFont="1" applyBorder="1" applyAlignment="1">
      <alignment horizontal="justify" vertical="center"/>
    </xf>
    <xf numFmtId="0" fontId="2" fillId="0" borderId="17" xfId="0" applyNumberFormat="1" applyFont="1" applyBorder="1" applyAlignment="1">
      <alignment vertical="center"/>
    </xf>
    <xf numFmtId="43" fontId="2" fillId="0" borderId="17" xfId="1" applyFont="1" applyFill="1" applyBorder="1" applyAlignment="1">
      <alignment vertical="center"/>
    </xf>
    <xf numFmtId="43" fontId="2" fillId="0" borderId="3" xfId="1" applyFont="1" applyFill="1" applyBorder="1" applyAlignment="1">
      <alignment vertical="center"/>
    </xf>
    <xf numFmtId="0" fontId="3" fillId="66" borderId="17" xfId="0" applyNumberFormat="1" applyFont="1" applyFill="1" applyBorder="1" applyAlignment="1">
      <alignment horizontal="center" vertical="center" wrapText="1"/>
    </xf>
    <xf numFmtId="0" fontId="3" fillId="66" borderId="13" xfId="0" applyNumberFormat="1" applyFont="1" applyFill="1" applyBorder="1" applyAlignment="1">
      <alignment vertical="center"/>
    </xf>
    <xf numFmtId="43" fontId="3" fillId="66" borderId="13" xfId="1" applyFont="1" applyFill="1" applyBorder="1" applyAlignment="1">
      <alignment vertical="center"/>
    </xf>
    <xf numFmtId="0" fontId="3" fillId="66" borderId="53" xfId="0" applyNumberFormat="1" applyFont="1" applyFill="1" applyBorder="1" applyAlignment="1">
      <alignment horizontal="center" vertical="center" wrapText="1"/>
    </xf>
    <xf numFmtId="0" fontId="3" fillId="66" borderId="19" xfId="0" applyNumberFormat="1" applyFont="1" applyFill="1" applyBorder="1" applyAlignment="1">
      <alignment vertical="center"/>
    </xf>
    <xf numFmtId="43" fontId="3" fillId="66" borderId="19" xfId="1" applyFont="1" applyFill="1" applyBorder="1" applyAlignment="1">
      <alignment vertical="center"/>
    </xf>
    <xf numFmtId="0" fontId="3" fillId="67" borderId="21" xfId="0" applyNumberFormat="1" applyFont="1" applyFill="1" applyBorder="1" applyAlignment="1">
      <alignment horizontal="center" vertical="center" wrapText="1"/>
    </xf>
    <xf numFmtId="0" fontId="3" fillId="67" borderId="13" xfId="0" applyNumberFormat="1" applyFont="1" applyFill="1" applyBorder="1" applyAlignment="1">
      <alignment horizontal="left" vertical="center"/>
    </xf>
    <xf numFmtId="0" fontId="3" fillId="67" borderId="16" xfId="0" applyNumberFormat="1" applyFont="1" applyFill="1" applyBorder="1" applyAlignment="1">
      <alignment vertical="center"/>
    </xf>
    <xf numFmtId="43" fontId="3" fillId="67" borderId="13" xfId="1" applyFont="1" applyFill="1" applyBorder="1" applyAlignment="1">
      <alignment vertical="center"/>
    </xf>
    <xf numFmtId="0" fontId="3" fillId="67" borderId="51" xfId="0" applyNumberFormat="1" applyFont="1" applyFill="1" applyBorder="1" applyAlignment="1">
      <alignment horizontal="center" vertical="center" wrapText="1"/>
    </xf>
    <xf numFmtId="0" fontId="3" fillId="67" borderId="16" xfId="0" applyNumberFormat="1" applyFont="1" applyFill="1" applyBorder="1" applyAlignment="1">
      <alignment horizontal="left" vertical="center"/>
    </xf>
    <xf numFmtId="0" fontId="3" fillId="67" borderId="16" xfId="0" applyNumberFormat="1" applyFont="1" applyFill="1" applyBorder="1" applyAlignment="1">
      <alignment horizontal="center" vertical="center" wrapText="1"/>
    </xf>
    <xf numFmtId="0" fontId="3" fillId="67" borderId="13" xfId="0" applyNumberFormat="1" applyFont="1" applyFill="1" applyBorder="1" applyAlignment="1">
      <alignment vertical="center"/>
    </xf>
    <xf numFmtId="0" fontId="3" fillId="67" borderId="15" xfId="0" applyNumberFormat="1" applyFont="1" applyFill="1" applyBorder="1" applyAlignment="1">
      <alignment horizontal="center" vertical="center" wrapText="1"/>
    </xf>
    <xf numFmtId="0" fontId="3" fillId="67" borderId="20" xfId="0" applyNumberFormat="1" applyFont="1" applyFill="1" applyBorder="1" applyAlignment="1">
      <alignment horizontal="center" vertical="center" wrapText="1"/>
    </xf>
    <xf numFmtId="0" fontId="3" fillId="67" borderId="50" xfId="0" applyNumberFormat="1" applyFont="1" applyFill="1" applyBorder="1" applyAlignment="1">
      <alignment horizontal="left" vertical="center" wrapText="1"/>
    </xf>
    <xf numFmtId="0" fontId="3" fillId="67" borderId="23" xfId="0" applyNumberFormat="1" applyFont="1" applyFill="1" applyBorder="1" applyAlignment="1">
      <alignment horizontal="center" vertical="center" wrapText="1"/>
    </xf>
    <xf numFmtId="0" fontId="3" fillId="67" borderId="13" xfId="0" applyNumberFormat="1" applyFont="1" applyFill="1" applyBorder="1" applyAlignment="1">
      <alignment horizontal="center" vertical="center" wrapText="1"/>
    </xf>
    <xf numFmtId="169" fontId="4" fillId="0" borderId="3" xfId="0" applyFont="1" applyBorder="1" applyAlignment="1">
      <alignment vertical="center"/>
    </xf>
    <xf numFmtId="169" fontId="8" fillId="0" borderId="3" xfId="0" applyFont="1" applyBorder="1" applyAlignment="1">
      <alignment horizontal="left" vertical="center"/>
    </xf>
    <xf numFmtId="169" fontId="8" fillId="0" borderId="3" xfId="0" applyFont="1" applyBorder="1" applyAlignment="1">
      <alignment vertical="center"/>
    </xf>
    <xf numFmtId="169" fontId="4" fillId="60" borderId="45" xfId="0" applyFont="1" applyFill="1" applyBorder="1" applyAlignment="1">
      <alignment horizontal="center" vertical="center" wrapText="1"/>
    </xf>
    <xf numFmtId="0" fontId="4" fillId="59" borderId="4" xfId="0" applyNumberFormat="1" applyFont="1" applyFill="1" applyBorder="1" applyAlignment="1">
      <alignment horizontal="center" vertical="center" wrapText="1"/>
    </xf>
    <xf numFmtId="169" fontId="54" fillId="62" borderId="57" xfId="0" applyFont="1" applyFill="1" applyBorder="1" applyAlignment="1">
      <alignment horizontal="center" vertical="center" wrapText="1"/>
    </xf>
    <xf numFmtId="169" fontId="53" fillId="64" borderId="13" xfId="0" applyFont="1" applyFill="1" applyBorder="1" applyAlignment="1">
      <alignment horizontal="justify" vertical="center" wrapText="1"/>
    </xf>
    <xf numFmtId="169" fontId="53" fillId="0" borderId="13" xfId="0" applyFont="1" applyBorder="1" applyAlignment="1">
      <alignment horizontal="justify" vertical="center" wrapText="1"/>
    </xf>
    <xf numFmtId="169" fontId="53" fillId="0" borderId="17" xfId="0" applyFont="1" applyBorder="1" applyAlignment="1">
      <alignment horizontal="justify" vertical="center" wrapText="1"/>
    </xf>
    <xf numFmtId="169" fontId="53" fillId="0" borderId="53" xfId="0" applyFont="1" applyBorder="1" applyAlignment="1">
      <alignment horizontal="justify" vertical="center" wrapText="1"/>
    </xf>
    <xf numFmtId="169" fontId="53" fillId="0" borderId="19" xfId="0" applyFont="1" applyBorder="1" applyAlignment="1">
      <alignment horizontal="justify" vertical="center" wrapText="1"/>
    </xf>
    <xf numFmtId="169" fontId="53" fillId="64" borderId="17" xfId="0" applyFont="1" applyFill="1" applyBorder="1" applyAlignment="1">
      <alignment horizontal="justify" vertical="center" wrapText="1"/>
    </xf>
    <xf numFmtId="169" fontId="53" fillId="64" borderId="19" xfId="0" applyFont="1" applyFill="1" applyBorder="1" applyAlignment="1">
      <alignment horizontal="justify" vertical="center" wrapText="1"/>
    </xf>
    <xf numFmtId="169" fontId="26" fillId="0" borderId="0" xfId="0" applyFont="1"/>
    <xf numFmtId="169" fontId="26" fillId="0" borderId="0" xfId="0" applyFont="1" applyAlignment="1">
      <alignment horizontal="center"/>
    </xf>
    <xf numFmtId="169" fontId="26" fillId="0" borderId="0" xfId="0" applyFont="1" applyAlignment="1">
      <alignment horizontal="center" vertical="top"/>
    </xf>
    <xf numFmtId="43" fontId="2" fillId="0" borderId="3" xfId="1" applyFont="1" applyFill="1" applyBorder="1" applyAlignment="1">
      <alignment horizontal="center" vertical="center" wrapText="1"/>
    </xf>
    <xf numFmtId="43" fontId="3" fillId="60" borderId="3" xfId="1" applyFont="1" applyFill="1" applyBorder="1" applyAlignment="1">
      <alignment horizontal="center" vertical="center" wrapText="1"/>
    </xf>
    <xf numFmtId="169" fontId="51" fillId="0" borderId="0" xfId="0" applyFont="1" applyAlignment="1">
      <alignment horizontal="center"/>
    </xf>
    <xf numFmtId="1" fontId="53" fillId="0" borderId="20" xfId="1" applyNumberFormat="1" applyFont="1" applyBorder="1" applyAlignment="1">
      <alignment horizontal="center" vertical="center" wrapText="1"/>
    </xf>
    <xf numFmtId="1" fontId="53" fillId="0" borderId="23" xfId="1" applyNumberFormat="1" applyFont="1" applyBorder="1" applyAlignment="1">
      <alignment horizontal="center" vertical="center" wrapText="1"/>
    </xf>
    <xf numFmtId="1" fontId="53" fillId="0" borderId="16" xfId="1" applyNumberFormat="1" applyFont="1" applyBorder="1" applyAlignment="1">
      <alignment horizontal="center" vertical="center" wrapText="1"/>
    </xf>
    <xf numFmtId="1" fontId="53" fillId="0" borderId="58" xfId="1" applyNumberFormat="1" applyFont="1" applyBorder="1" applyAlignment="1">
      <alignment horizontal="center" vertical="center" wrapText="1"/>
    </xf>
    <xf numFmtId="43" fontId="54" fillId="65" borderId="61" xfId="1" applyFont="1" applyFill="1" applyBorder="1" applyAlignment="1">
      <alignment vertical="center"/>
    </xf>
    <xf numFmtId="0" fontId="52" fillId="0" borderId="0" xfId="0" applyNumberFormat="1" applyFont="1" applyAlignment="1">
      <alignment horizontal="center" vertical="center"/>
    </xf>
    <xf numFmtId="169" fontId="53" fillId="0" borderId="16" xfId="0" applyFont="1" applyBorder="1" applyAlignment="1">
      <alignment horizontal="justify" vertical="center" wrapText="1"/>
    </xf>
    <xf numFmtId="1" fontId="53" fillId="0" borderId="3" xfId="1" applyNumberFormat="1" applyFont="1" applyBorder="1" applyAlignment="1">
      <alignment horizontal="center" vertical="center" wrapText="1"/>
    </xf>
    <xf numFmtId="1" fontId="53" fillId="64" borderId="3" xfId="1" applyNumberFormat="1" applyFont="1" applyFill="1" applyBorder="1" applyAlignment="1">
      <alignment horizontal="center" vertical="center" wrapText="1"/>
    </xf>
    <xf numFmtId="169" fontId="53" fillId="64" borderId="3" xfId="0" applyFont="1" applyFill="1" applyBorder="1" applyAlignment="1">
      <alignment horizontal="justify" vertical="center" wrapText="1"/>
    </xf>
    <xf numFmtId="169" fontId="53" fillId="0" borderId="3" xfId="0" applyFont="1" applyBorder="1" applyAlignment="1">
      <alignment horizontal="justify" vertical="center" wrapText="1"/>
    </xf>
    <xf numFmtId="1" fontId="53" fillId="0" borderId="44" xfId="1" applyNumberFormat="1" applyFont="1" applyBorder="1" applyAlignment="1">
      <alignment horizontal="center" vertical="center" wrapText="1"/>
    </xf>
    <xf numFmtId="169" fontId="53" fillId="64" borderId="44" xfId="0" applyFont="1" applyFill="1" applyBorder="1" applyAlignment="1">
      <alignment horizontal="justify" vertical="center" wrapText="1"/>
    </xf>
    <xf numFmtId="169" fontId="53" fillId="0" borderId="44" xfId="0" applyFont="1" applyBorder="1" applyAlignment="1">
      <alignment horizontal="justify" vertical="center" wrapText="1"/>
    </xf>
    <xf numFmtId="1" fontId="53" fillId="0" borderId="12" xfId="1" applyNumberFormat="1" applyFont="1" applyBorder="1" applyAlignment="1">
      <alignment horizontal="center" vertical="center" wrapText="1"/>
    </xf>
    <xf numFmtId="169" fontId="53" fillId="64" borderId="12" xfId="0" applyFont="1" applyFill="1" applyBorder="1" applyAlignment="1">
      <alignment horizontal="justify" vertical="center" wrapText="1"/>
    </xf>
    <xf numFmtId="49" fontId="53" fillId="64" borderId="12" xfId="0" applyNumberFormat="1" applyFont="1" applyFill="1" applyBorder="1" applyAlignment="1">
      <alignment horizontal="justify" vertical="center" wrapText="1"/>
    </xf>
    <xf numFmtId="169" fontId="53" fillId="0" borderId="12" xfId="0" applyFont="1" applyBorder="1" applyAlignment="1">
      <alignment horizontal="justify" vertical="center" wrapText="1"/>
    </xf>
    <xf numFmtId="1" fontId="53" fillId="64" borderId="12" xfId="1" applyNumberFormat="1" applyFont="1" applyFill="1" applyBorder="1" applyAlignment="1">
      <alignment horizontal="center" vertical="center" wrapText="1"/>
    </xf>
    <xf numFmtId="169" fontId="54" fillId="62" borderId="52" xfId="0" applyFont="1" applyFill="1" applyBorder="1" applyAlignment="1">
      <alignment horizontal="center" vertical="center" wrapText="1"/>
    </xf>
    <xf numFmtId="1" fontId="53" fillId="0" borderId="45" xfId="1" applyNumberFormat="1" applyFont="1" applyBorder="1" applyAlignment="1">
      <alignment horizontal="center" vertical="center" wrapText="1"/>
    </xf>
    <xf numFmtId="169" fontId="53" fillId="0" borderId="65" xfId="0" applyFont="1" applyBorder="1" applyAlignment="1">
      <alignment horizontal="justify" vertical="center" wrapText="1"/>
    </xf>
    <xf numFmtId="0" fontId="3" fillId="67" borderId="16" xfId="0" applyNumberFormat="1" applyFont="1" applyFill="1" applyBorder="1" applyAlignment="1">
      <alignment horizontal="justify" vertical="center"/>
    </xf>
    <xf numFmtId="169" fontId="2" fillId="0" borderId="20" xfId="0" applyFont="1" applyBorder="1" applyAlignment="1">
      <alignment horizontal="justify" vertical="center" wrapText="1"/>
    </xf>
    <xf numFmtId="43" fontId="2" fillId="0" borderId="17" xfId="1" applyFont="1" applyFill="1" applyBorder="1" applyAlignment="1">
      <alignment horizontal="left" vertical="center"/>
    </xf>
    <xf numFmtId="0" fontId="54" fillId="67" borderId="68" xfId="0" applyNumberFormat="1" applyFont="1" applyFill="1" applyBorder="1" applyAlignment="1">
      <alignment horizontal="center" vertical="center" wrapText="1"/>
    </xf>
    <xf numFmtId="0" fontId="52" fillId="0" borderId="69" xfId="0" applyNumberFormat="1" applyFont="1" applyBorder="1" applyAlignment="1">
      <alignment horizontal="center" vertical="center"/>
    </xf>
    <xf numFmtId="0" fontId="52" fillId="0" borderId="70" xfId="0" applyNumberFormat="1" applyFont="1" applyBorder="1" applyAlignment="1">
      <alignment horizontal="center" vertical="center"/>
    </xf>
    <xf numFmtId="0" fontId="52" fillId="0" borderId="71" xfId="0" applyNumberFormat="1" applyFont="1" applyBorder="1" applyAlignment="1">
      <alignment horizontal="center" vertical="center"/>
    </xf>
    <xf numFmtId="0" fontId="52" fillId="0" borderId="72" xfId="0" applyNumberFormat="1" applyFont="1" applyBorder="1" applyAlignment="1">
      <alignment horizontal="center" vertical="center"/>
    </xf>
    <xf numFmtId="0" fontId="54" fillId="67" borderId="70" xfId="0" applyNumberFormat="1" applyFont="1" applyFill="1" applyBorder="1" applyAlignment="1">
      <alignment horizontal="center" vertical="center" wrapText="1"/>
    </xf>
    <xf numFmtId="0" fontId="52" fillId="0" borderId="73" xfId="0" applyNumberFormat="1" applyFont="1" applyBorder="1" applyAlignment="1">
      <alignment horizontal="center" vertical="center"/>
    </xf>
    <xf numFmtId="0" fontId="3" fillId="61" borderId="15" xfId="0" applyNumberFormat="1" applyFont="1" applyFill="1" applyBorder="1" applyAlignment="1">
      <alignment horizontal="left" vertical="center"/>
    </xf>
    <xf numFmtId="0" fontId="3" fillId="61" borderId="18" xfId="0" applyNumberFormat="1" applyFont="1" applyFill="1" applyBorder="1" applyAlignment="1">
      <alignment horizontal="center" vertical="center"/>
    </xf>
    <xf numFmtId="169" fontId="3" fillId="61" borderId="16" xfId="0" applyFont="1" applyFill="1" applyBorder="1" applyAlignment="1">
      <alignment horizontal="center" vertical="center"/>
    </xf>
    <xf numFmtId="0" fontId="3" fillId="61" borderId="15" xfId="0" applyNumberFormat="1" applyFont="1" applyFill="1" applyBorder="1" applyAlignment="1">
      <alignment horizontal="center" vertical="center"/>
    </xf>
    <xf numFmtId="169" fontId="54" fillId="62" borderId="49" xfId="0" applyFont="1" applyFill="1" applyBorder="1" applyAlignment="1">
      <alignment horizontal="center" vertical="center" wrapText="1"/>
    </xf>
    <xf numFmtId="169" fontId="53" fillId="0" borderId="20" xfId="0" applyFont="1" applyBorder="1" applyAlignment="1">
      <alignment horizontal="justify" vertical="center" wrapText="1"/>
    </xf>
    <xf numFmtId="0" fontId="54" fillId="67" borderId="69" xfId="0" applyNumberFormat="1" applyFont="1" applyFill="1" applyBorder="1" applyAlignment="1">
      <alignment horizontal="center" vertical="center" wrapText="1"/>
    </xf>
    <xf numFmtId="43" fontId="57" fillId="0" borderId="0" xfId="1" applyFont="1"/>
    <xf numFmtId="43" fontId="26" fillId="0" borderId="0" xfId="1" applyFont="1"/>
    <xf numFmtId="43" fontId="52" fillId="0" borderId="0" xfId="1" applyFont="1"/>
    <xf numFmtId="43" fontId="57" fillId="0" borderId="0" xfId="1" applyFont="1" applyAlignment="1">
      <alignment horizontal="center"/>
    </xf>
    <xf numFmtId="0" fontId="2" fillId="0" borderId="0" xfId="0" applyNumberFormat="1" applyFont="1" applyAlignment="1">
      <alignment horizontal="justify" vertical="center" wrapText="1"/>
    </xf>
    <xf numFmtId="169" fontId="4" fillId="69" borderId="3" xfId="0" applyFont="1" applyFill="1" applyBorder="1" applyAlignment="1">
      <alignment horizontal="center" vertical="center" wrapText="1"/>
    </xf>
    <xf numFmtId="169" fontId="3" fillId="0" borderId="0" xfId="0" applyFont="1" applyAlignment="1">
      <alignment horizontal="center" vertical="center"/>
    </xf>
    <xf numFmtId="1" fontId="8" fillId="0" borderId="3" xfId="4" applyNumberFormat="1" applyFont="1" applyFill="1" applyBorder="1">
      <alignment horizontal="center" vertical="center" wrapText="1"/>
    </xf>
    <xf numFmtId="43" fontId="8" fillId="0" borderId="3" xfId="1" applyFont="1" applyFill="1" applyBorder="1" applyAlignment="1">
      <alignment horizontal="justify" vertical="center"/>
    </xf>
    <xf numFmtId="0" fontId="8" fillId="0" borderId="3" xfId="7" applyFont="1" applyFill="1" applyBorder="1">
      <alignment horizontal="center" vertical="center" wrapText="1"/>
    </xf>
    <xf numFmtId="2" fontId="8" fillId="0" borderId="3" xfId="4" applyNumberFormat="1" applyFont="1" applyFill="1" applyBorder="1">
      <alignment horizontal="center" vertical="center" wrapText="1"/>
    </xf>
    <xf numFmtId="0" fontId="8" fillId="0" borderId="3" xfId="4" applyNumberFormat="1" applyFont="1" applyFill="1" applyBorder="1" applyAlignment="1">
      <alignment horizontal="justify" vertical="center" wrapText="1"/>
    </xf>
    <xf numFmtId="43" fontId="8" fillId="0" borderId="3" xfId="1" applyFont="1" applyFill="1" applyBorder="1" applyAlignment="1">
      <alignment horizontal="right" vertical="center" wrapText="1"/>
    </xf>
    <xf numFmtId="43" fontId="8" fillId="0" borderId="3" xfId="1" applyFont="1" applyFill="1" applyBorder="1" applyAlignment="1">
      <alignment horizontal="center" vertical="center" wrapText="1"/>
    </xf>
    <xf numFmtId="0" fontId="8" fillId="0" borderId="3" xfId="4" applyNumberFormat="1" applyFont="1" applyFill="1" applyBorder="1">
      <alignment horizontal="center" vertical="center" wrapText="1"/>
    </xf>
    <xf numFmtId="43" fontId="8" fillId="0" borderId="3" xfId="1" applyFont="1" applyFill="1" applyBorder="1" applyAlignment="1">
      <alignment vertical="center"/>
    </xf>
    <xf numFmtId="43" fontId="53" fillId="0" borderId="9" xfId="1" applyFont="1" applyFill="1" applyBorder="1" applyAlignment="1">
      <alignment vertical="center"/>
    </xf>
    <xf numFmtId="43" fontId="8" fillId="0" borderId="3" xfId="1" applyFont="1" applyFill="1" applyBorder="1" applyAlignment="1">
      <alignment horizontal="center" vertical="center"/>
    </xf>
    <xf numFmtId="169" fontId="8" fillId="0" borderId="0" xfId="0" applyFont="1" applyAlignment="1">
      <alignment vertical="center"/>
    </xf>
    <xf numFmtId="10" fontId="59" fillId="2" borderId="3" xfId="0" applyNumberFormat="1" applyFont="1" applyFill="1" applyBorder="1" applyAlignment="1" applyProtection="1">
      <alignment horizontal="center" vertical="center"/>
      <protection locked="0"/>
    </xf>
    <xf numFmtId="10" fontId="59" fillId="2" borderId="52" xfId="0" applyNumberFormat="1" applyFont="1" applyFill="1" applyBorder="1" applyAlignment="1" applyProtection="1">
      <alignment horizontal="center" vertical="center"/>
      <protection locked="0"/>
    </xf>
    <xf numFmtId="10" fontId="58" fillId="2" borderId="52" xfId="0" applyNumberFormat="1" applyFont="1" applyFill="1" applyBorder="1" applyAlignment="1" applyProtection="1">
      <alignment horizontal="center" vertical="center"/>
      <protection locked="0"/>
    </xf>
    <xf numFmtId="10" fontId="58" fillId="2" borderId="3" xfId="0" applyNumberFormat="1" applyFont="1" applyFill="1" applyBorder="1" applyAlignment="1" applyProtection="1">
      <alignment horizontal="center" vertical="center"/>
      <protection locked="0"/>
    </xf>
    <xf numFmtId="171" fontId="4" fillId="60" borderId="3" xfId="3" applyNumberFormat="1" applyFont="1" applyFill="1" applyBorder="1" applyAlignment="1">
      <alignment horizontal="center" vertical="center" wrapText="1"/>
    </xf>
    <xf numFmtId="43" fontId="53" fillId="0" borderId="9" xfId="1" applyFont="1" applyBorder="1" applyAlignment="1">
      <alignment vertical="center"/>
    </xf>
    <xf numFmtId="43" fontId="54" fillId="67" borderId="3" xfId="1" applyFont="1" applyFill="1" applyBorder="1" applyAlignment="1">
      <alignment vertical="center" wrapText="1"/>
    </xf>
    <xf numFmtId="43" fontId="53" fillId="0" borderId="56" xfId="1" applyFont="1" applyFill="1" applyBorder="1" applyAlignment="1">
      <alignment vertical="center"/>
    </xf>
    <xf numFmtId="43" fontId="53" fillId="0" borderId="56" xfId="1" applyFont="1" applyBorder="1" applyAlignment="1">
      <alignment vertical="center"/>
    </xf>
    <xf numFmtId="43" fontId="53" fillId="0" borderId="74" xfId="1" applyFont="1" applyBorder="1" applyAlignment="1">
      <alignment vertical="center"/>
    </xf>
    <xf numFmtId="169" fontId="54" fillId="62" borderId="59" xfId="0" applyFont="1" applyFill="1" applyBorder="1" applyAlignment="1">
      <alignment horizontal="center" vertical="center" wrapText="1"/>
    </xf>
    <xf numFmtId="43" fontId="54" fillId="67" borderId="11" xfId="1" applyFont="1" applyFill="1" applyBorder="1" applyAlignment="1">
      <alignment vertical="center" wrapText="1"/>
    </xf>
    <xf numFmtId="43" fontId="54" fillId="65" borderId="59" xfId="1" applyFont="1" applyFill="1" applyBorder="1" applyAlignment="1">
      <alignment vertical="center"/>
    </xf>
    <xf numFmtId="43" fontId="54" fillId="67" borderId="12" xfId="1" applyFont="1" applyFill="1" applyBorder="1" applyAlignment="1">
      <alignment vertical="center" wrapText="1"/>
    </xf>
    <xf numFmtId="43" fontId="53" fillId="0" borderId="3" xfId="1" applyFont="1" applyBorder="1" applyAlignment="1">
      <alignment vertical="center"/>
    </xf>
    <xf numFmtId="43" fontId="53" fillId="0" borderId="47" xfId="1" applyFont="1" applyBorder="1" applyAlignment="1">
      <alignment vertical="center"/>
    </xf>
    <xf numFmtId="43" fontId="54" fillId="63" borderId="48" xfId="1" applyFont="1" applyFill="1" applyBorder="1" applyAlignment="1">
      <alignment vertical="center"/>
    </xf>
    <xf numFmtId="43" fontId="54" fillId="63" borderId="52" xfId="1" applyFont="1" applyFill="1" applyBorder="1" applyAlignment="1">
      <alignment vertical="center"/>
    </xf>
    <xf numFmtId="43" fontId="54" fillId="63" borderId="48" xfId="1" applyFont="1" applyFill="1" applyBorder="1" applyAlignment="1">
      <alignment vertical="center" wrapText="1"/>
    </xf>
    <xf numFmtId="43" fontId="53" fillId="0" borderId="47" xfId="1" applyFont="1" applyFill="1" applyBorder="1" applyAlignment="1">
      <alignment vertical="center"/>
    </xf>
    <xf numFmtId="43" fontId="53" fillId="0" borderId="75" xfId="1" applyFont="1" applyBorder="1" applyAlignment="1">
      <alignment vertical="center"/>
    </xf>
    <xf numFmtId="169" fontId="26" fillId="0" borderId="0" xfId="0" applyFont="1" applyAlignment="1">
      <alignment horizontal="right"/>
    </xf>
    <xf numFmtId="10" fontId="59" fillId="2" borderId="12" xfId="0" applyNumberFormat="1" applyFont="1" applyFill="1" applyBorder="1" applyAlignment="1" applyProtection="1">
      <alignment horizontal="center" vertical="center"/>
      <protection locked="0"/>
    </xf>
    <xf numFmtId="10" fontId="59" fillId="2" borderId="44" xfId="0" applyNumberFormat="1" applyFont="1" applyFill="1" applyBorder="1" applyAlignment="1" applyProtection="1">
      <alignment horizontal="center" vertical="center"/>
      <protection locked="0"/>
    </xf>
    <xf numFmtId="0" fontId="26" fillId="0" borderId="0" xfId="92" applyFont="1"/>
    <xf numFmtId="0" fontId="26" fillId="0" borderId="3" xfId="92" applyFont="1" applyBorder="1" applyAlignment="1">
      <alignment horizontal="left" vertical="center"/>
    </xf>
    <xf numFmtId="167" fontId="8" fillId="0" borderId="3" xfId="101" applyNumberFormat="1" applyFont="1" applyBorder="1" applyAlignment="1">
      <alignment horizontal="right" vertical="center"/>
    </xf>
    <xf numFmtId="9" fontId="8" fillId="0" borderId="3" xfId="94" applyFont="1" applyBorder="1" applyAlignment="1">
      <alignment horizontal="center" vertical="center"/>
    </xf>
    <xf numFmtId="167" fontId="8" fillId="0" borderId="3" xfId="101" applyNumberFormat="1" applyFont="1" applyFill="1" applyBorder="1" applyAlignment="1">
      <alignment horizontal="right" vertical="center"/>
    </xf>
    <xf numFmtId="167" fontId="8" fillId="0" borderId="3" xfId="387" applyNumberFormat="1" applyFont="1" applyFill="1" applyBorder="1" applyAlignment="1">
      <alignment horizontal="right" vertical="center"/>
    </xf>
    <xf numFmtId="167" fontId="8" fillId="0" borderId="3" xfId="387" applyNumberFormat="1" applyFont="1" applyBorder="1" applyAlignment="1">
      <alignment horizontal="center" vertical="center"/>
    </xf>
    <xf numFmtId="167" fontId="26" fillId="0" borderId="3" xfId="101" applyNumberFormat="1" applyFont="1" applyBorder="1" applyAlignment="1">
      <alignment vertical="center"/>
    </xf>
    <xf numFmtId="0" fontId="26" fillId="0" borderId="0" xfId="92" applyFont="1" applyAlignment="1">
      <alignment vertical="center"/>
    </xf>
    <xf numFmtId="167" fontId="26" fillId="0" borderId="3" xfId="101" applyNumberFormat="1" applyFont="1" applyFill="1" applyBorder="1" applyAlignment="1">
      <alignment vertical="center"/>
    </xf>
    <xf numFmtId="0" fontId="26" fillId="0" borderId="3" xfId="92" applyFont="1" applyBorder="1" applyAlignment="1">
      <alignment horizontal="left" vertical="center" wrapText="1"/>
    </xf>
    <xf numFmtId="167" fontId="8" fillId="0" borderId="3" xfId="92" applyNumberFormat="1" applyFont="1" applyBorder="1" applyAlignment="1">
      <alignment horizontal="right" vertical="center"/>
    </xf>
    <xf numFmtId="0" fontId="8" fillId="0" borderId="0" xfId="92" applyFont="1" applyAlignment="1">
      <alignment vertical="center"/>
    </xf>
    <xf numFmtId="0" fontId="4" fillId="60" borderId="0" xfId="92" applyFont="1" applyFill="1" applyAlignment="1">
      <alignment horizontal="left" vertical="center"/>
    </xf>
    <xf numFmtId="167" fontId="4" fillId="60" borderId="3" xfId="101" applyNumberFormat="1" applyFont="1" applyFill="1" applyBorder="1" applyAlignment="1">
      <alignment vertical="center"/>
    </xf>
    <xf numFmtId="9" fontId="4" fillId="60" borderId="3" xfId="94" applyFont="1" applyFill="1" applyBorder="1" applyAlignment="1">
      <alignment horizontal="center" vertical="center"/>
    </xf>
    <xf numFmtId="0" fontId="51" fillId="0" borderId="0" xfId="92" applyFont="1" applyAlignment="1">
      <alignment vertical="center"/>
    </xf>
    <xf numFmtId="167" fontId="8" fillId="0" borderId="3" xfId="94" applyNumberFormat="1" applyFont="1" applyBorder="1" applyAlignment="1">
      <alignment horizontal="center" vertical="center"/>
    </xf>
    <xf numFmtId="171" fontId="26" fillId="0" borderId="0" xfId="101" applyNumberFormat="1" applyFont="1"/>
    <xf numFmtId="0" fontId="4" fillId="60" borderId="9" xfId="92" applyFont="1" applyFill="1" applyBorder="1" applyAlignment="1">
      <alignment horizontal="left" vertical="center"/>
    </xf>
    <xf numFmtId="0" fontId="26" fillId="0" borderId="0" xfId="92" applyFont="1" applyAlignment="1">
      <alignment horizontal="left"/>
    </xf>
    <xf numFmtId="171" fontId="8" fillId="0" borderId="0" xfId="101" applyNumberFormat="1" applyFont="1" applyFill="1" applyBorder="1" applyAlignment="1">
      <alignment horizontal="center" vertical="center" wrapText="1"/>
    </xf>
    <xf numFmtId="171" fontId="8" fillId="0" borderId="0" xfId="101" applyNumberFormat="1" applyFont="1" applyFill="1" applyBorder="1"/>
    <xf numFmtId="0" fontId="59" fillId="0" borderId="0" xfId="92" applyFont="1" applyAlignment="1">
      <alignment horizontal="left" vertical="center"/>
    </xf>
    <xf numFmtId="167" fontId="59" fillId="0" borderId="0" xfId="101" applyNumberFormat="1" applyFont="1" applyFill="1" applyBorder="1" applyAlignment="1">
      <alignment vertical="center"/>
    </xf>
    <xf numFmtId="9" fontId="59" fillId="0" borderId="0" xfId="94" applyFont="1" applyFill="1" applyBorder="1" applyAlignment="1">
      <alignment horizontal="center" vertical="center"/>
    </xf>
    <xf numFmtId="9" fontId="59" fillId="0" borderId="0" xfId="387" applyFont="1" applyFill="1" applyBorder="1" applyAlignment="1">
      <alignment horizontal="center" vertical="center"/>
    </xf>
    <xf numFmtId="171" fontId="59" fillId="0" borderId="0" xfId="101" applyNumberFormat="1" applyFont="1" applyFill="1"/>
    <xf numFmtId="9" fontId="23" fillId="2" borderId="0" xfId="387" applyFont="1" applyFill="1" applyBorder="1" applyAlignment="1">
      <alignment horizontal="center"/>
    </xf>
    <xf numFmtId="167" fontId="26" fillId="0" borderId="0" xfId="101" applyNumberFormat="1" applyFont="1"/>
    <xf numFmtId="0" fontId="9" fillId="2" borderId="0" xfId="92" applyFont="1" applyFill="1"/>
    <xf numFmtId="0" fontId="9" fillId="2" borderId="0" xfId="92" applyFont="1" applyFill="1" applyAlignment="1">
      <alignment horizontal="center"/>
    </xf>
    <xf numFmtId="171" fontId="8" fillId="0" borderId="0" xfId="101" applyNumberFormat="1" applyFont="1"/>
    <xf numFmtId="9" fontId="62" fillId="2" borderId="0" xfId="387" applyFont="1" applyFill="1" applyBorder="1" applyAlignment="1">
      <alignment horizontal="center" vertical="center"/>
    </xf>
    <xf numFmtId="0" fontId="23" fillId="2" borderId="0" xfId="92" applyFont="1" applyFill="1"/>
    <xf numFmtId="171" fontId="62" fillId="2" borderId="0" xfId="101" applyNumberFormat="1" applyFont="1" applyFill="1" applyBorder="1"/>
    <xf numFmtId="10" fontId="62" fillId="2" borderId="0" xfId="387" applyNumberFormat="1" applyFont="1" applyFill="1" applyBorder="1" applyAlignment="1">
      <alignment horizontal="center" vertical="center"/>
    </xf>
    <xf numFmtId="10" fontId="62" fillId="2" borderId="0" xfId="387" applyNumberFormat="1" applyFont="1" applyFill="1" applyBorder="1" applyAlignment="1">
      <alignment horizontal="center"/>
    </xf>
    <xf numFmtId="167" fontId="23" fillId="2" borderId="0" xfId="92" applyNumberFormat="1" applyFont="1" applyFill="1" applyAlignment="1">
      <alignment horizontal="left"/>
    </xf>
    <xf numFmtId="0" fontId="8" fillId="0" borderId="0" xfId="92" applyFont="1"/>
    <xf numFmtId="10" fontId="8" fillId="0" borderId="0" xfId="387" applyNumberFormat="1" applyFont="1" applyFill="1" applyBorder="1"/>
    <xf numFmtId="0" fontId="8" fillId="0" borderId="0" xfId="92" applyFont="1" applyAlignment="1">
      <alignment horizontal="left"/>
    </xf>
    <xf numFmtId="171" fontId="61" fillId="75" borderId="9" xfId="101" applyNumberFormat="1" applyFont="1" applyFill="1" applyBorder="1" applyAlignment="1">
      <alignment vertical="center" wrapText="1"/>
    </xf>
    <xf numFmtId="171" fontId="61" fillId="75" borderId="3" xfId="101" applyNumberFormat="1" applyFont="1" applyFill="1" applyBorder="1" applyAlignment="1">
      <alignment horizontal="center" vertical="center" wrapText="1"/>
    </xf>
    <xf numFmtId="167" fontId="61" fillId="75" borderId="3" xfId="101" applyNumberFormat="1" applyFont="1" applyFill="1" applyBorder="1" applyAlignment="1">
      <alignment horizontal="center" vertical="center" wrapText="1"/>
    </xf>
    <xf numFmtId="0" fontId="61" fillId="75" borderId="9" xfId="92" applyFont="1" applyFill="1" applyBorder="1" applyAlignment="1">
      <alignment horizontal="left" vertical="center"/>
    </xf>
    <xf numFmtId="167" fontId="61" fillId="75" borderId="3" xfId="101" applyNumberFormat="1" applyFont="1" applyFill="1" applyBorder="1" applyAlignment="1">
      <alignment vertical="center"/>
    </xf>
    <xf numFmtId="9" fontId="61" fillId="75" borderId="3" xfId="94" applyFont="1" applyFill="1" applyBorder="1" applyAlignment="1">
      <alignment horizontal="center" vertical="center"/>
    </xf>
    <xf numFmtId="9" fontId="63" fillId="2" borderId="0" xfId="387" applyFont="1" applyFill="1" applyBorder="1" applyAlignment="1">
      <alignment horizontal="center"/>
    </xf>
    <xf numFmtId="9" fontId="2" fillId="0" borderId="0" xfId="387" applyFont="1" applyFill="1" applyBorder="1" applyAlignment="1">
      <alignment horizontal="center" vertical="center"/>
    </xf>
    <xf numFmtId="9" fontId="2" fillId="2" borderId="0" xfId="387" applyFont="1" applyFill="1" applyBorder="1" applyAlignment="1">
      <alignment horizontal="center" vertical="center"/>
    </xf>
    <xf numFmtId="167" fontId="8" fillId="0" borderId="3" xfId="101" applyNumberFormat="1" applyFont="1" applyFill="1" applyBorder="1" applyAlignment="1">
      <alignment vertical="center"/>
    </xf>
    <xf numFmtId="0" fontId="52" fillId="0" borderId="3" xfId="0" applyNumberFormat="1" applyFont="1" applyBorder="1" applyAlignment="1">
      <alignment horizontal="center" vertical="center"/>
    </xf>
    <xf numFmtId="169" fontId="52" fillId="0" borderId="3" xfId="0" applyFont="1" applyBorder="1"/>
    <xf numFmtId="43" fontId="53" fillId="0" borderId="0" xfId="1" applyFont="1" applyBorder="1" applyAlignment="1">
      <alignment vertical="center"/>
    </xf>
    <xf numFmtId="0" fontId="2" fillId="0" borderId="17" xfId="0" applyNumberFormat="1" applyFont="1" applyBorder="1" applyAlignment="1">
      <alignment horizontal="center" vertical="center" wrapText="1"/>
    </xf>
    <xf numFmtId="0" fontId="3" fillId="0" borderId="0" xfId="389" applyNumberFormat="1" applyFont="1" applyAlignment="1">
      <alignment horizontal="center" vertical="center" wrapText="1"/>
    </xf>
    <xf numFmtId="169" fontId="4" fillId="68" borderId="15" xfId="0" applyFont="1" applyFill="1" applyBorder="1" applyAlignment="1">
      <alignment horizontal="left" vertical="center"/>
    </xf>
    <xf numFmtId="179" fontId="8" fillId="0" borderId="3" xfId="4" applyNumberFormat="1" applyFont="1" applyFill="1" applyBorder="1">
      <alignment horizontal="center" vertical="center" wrapText="1"/>
    </xf>
    <xf numFmtId="171" fontId="3" fillId="62" borderId="47" xfId="3" applyNumberFormat="1" applyFont="1" applyFill="1" applyBorder="1" applyAlignment="1">
      <alignment horizontal="center" vertical="center" wrapText="1"/>
    </xf>
    <xf numFmtId="169" fontId="4" fillId="0" borderId="3" xfId="0" applyFont="1" applyBorder="1" applyAlignment="1">
      <alignment horizontal="center" vertical="center"/>
    </xf>
    <xf numFmtId="170" fontId="8" fillId="0" borderId="3" xfId="0" applyNumberFormat="1" applyFont="1" applyBorder="1" applyAlignment="1">
      <alignment horizontal="center" vertical="center"/>
    </xf>
    <xf numFmtId="14" fontId="8" fillId="0" borderId="3" xfId="0" applyNumberFormat="1" applyFont="1" applyBorder="1" applyAlignment="1">
      <alignment horizontal="center" vertical="center"/>
    </xf>
    <xf numFmtId="3" fontId="4" fillId="3" borderId="3" xfId="0" applyNumberFormat="1" applyFont="1" applyFill="1" applyBorder="1" applyAlignment="1">
      <alignment horizontal="center" vertical="center" wrapText="1"/>
    </xf>
    <xf numFmtId="43" fontId="8" fillId="0" borderId="3" xfId="1" applyFont="1" applyFill="1" applyBorder="1"/>
    <xf numFmtId="43" fontId="4" fillId="0" borderId="3" xfId="1" applyFont="1" applyFill="1" applyBorder="1" applyAlignment="1">
      <alignment horizontal="left" vertical="center"/>
    </xf>
    <xf numFmtId="43" fontId="8" fillId="0" borderId="3" xfId="1" applyFont="1" applyFill="1" applyBorder="1" applyAlignment="1">
      <alignment horizontal="right" vertical="center"/>
    </xf>
    <xf numFmtId="1" fontId="8" fillId="0" borderId="3" xfId="1" applyNumberFormat="1" applyFont="1" applyFill="1" applyBorder="1" applyAlignment="1">
      <alignment horizontal="center" vertical="center" wrapText="1"/>
    </xf>
    <xf numFmtId="0" fontId="8" fillId="0" borderId="3" xfId="7" applyFont="1" applyFill="1" applyBorder="1" applyAlignment="1">
      <alignment horizontal="justify" vertical="center" wrapText="1"/>
    </xf>
    <xf numFmtId="43" fontId="4" fillId="0" borderId="3" xfId="1" applyFont="1" applyFill="1" applyBorder="1" applyAlignment="1">
      <alignment vertical="center"/>
    </xf>
    <xf numFmtId="0" fontId="8" fillId="0" borderId="3" xfId="6" applyNumberFormat="1" applyFont="1" applyFill="1" applyBorder="1" applyAlignment="1">
      <alignment horizontal="center" vertical="center" wrapText="1"/>
    </xf>
    <xf numFmtId="169" fontId="8" fillId="0" borderId="3" xfId="4" applyFont="1" applyFill="1" applyBorder="1" applyAlignment="1">
      <alignment horizontal="justify" vertical="center" wrapText="1"/>
    </xf>
    <xf numFmtId="43" fontId="8" fillId="0" borderId="3" xfId="1" applyFont="1" applyFill="1" applyBorder="1" applyAlignment="1">
      <alignment horizontal="justify" vertical="center" wrapText="1"/>
    </xf>
    <xf numFmtId="1" fontId="8" fillId="0" borderId="3" xfId="11" applyNumberFormat="1" applyFont="1" applyFill="1" applyBorder="1" applyAlignment="1">
      <alignment horizontal="center" vertical="center"/>
    </xf>
    <xf numFmtId="43" fontId="8" fillId="0" borderId="3" xfId="1" applyFont="1" applyFill="1" applyBorder="1" applyAlignment="1">
      <alignment vertical="center" wrapText="1"/>
    </xf>
    <xf numFmtId="0" fontId="8" fillId="0" borderId="3" xfId="1" applyNumberFormat="1" applyFont="1" applyFill="1" applyBorder="1" applyAlignment="1">
      <alignment horizontal="center" vertical="center" wrapText="1"/>
    </xf>
    <xf numFmtId="172" fontId="8" fillId="0" borderId="3" xfId="1" applyNumberFormat="1" applyFont="1" applyFill="1" applyBorder="1" applyAlignment="1">
      <alignment horizontal="center" vertical="center" wrapText="1"/>
    </xf>
    <xf numFmtId="173" fontId="8" fillId="0" borderId="3" xfId="2" applyNumberFormat="1" applyFont="1" applyFill="1" applyBorder="1" applyAlignment="1">
      <alignment horizontal="justify" vertical="center" wrapText="1"/>
    </xf>
    <xf numFmtId="0" fontId="8" fillId="0" borderId="3" xfId="4" applyNumberFormat="1" applyFont="1" applyFill="1" applyBorder="1" applyAlignment="1">
      <alignment horizontal="center" vertical="center"/>
    </xf>
    <xf numFmtId="0" fontId="8" fillId="0" borderId="44" xfId="4" applyNumberFormat="1" applyFont="1" applyFill="1" applyBorder="1">
      <alignment horizontal="center" vertical="center" wrapText="1"/>
    </xf>
    <xf numFmtId="0" fontId="8" fillId="0" borderId="44" xfId="7" applyFont="1" applyFill="1" applyBorder="1">
      <alignment horizontal="center" vertical="center" wrapText="1"/>
    </xf>
    <xf numFmtId="0" fontId="8" fillId="0" borderId="44" xfId="4" applyNumberFormat="1" applyFont="1" applyFill="1" applyBorder="1" applyAlignment="1">
      <alignment horizontal="justify" vertical="center" wrapText="1"/>
    </xf>
    <xf numFmtId="2" fontId="4" fillId="0" borderId="3" xfId="1" applyNumberFormat="1" applyFont="1" applyFill="1" applyBorder="1" applyAlignment="1">
      <alignment vertical="center"/>
    </xf>
    <xf numFmtId="2" fontId="8" fillId="0" borderId="3" xfId="1" applyNumberFormat="1" applyFont="1" applyFill="1" applyBorder="1" applyAlignment="1">
      <alignment vertical="center"/>
    </xf>
    <xf numFmtId="0" fontId="8" fillId="0" borderId="3" xfId="6" applyNumberFormat="1" applyFont="1" applyFill="1" applyBorder="1" applyAlignment="1">
      <alignment horizontal="justify" vertical="center" wrapText="1"/>
    </xf>
    <xf numFmtId="49" fontId="8" fillId="0" borderId="3" xfId="7" applyNumberFormat="1" applyFont="1" applyFill="1" applyBorder="1" applyAlignment="1">
      <alignment horizontal="justify" vertical="center" wrapText="1"/>
    </xf>
    <xf numFmtId="41" fontId="8" fillId="0" borderId="3" xfId="388" applyFont="1" applyFill="1" applyBorder="1" applyAlignment="1">
      <alignment horizontal="center" vertical="center" wrapText="1"/>
    </xf>
    <xf numFmtId="0" fontId="8" fillId="0" borderId="11" xfId="7" applyFont="1" applyFill="1" applyBorder="1">
      <alignment horizontal="center" vertical="center" wrapText="1"/>
    </xf>
    <xf numFmtId="0" fontId="8" fillId="0" borderId="3" xfId="10" applyNumberFormat="1" applyFont="1" applyFill="1" applyBorder="1" applyAlignment="1">
      <alignment horizontal="center" vertical="center" wrapText="1"/>
    </xf>
    <xf numFmtId="169" fontId="8" fillId="68" borderId="18" xfId="0" applyFont="1" applyFill="1" applyBorder="1" applyAlignment="1">
      <alignment horizontal="justify" vertical="center" wrapText="1"/>
    </xf>
    <xf numFmtId="0" fontId="8" fillId="68" borderId="18" xfId="0" applyNumberFormat="1" applyFont="1" applyFill="1" applyBorder="1" applyAlignment="1">
      <alignment horizontal="left" vertical="center"/>
    </xf>
    <xf numFmtId="0" fontId="8" fillId="68" borderId="18" xfId="0" applyNumberFormat="1" applyFont="1" applyFill="1" applyBorder="1" applyAlignment="1">
      <alignment horizontal="justify" vertical="center" wrapText="1"/>
    </xf>
    <xf numFmtId="0" fontId="8" fillId="68" borderId="18" xfId="0" applyNumberFormat="1" applyFont="1" applyFill="1" applyBorder="1" applyAlignment="1">
      <alignment horizontal="center" vertical="center" wrapText="1"/>
    </xf>
    <xf numFmtId="0" fontId="8" fillId="68" borderId="18" xfId="0" applyNumberFormat="1" applyFont="1" applyFill="1" applyBorder="1" applyAlignment="1">
      <alignment horizontal="center" vertical="center"/>
    </xf>
    <xf numFmtId="169" fontId="8" fillId="68" borderId="18" xfId="0" applyFont="1" applyFill="1" applyBorder="1" applyAlignment="1">
      <alignment horizontal="center" vertical="center"/>
    </xf>
    <xf numFmtId="169" fontId="2" fillId="0" borderId="0" xfId="0" applyFont="1" applyAlignment="1">
      <alignment horizontal="center" vertical="center" wrapText="1"/>
    </xf>
    <xf numFmtId="0" fontId="2" fillId="0" borderId="0" xfId="0" applyNumberFormat="1" applyFont="1" applyAlignment="1">
      <alignment horizontal="left" vertical="center"/>
    </xf>
    <xf numFmtId="169" fontId="2" fillId="0" borderId="0" xfId="0" applyFont="1" applyAlignment="1">
      <alignment horizontal="center" vertical="center"/>
    </xf>
    <xf numFmtId="177" fontId="2" fillId="0" borderId="0" xfId="1" applyNumberFormat="1" applyFont="1" applyFill="1" applyAlignment="1">
      <alignment horizontal="center" vertical="center"/>
    </xf>
    <xf numFmtId="169" fontId="2" fillId="2" borderId="0" xfId="0" applyFont="1" applyFill="1" applyAlignment="1">
      <alignment horizontal="center" vertical="center"/>
    </xf>
    <xf numFmtId="172" fontId="2" fillId="0" borderId="0" xfId="6" applyNumberFormat="1" applyFont="1" applyAlignment="1">
      <alignment horizontal="center"/>
    </xf>
    <xf numFmtId="10" fontId="4" fillId="0" borderId="3" xfId="92" applyNumberFormat="1" applyFont="1" applyBorder="1" applyAlignment="1" applyProtection="1">
      <alignment horizontal="center" vertical="center"/>
      <protection locked="0"/>
    </xf>
    <xf numFmtId="10" fontId="4" fillId="60" borderId="3" xfId="92" applyNumberFormat="1" applyFont="1" applyFill="1" applyBorder="1" applyAlignment="1" applyProtection="1">
      <alignment horizontal="center" vertical="center"/>
      <protection locked="0"/>
    </xf>
    <xf numFmtId="10" fontId="26" fillId="0" borderId="0" xfId="101" applyNumberFormat="1" applyFont="1"/>
    <xf numFmtId="10" fontId="4" fillId="75" borderId="3" xfId="92" applyNumberFormat="1" applyFont="1" applyFill="1" applyBorder="1" applyAlignment="1" applyProtection="1">
      <alignment horizontal="center" vertical="center"/>
      <protection locked="0"/>
    </xf>
    <xf numFmtId="10" fontId="8" fillId="0" borderId="3" xfId="94" applyNumberFormat="1" applyFont="1" applyBorder="1" applyAlignment="1">
      <alignment horizontal="center" vertical="center"/>
    </xf>
    <xf numFmtId="10" fontId="4" fillId="60" borderId="3" xfId="94" applyNumberFormat="1" applyFont="1" applyFill="1" applyBorder="1" applyAlignment="1">
      <alignment horizontal="center" vertical="center"/>
    </xf>
    <xf numFmtId="10" fontId="8" fillId="0" borderId="0" xfId="101" applyNumberFormat="1" applyFont="1" applyFill="1" applyBorder="1"/>
    <xf numFmtId="10" fontId="61" fillId="75" borderId="3" xfId="94" applyNumberFormat="1" applyFont="1" applyFill="1" applyBorder="1" applyAlignment="1">
      <alignment horizontal="center" vertical="center"/>
    </xf>
    <xf numFmtId="10" fontId="26" fillId="0" borderId="3" xfId="94" applyNumberFormat="1" applyFont="1" applyBorder="1" applyAlignment="1">
      <alignment horizontal="center" vertical="center"/>
    </xf>
    <xf numFmtId="10" fontId="26" fillId="0" borderId="0" xfId="92" applyNumberFormat="1" applyFont="1"/>
    <xf numFmtId="10" fontId="8" fillId="0" borderId="3" xfId="387" applyNumberFormat="1" applyFont="1" applyBorder="1" applyAlignment="1">
      <alignment horizontal="center" vertical="center"/>
    </xf>
    <xf numFmtId="10" fontId="4" fillId="60" borderId="3" xfId="387" applyNumberFormat="1" applyFont="1" applyFill="1" applyBorder="1" applyAlignment="1">
      <alignment horizontal="center" vertical="center"/>
    </xf>
    <xf numFmtId="10" fontId="61" fillId="75" borderId="3" xfId="387" applyNumberFormat="1" applyFont="1" applyFill="1" applyBorder="1" applyAlignment="1">
      <alignment horizontal="center" vertical="center"/>
    </xf>
    <xf numFmtId="43" fontId="8" fillId="0" borderId="3" xfId="1" applyFont="1" applyFill="1" applyBorder="1" applyAlignment="1">
      <alignment horizontal="left" vertical="center"/>
    </xf>
    <xf numFmtId="43" fontId="8" fillId="0" borderId="3" xfId="1" applyFont="1" applyFill="1" applyBorder="1" applyAlignment="1">
      <alignment horizontal="left" vertical="center" wrapText="1"/>
    </xf>
    <xf numFmtId="178" fontId="8" fillId="0" borderId="3" xfId="1" applyNumberFormat="1" applyFont="1" applyFill="1" applyBorder="1" applyAlignment="1">
      <alignment horizontal="right" vertical="center" wrapText="1"/>
    </xf>
    <xf numFmtId="0" fontId="8" fillId="68" borderId="3" xfId="5" applyFont="1" applyFill="1" applyBorder="1" applyAlignment="1">
      <alignment horizontal="justify" vertical="center" wrapText="1"/>
    </xf>
    <xf numFmtId="169" fontId="70" fillId="0" borderId="0" xfId="0" applyFont="1" applyAlignment="1">
      <alignment horizontal="center" vertical="center" readingOrder="1"/>
    </xf>
    <xf numFmtId="43" fontId="53" fillId="0" borderId="7" xfId="1" applyFont="1" applyBorder="1" applyAlignment="1">
      <alignment vertical="center"/>
    </xf>
    <xf numFmtId="43" fontId="53" fillId="0" borderId="1" xfId="1" applyFont="1" applyBorder="1" applyAlignment="1">
      <alignment vertical="center"/>
    </xf>
    <xf numFmtId="10" fontId="59" fillId="2" borderId="82" xfId="0" applyNumberFormat="1" applyFont="1" applyFill="1" applyBorder="1" applyAlignment="1" applyProtection="1">
      <alignment horizontal="center" vertical="center"/>
      <protection locked="0"/>
    </xf>
    <xf numFmtId="43" fontId="54" fillId="63" borderId="49" xfId="1" applyFont="1" applyFill="1" applyBorder="1" applyAlignment="1">
      <alignment vertical="center" wrapText="1"/>
    </xf>
    <xf numFmtId="43" fontId="54" fillId="67" borderId="6" xfId="1" applyFont="1" applyFill="1" applyBorder="1" applyAlignment="1">
      <alignment vertical="center" wrapText="1"/>
    </xf>
    <xf numFmtId="43" fontId="53" fillId="0" borderId="22" xfId="1" applyFont="1" applyBorder="1" applyAlignment="1">
      <alignment vertical="center"/>
    </xf>
    <xf numFmtId="43" fontId="53" fillId="0" borderId="6" xfId="1" applyFont="1" applyBorder="1" applyAlignment="1">
      <alignment vertical="center"/>
    </xf>
    <xf numFmtId="43" fontId="54" fillId="63" borderId="49" xfId="1" applyFont="1" applyFill="1" applyBorder="1" applyAlignment="1">
      <alignment vertical="center"/>
    </xf>
    <xf numFmtId="43" fontId="54" fillId="63" borderId="83" xfId="1" applyFont="1" applyFill="1" applyBorder="1" applyAlignment="1">
      <alignment vertical="center"/>
    </xf>
    <xf numFmtId="43" fontId="54" fillId="67" borderId="7" xfId="1" applyFont="1" applyFill="1" applyBorder="1" applyAlignment="1">
      <alignment vertical="center" wrapText="1"/>
    </xf>
    <xf numFmtId="43" fontId="54" fillId="67" borderId="8" xfId="1" applyFont="1" applyFill="1" applyBorder="1" applyAlignment="1">
      <alignment vertical="center" wrapText="1"/>
    </xf>
    <xf numFmtId="43" fontId="53" fillId="0" borderId="22" xfId="1" applyFont="1" applyFill="1" applyBorder="1" applyAlignment="1">
      <alignment vertical="center"/>
    </xf>
    <xf numFmtId="43" fontId="53" fillId="0" borderId="2" xfId="1" applyFont="1" applyBorder="1" applyAlignment="1">
      <alignment vertical="center"/>
    </xf>
    <xf numFmtId="43" fontId="54" fillId="67" borderId="5" xfId="1" applyFont="1" applyFill="1" applyBorder="1" applyAlignment="1">
      <alignment vertical="center" wrapText="1"/>
    </xf>
    <xf numFmtId="43" fontId="53" fillId="0" borderId="85" xfId="1" applyFont="1" applyBorder="1" applyAlignment="1">
      <alignment vertical="center"/>
    </xf>
    <xf numFmtId="171" fontId="4" fillId="62" borderId="81" xfId="3" applyNumberFormat="1" applyFont="1" applyFill="1" applyBorder="1" applyAlignment="1">
      <alignment horizontal="center" vertical="center" wrapText="1"/>
    </xf>
    <xf numFmtId="171" fontId="4" fillId="62" borderId="44" xfId="3" applyNumberFormat="1" applyFont="1" applyFill="1" applyBorder="1" applyAlignment="1">
      <alignment horizontal="center" vertical="center" wrapText="1"/>
    </xf>
    <xf numFmtId="43" fontId="53" fillId="0" borderId="7" xfId="1" applyFont="1" applyFill="1" applyBorder="1" applyAlignment="1">
      <alignment vertical="center"/>
    </xf>
    <xf numFmtId="43" fontId="53" fillId="0" borderId="1" xfId="1" applyFont="1" applyFill="1" applyBorder="1" applyAlignment="1">
      <alignment vertical="center"/>
    </xf>
    <xf numFmtId="43" fontId="53" fillId="0" borderId="86" xfId="1" applyFont="1" applyBorder="1" applyAlignment="1">
      <alignment vertical="center"/>
    </xf>
    <xf numFmtId="43" fontId="54" fillId="65" borderId="48" xfId="1" applyFont="1" applyFill="1" applyBorder="1" applyAlignment="1">
      <alignment vertical="center"/>
    </xf>
    <xf numFmtId="43" fontId="53" fillId="0" borderId="8" xfId="1" applyFont="1" applyBorder="1" applyAlignment="1">
      <alignment vertical="center"/>
    </xf>
    <xf numFmtId="10" fontId="8" fillId="0" borderId="3" xfId="387" applyNumberFormat="1" applyFont="1" applyFill="1" applyBorder="1" applyAlignment="1">
      <alignment horizontal="center" vertical="center"/>
    </xf>
    <xf numFmtId="43" fontId="3" fillId="60" borderId="15" xfId="1" applyFont="1" applyFill="1" applyBorder="1" applyAlignment="1">
      <alignment horizontal="left" vertical="center"/>
    </xf>
    <xf numFmtId="43" fontId="3" fillId="60" borderId="16" xfId="1" applyFont="1" applyFill="1" applyBorder="1" applyAlignment="1">
      <alignment horizontal="left" vertical="center"/>
    </xf>
    <xf numFmtId="43" fontId="3" fillId="61" borderId="15" xfId="1" applyFont="1" applyFill="1" applyBorder="1" applyAlignment="1">
      <alignment horizontal="center" vertical="center"/>
    </xf>
    <xf numFmtId="43" fontId="2" fillId="0" borderId="15" xfId="1" applyFont="1" applyFill="1" applyBorder="1" applyAlignment="1">
      <alignment horizontal="left" vertical="center"/>
    </xf>
    <xf numFmtId="43" fontId="3" fillId="61" borderId="16" xfId="1" applyFont="1" applyFill="1" applyBorder="1" applyAlignment="1">
      <alignment horizontal="center" vertical="center"/>
    </xf>
    <xf numFmtId="43" fontId="2" fillId="0" borderId="16" xfId="1" applyFont="1" applyFill="1" applyBorder="1" applyAlignment="1">
      <alignment horizontal="left" vertical="center"/>
    </xf>
    <xf numFmtId="43" fontId="3" fillId="60" borderId="15" xfId="1" applyFont="1" applyFill="1" applyBorder="1" applyAlignment="1">
      <alignment horizontal="left" vertical="center" wrapText="1"/>
    </xf>
    <xf numFmtId="43" fontId="3" fillId="60" borderId="16" xfId="1" applyFont="1" applyFill="1" applyBorder="1" applyAlignment="1">
      <alignment horizontal="left" vertical="center" wrapText="1"/>
    </xf>
    <xf numFmtId="43" fontId="2" fillId="0" borderId="15" xfId="1" applyFont="1" applyFill="1" applyBorder="1" applyAlignment="1">
      <alignment vertical="center"/>
    </xf>
    <xf numFmtId="43" fontId="2" fillId="0" borderId="87" xfId="1" applyFont="1" applyFill="1" applyBorder="1" applyAlignment="1">
      <alignment vertical="center"/>
    </xf>
    <xf numFmtId="43" fontId="2" fillId="0" borderId="7" xfId="1" applyFont="1" applyFill="1" applyBorder="1" applyAlignment="1">
      <alignment vertical="center"/>
    </xf>
    <xf numFmtId="43" fontId="2" fillId="0" borderId="16" xfId="1" applyFont="1" applyFill="1" applyBorder="1" applyAlignment="1">
      <alignment vertical="center"/>
    </xf>
    <xf numFmtId="43" fontId="2" fillId="0" borderId="20" xfId="1" applyFont="1" applyFill="1" applyBorder="1" applyAlignment="1">
      <alignment vertical="center"/>
    </xf>
    <xf numFmtId="43" fontId="2" fillId="0" borderId="9" xfId="1" applyFont="1" applyFill="1" applyBorder="1" applyAlignment="1">
      <alignment vertical="center"/>
    </xf>
    <xf numFmtId="43" fontId="3" fillId="61" borderId="88" xfId="1" applyFont="1" applyFill="1" applyBorder="1" applyAlignment="1">
      <alignment horizontal="center" vertical="center"/>
    </xf>
    <xf numFmtId="43" fontId="3" fillId="61" borderId="24" xfId="1" applyFont="1" applyFill="1" applyBorder="1" applyAlignment="1">
      <alignment horizontal="center" vertical="center"/>
    </xf>
    <xf numFmtId="43" fontId="2" fillId="0" borderId="89" xfId="1" applyFont="1" applyFill="1" applyBorder="1" applyAlignment="1">
      <alignment horizontal="left" vertical="center"/>
    </xf>
    <xf numFmtId="43" fontId="2" fillId="0" borderId="23" xfId="1" applyFont="1" applyFill="1" applyBorder="1" applyAlignment="1">
      <alignment horizontal="left" vertical="center"/>
    </xf>
    <xf numFmtId="43" fontId="2" fillId="0" borderId="87" xfId="1" applyFont="1" applyFill="1" applyBorder="1" applyAlignment="1">
      <alignment horizontal="left" vertical="center"/>
    </xf>
    <xf numFmtId="43" fontId="2" fillId="0" borderId="7" xfId="1" applyFont="1" applyFill="1" applyBorder="1" applyAlignment="1">
      <alignment horizontal="left" vertical="center"/>
    </xf>
    <xf numFmtId="43" fontId="2" fillId="0" borderId="20" xfId="1" applyFont="1" applyFill="1" applyBorder="1" applyAlignment="1">
      <alignment horizontal="left" vertical="center"/>
    </xf>
    <xf numFmtId="43" fontId="2" fillId="0" borderId="9" xfId="1" applyFont="1" applyFill="1" applyBorder="1" applyAlignment="1">
      <alignment horizontal="left" vertical="center"/>
    </xf>
    <xf numFmtId="43" fontId="3" fillId="61" borderId="84" xfId="1" applyFont="1" applyFill="1" applyBorder="1" applyAlignment="1">
      <alignment horizontal="center" vertical="center"/>
    </xf>
    <xf numFmtId="43" fontId="3" fillId="61" borderId="9" xfId="1" applyFont="1" applyFill="1" applyBorder="1" applyAlignment="1">
      <alignment horizontal="center" vertical="center"/>
    </xf>
    <xf numFmtId="0" fontId="26" fillId="0" borderId="3" xfId="0" applyNumberFormat="1" applyFont="1" applyBorder="1" applyAlignment="1">
      <alignment horizontal="center" vertical="center"/>
    </xf>
    <xf numFmtId="43" fontId="2" fillId="0" borderId="0" xfId="1" applyFont="1" applyFill="1" applyAlignment="1">
      <alignment horizontal="center"/>
    </xf>
    <xf numFmtId="0" fontId="8" fillId="0" borderId="3" xfId="5" applyFont="1" applyFill="1" applyBorder="1" applyAlignment="1">
      <alignment horizontal="center" vertical="center" wrapText="1"/>
    </xf>
    <xf numFmtId="1" fontId="8" fillId="0" borderId="3" xfId="0" applyNumberFormat="1" applyFont="1" applyFill="1" applyBorder="1" applyAlignment="1">
      <alignment horizontal="center" vertical="center" wrapText="1"/>
    </xf>
    <xf numFmtId="1" fontId="8" fillId="0" borderId="3" xfId="0" applyNumberFormat="1" applyFont="1" applyFill="1" applyBorder="1" applyAlignment="1">
      <alignment horizontal="justify" vertical="center" wrapText="1"/>
    </xf>
    <xf numFmtId="169" fontId="8" fillId="0" borderId="0" xfId="0" applyFont="1" applyFill="1" applyAlignment="1">
      <alignment vertical="center"/>
    </xf>
    <xf numFmtId="0" fontId="8" fillId="0" borderId="3" xfId="0" applyNumberFormat="1" applyFont="1" applyFill="1" applyBorder="1" applyAlignment="1">
      <alignment horizontal="justify" vertical="center" wrapText="1"/>
    </xf>
    <xf numFmtId="169" fontId="8" fillId="0" borderId="3" xfId="0" applyFont="1" applyFill="1" applyBorder="1" applyAlignment="1">
      <alignment horizontal="justify" vertical="center" wrapText="1"/>
    </xf>
    <xf numFmtId="169" fontId="8" fillId="0" borderId="0" xfId="0" applyFont="1" applyFill="1"/>
    <xf numFmtId="49" fontId="8" fillId="0" borderId="3" xfId="0" applyNumberFormat="1" applyFont="1" applyFill="1" applyBorder="1" applyAlignment="1">
      <alignment horizontal="justify" vertical="center" wrapText="1"/>
    </xf>
    <xf numFmtId="169" fontId="8" fillId="0" borderId="0" xfId="0" applyFont="1" applyFill="1" applyAlignment="1">
      <alignment horizontal="center" vertical="center"/>
    </xf>
    <xf numFmtId="0" fontId="8" fillId="0" borderId="3" xfId="5" applyFont="1" applyFill="1" applyBorder="1" applyAlignment="1">
      <alignment horizontal="justify" vertical="center" wrapText="1"/>
    </xf>
    <xf numFmtId="167" fontId="8" fillId="0" borderId="3" xfId="0" applyNumberFormat="1" applyFont="1" applyFill="1" applyBorder="1" applyAlignment="1">
      <alignment horizontal="justify" vertical="center" wrapText="1"/>
    </xf>
    <xf numFmtId="4" fontId="8" fillId="0" borderId="3" xfId="0" applyNumberFormat="1" applyFont="1" applyFill="1" applyBorder="1" applyAlignment="1">
      <alignment horizontal="justify" vertical="center" wrapText="1"/>
    </xf>
    <xf numFmtId="167" fontId="8" fillId="0" borderId="3" xfId="0" applyNumberFormat="1" applyFont="1" applyFill="1" applyBorder="1" applyAlignment="1">
      <alignment vertical="center"/>
    </xf>
    <xf numFmtId="169" fontId="8" fillId="0" borderId="3" xfId="0" applyFont="1" applyFill="1" applyBorder="1" applyAlignment="1">
      <alignment horizontal="center" vertical="center" wrapText="1"/>
    </xf>
    <xf numFmtId="3" fontId="69" fillId="0" borderId="0" xfId="0" applyNumberFormat="1" applyFont="1" applyFill="1" applyAlignment="1">
      <alignment horizontal="center" vertical="center"/>
    </xf>
    <xf numFmtId="169" fontId="8" fillId="0" borderId="13" xfId="0" applyFont="1" applyFill="1" applyBorder="1" applyAlignment="1">
      <alignment horizontal="justify" vertical="center" wrapText="1"/>
    </xf>
    <xf numFmtId="178" fontId="8" fillId="0" borderId="3" xfId="0" applyNumberFormat="1" applyFont="1" applyFill="1" applyBorder="1" applyAlignment="1">
      <alignment horizontal="center" vertical="center"/>
    </xf>
    <xf numFmtId="169" fontId="8" fillId="0" borderId="0" xfId="0" applyFont="1" applyFill="1" applyAlignment="1">
      <alignment horizontal="justify" vertical="center" wrapText="1"/>
    </xf>
    <xf numFmtId="1" fontId="8" fillId="0" borderId="44" xfId="0" applyNumberFormat="1" applyFont="1" applyFill="1" applyBorder="1" applyAlignment="1">
      <alignment horizontal="center" vertical="center" wrapText="1"/>
    </xf>
    <xf numFmtId="0" fontId="8" fillId="0" borderId="44" xfId="0" applyNumberFormat="1" applyFont="1" applyFill="1" applyBorder="1" applyAlignment="1">
      <alignment horizontal="justify" vertical="center" wrapText="1"/>
    </xf>
    <xf numFmtId="169" fontId="4" fillId="0" borderId="0" xfId="0" applyFont="1" applyFill="1" applyAlignment="1">
      <alignment vertical="center"/>
    </xf>
    <xf numFmtId="1" fontId="8" fillId="0" borderId="13" xfId="0" applyNumberFormat="1" applyFont="1" applyFill="1" applyBorder="1" applyAlignment="1">
      <alignment horizontal="justify" vertical="center" wrapText="1"/>
    </xf>
    <xf numFmtId="2" fontId="8" fillId="0" borderId="0" xfId="0" applyNumberFormat="1" applyFont="1" applyFill="1"/>
    <xf numFmtId="0" fontId="8" fillId="0" borderId="3" xfId="0" applyNumberFormat="1" applyFont="1" applyFill="1" applyBorder="1" applyAlignment="1" applyProtection="1">
      <alignment horizontal="justify" vertical="center" wrapText="1"/>
      <protection locked="0"/>
    </xf>
    <xf numFmtId="3" fontId="8" fillId="0" borderId="3" xfId="0" applyNumberFormat="1" applyFont="1" applyFill="1" applyBorder="1" applyAlignment="1">
      <alignment horizontal="justify" vertical="center" wrapText="1"/>
    </xf>
    <xf numFmtId="169" fontId="8" fillId="0" borderId="0" xfId="0" applyFont="1" applyFill="1" applyAlignment="1">
      <alignment horizontal="left" vertical="center" wrapText="1"/>
    </xf>
    <xf numFmtId="1" fontId="8" fillId="0" borderId="9" xfId="0" applyNumberFormat="1" applyFont="1" applyFill="1" applyBorder="1" applyAlignment="1">
      <alignment horizontal="center" vertical="center" wrapText="1"/>
    </xf>
    <xf numFmtId="3" fontId="8" fillId="0" borderId="9" xfId="0" applyNumberFormat="1" applyFont="1" applyFill="1" applyBorder="1" applyAlignment="1">
      <alignment horizontal="justify" vertical="center" wrapText="1"/>
    </xf>
    <xf numFmtId="0" fontId="8" fillId="0" borderId="9" xfId="0" applyNumberFormat="1" applyFont="1" applyFill="1" applyBorder="1" applyAlignment="1">
      <alignment horizontal="justify" vertical="center" wrapText="1"/>
    </xf>
    <xf numFmtId="1" fontId="8" fillId="0" borderId="11" xfId="0" applyNumberFormat="1" applyFont="1" applyFill="1" applyBorder="1" applyAlignment="1">
      <alignment horizontal="center" vertical="center" wrapText="1"/>
    </xf>
    <xf numFmtId="3" fontId="8" fillId="0" borderId="11" xfId="0" applyNumberFormat="1" applyFont="1" applyFill="1" applyBorder="1" applyAlignment="1">
      <alignment horizontal="justify" vertical="center" wrapText="1"/>
    </xf>
    <xf numFmtId="0" fontId="8" fillId="0" borderId="11" xfId="0" applyNumberFormat="1" applyFont="1" applyFill="1" applyBorder="1" applyAlignment="1">
      <alignment horizontal="justify" vertical="center" wrapText="1"/>
    </xf>
    <xf numFmtId="1" fontId="8" fillId="0" borderId="11" xfId="0" applyNumberFormat="1" applyFont="1" applyFill="1" applyBorder="1" applyAlignment="1">
      <alignment horizontal="justify" vertical="center" wrapText="1"/>
    </xf>
    <xf numFmtId="169" fontId="8" fillId="0" borderId="11" xfId="0" applyFont="1" applyFill="1" applyBorder="1" applyAlignment="1">
      <alignment horizontal="justify" vertical="center" wrapText="1"/>
    </xf>
    <xf numFmtId="3" fontId="8" fillId="0" borderId="44" xfId="0" applyNumberFormat="1" applyFont="1" applyFill="1" applyBorder="1" applyAlignment="1">
      <alignment horizontal="justify" vertical="center" wrapText="1"/>
    </xf>
    <xf numFmtId="0" fontId="8" fillId="0" borderId="3" xfId="0" applyNumberFormat="1" applyFont="1" applyFill="1" applyBorder="1" applyAlignment="1">
      <alignment horizontal="center" vertical="center" wrapText="1"/>
    </xf>
    <xf numFmtId="169" fontId="3" fillId="62" borderId="9" xfId="0" applyFont="1" applyFill="1" applyBorder="1" applyAlignment="1">
      <alignment horizontal="center" vertical="center" wrapText="1"/>
    </xf>
    <xf numFmtId="0" fontId="8" fillId="0" borderId="3" xfId="0" applyNumberFormat="1" applyFont="1" applyFill="1" applyBorder="1" applyAlignment="1">
      <alignment horizontal="center" vertical="center"/>
    </xf>
    <xf numFmtId="3" fontId="8" fillId="0" borderId="3" xfId="0" applyNumberFormat="1" applyFont="1" applyFill="1" applyBorder="1" applyAlignment="1">
      <alignment horizontal="center" vertical="center" wrapText="1"/>
    </xf>
    <xf numFmtId="169" fontId="8" fillId="0" borderId="3" xfId="0" applyFont="1" applyFill="1" applyBorder="1" applyAlignment="1">
      <alignment horizontal="left" vertical="center" wrapText="1"/>
    </xf>
    <xf numFmtId="169" fontId="8" fillId="0" borderId="3" xfId="0" applyFont="1" applyFill="1" applyBorder="1" applyAlignment="1">
      <alignment horizontal="center" vertical="center"/>
    </xf>
    <xf numFmtId="0" fontId="8" fillId="0" borderId="44" xfId="0" applyNumberFormat="1" applyFont="1" applyFill="1" applyBorder="1" applyAlignment="1">
      <alignment horizontal="center" vertical="center" wrapText="1"/>
    </xf>
    <xf numFmtId="0" fontId="8" fillId="0" borderId="44" xfId="5" applyFont="1" applyFill="1" applyBorder="1" applyAlignment="1">
      <alignment horizontal="justify" vertical="center" wrapText="1"/>
    </xf>
    <xf numFmtId="0" fontId="8" fillId="0" borderId="44" xfId="5" applyFont="1" applyFill="1" applyBorder="1" applyAlignment="1">
      <alignment horizontal="center" vertical="center" wrapText="1"/>
    </xf>
    <xf numFmtId="0" fontId="8" fillId="0" borderId="3" xfId="5" applyFont="1" applyFill="1" applyBorder="1" applyAlignment="1">
      <alignment horizontal="center" vertical="center"/>
    </xf>
    <xf numFmtId="1" fontId="8" fillId="0" borderId="3" xfId="5" applyNumberFormat="1" applyFont="1" applyFill="1" applyBorder="1" applyAlignment="1">
      <alignment horizontal="center" vertical="center"/>
    </xf>
    <xf numFmtId="1" fontId="8" fillId="0" borderId="3" xfId="0" applyNumberFormat="1" applyFont="1" applyFill="1" applyBorder="1" applyAlignment="1">
      <alignment horizontal="center" vertical="center"/>
    </xf>
    <xf numFmtId="0" fontId="8" fillId="0" borderId="3" xfId="0" applyNumberFormat="1" applyFont="1" applyFill="1" applyBorder="1" applyAlignment="1" applyProtection="1">
      <alignment horizontal="center" vertical="center" wrapText="1"/>
      <protection locked="0"/>
    </xf>
    <xf numFmtId="49" fontId="8" fillId="0" borderId="3" xfId="0" applyNumberFormat="1" applyFont="1" applyFill="1" applyBorder="1" applyAlignment="1">
      <alignment horizontal="center" vertical="center" wrapText="1"/>
    </xf>
    <xf numFmtId="49" fontId="8" fillId="0" borderId="3" xfId="5" applyNumberFormat="1" applyFont="1" applyFill="1" applyBorder="1" applyAlignment="1">
      <alignment horizontal="justify" vertical="center" wrapText="1"/>
    </xf>
    <xf numFmtId="0" fontId="8" fillId="0" borderId="9" xfId="0" applyNumberFormat="1" applyFont="1" applyFill="1" applyBorder="1" applyAlignment="1">
      <alignment horizontal="center" vertical="center" wrapText="1"/>
    </xf>
    <xf numFmtId="0" fontId="8" fillId="0" borderId="9" xfId="5" applyFont="1" applyFill="1" applyBorder="1" applyAlignment="1">
      <alignment horizontal="center" vertical="center" wrapText="1"/>
    </xf>
    <xf numFmtId="0" fontId="8" fillId="0" borderId="9" xfId="5" applyFont="1" applyFill="1" applyBorder="1" applyAlignment="1">
      <alignment horizontal="justify" vertical="center" wrapText="1"/>
    </xf>
    <xf numFmtId="169" fontId="8" fillId="0" borderId="9" xfId="0" applyFont="1" applyFill="1" applyBorder="1" applyAlignment="1">
      <alignment horizontal="center" vertical="center" wrapText="1"/>
    </xf>
    <xf numFmtId="0" fontId="8" fillId="0" borderId="12" xfId="0" applyNumberFormat="1" applyFont="1" applyFill="1" applyBorder="1" applyAlignment="1">
      <alignment horizontal="center" vertical="center" wrapText="1"/>
    </xf>
    <xf numFmtId="0" fontId="8" fillId="0" borderId="11" xfId="0" applyNumberFormat="1" applyFont="1" applyFill="1" applyBorder="1" applyAlignment="1">
      <alignment horizontal="center" vertical="center" wrapText="1"/>
    </xf>
    <xf numFmtId="0" fontId="8" fillId="0" borderId="11" xfId="5" applyFont="1" applyFill="1" applyBorder="1" applyAlignment="1">
      <alignment horizontal="center" vertical="center" wrapText="1"/>
    </xf>
    <xf numFmtId="0" fontId="8" fillId="0" borderId="11" xfId="5" applyFont="1" applyFill="1" applyBorder="1" applyAlignment="1">
      <alignment horizontal="justify" vertical="center" wrapText="1"/>
    </xf>
    <xf numFmtId="169" fontId="8" fillId="0" borderId="11" xfId="0" applyFont="1" applyFill="1" applyBorder="1" applyAlignment="1">
      <alignment horizontal="center" vertical="center" wrapText="1"/>
    </xf>
    <xf numFmtId="0" fontId="8" fillId="0" borderId="3" xfId="0" applyNumberFormat="1" applyFont="1" applyFill="1" applyBorder="1" applyAlignment="1" applyProtection="1">
      <alignment horizontal="center" vertical="center"/>
      <protection locked="0"/>
    </xf>
    <xf numFmtId="43" fontId="8" fillId="0" borderId="3" xfId="415" applyFont="1" applyFill="1" applyBorder="1" applyAlignment="1" applyProtection="1">
      <alignment horizontal="center" vertical="center"/>
      <protection locked="0"/>
    </xf>
    <xf numFmtId="43" fontId="2" fillId="0" borderId="3" xfId="415" applyFont="1" applyFill="1" applyBorder="1" applyAlignment="1" applyProtection="1">
      <alignment horizontal="center" vertical="center"/>
      <protection locked="0"/>
    </xf>
    <xf numFmtId="169" fontId="4" fillId="0" borderId="9" xfId="0" applyFont="1" applyBorder="1" applyAlignment="1">
      <alignment vertical="center"/>
    </xf>
    <xf numFmtId="169" fontId="4" fillId="0" borderId="0" xfId="0" applyFont="1" applyBorder="1" applyAlignment="1">
      <alignment vertical="center"/>
    </xf>
    <xf numFmtId="169" fontId="8" fillId="0" borderId="0" xfId="0" applyFont="1" applyBorder="1" applyAlignment="1">
      <alignment horizontal="left" vertical="center"/>
    </xf>
    <xf numFmtId="169" fontId="8" fillId="0" borderId="0" xfId="0" applyFont="1" applyBorder="1" applyAlignment="1">
      <alignment vertical="center"/>
    </xf>
    <xf numFmtId="169" fontId="4" fillId="0" borderId="8" xfId="0" applyFont="1" applyBorder="1" applyAlignment="1">
      <alignment vertical="center"/>
    </xf>
    <xf numFmtId="1" fontId="8" fillId="0" borderId="3" xfId="5" applyNumberFormat="1" applyFont="1" applyFill="1" applyBorder="1" applyAlignment="1">
      <alignment horizontal="center" vertical="center" wrapText="1"/>
    </xf>
    <xf numFmtId="1" fontId="8" fillId="0" borderId="3" xfId="0" applyNumberFormat="1" applyFont="1" applyFill="1" applyBorder="1" applyAlignment="1">
      <alignment horizontal="justify" wrapText="1"/>
    </xf>
    <xf numFmtId="1" fontId="8" fillId="0" borderId="3" xfId="0" applyNumberFormat="1" applyFont="1" applyFill="1" applyBorder="1" applyAlignment="1">
      <alignment vertical="center" wrapText="1"/>
    </xf>
    <xf numFmtId="1" fontId="8" fillId="0" borderId="3" xfId="0" applyNumberFormat="1" applyFont="1" applyFill="1" applyBorder="1" applyAlignment="1">
      <alignment wrapText="1"/>
    </xf>
    <xf numFmtId="179" fontId="8" fillId="0" borderId="3" xfId="5" applyNumberFormat="1" applyFont="1" applyFill="1" applyBorder="1" applyAlignment="1">
      <alignment horizontal="center" vertical="center" wrapText="1"/>
    </xf>
    <xf numFmtId="2" fontId="8" fillId="0" borderId="3" xfId="5" applyNumberFormat="1" applyFont="1" applyFill="1" applyBorder="1" applyAlignment="1">
      <alignment horizontal="center" vertical="center" wrapText="1"/>
    </xf>
    <xf numFmtId="180" fontId="8" fillId="0" borderId="3" xfId="5" applyNumberFormat="1" applyFont="1" applyFill="1" applyBorder="1" applyAlignment="1">
      <alignment horizontal="center" vertical="center" wrapText="1"/>
    </xf>
    <xf numFmtId="169" fontId="2" fillId="0" borderId="3" xfId="0" applyFont="1" applyFill="1" applyBorder="1" applyAlignment="1">
      <alignment horizontal="justify" vertical="center" wrapText="1"/>
    </xf>
    <xf numFmtId="3" fontId="8" fillId="0" borderId="3" xfId="5" applyNumberFormat="1" applyFont="1" applyFill="1" applyBorder="1" applyAlignment="1">
      <alignment horizontal="center" vertical="center" wrapText="1"/>
    </xf>
    <xf numFmtId="0" fontId="4" fillId="59" borderId="44" xfId="0" applyNumberFormat="1" applyFont="1" applyFill="1" applyBorder="1" applyAlignment="1">
      <alignment horizontal="center" vertical="center" wrapText="1"/>
    </xf>
    <xf numFmtId="0" fontId="4" fillId="59" borderId="12" xfId="0" applyNumberFormat="1" applyFont="1" applyFill="1" applyBorder="1" applyAlignment="1">
      <alignment horizontal="center" vertical="center" wrapText="1"/>
    </xf>
    <xf numFmtId="169" fontId="4" fillId="60" borderId="44" xfId="0" applyFont="1" applyFill="1" applyBorder="1" applyAlignment="1">
      <alignment horizontal="center" vertical="center" wrapText="1"/>
    </xf>
    <xf numFmtId="169" fontId="4" fillId="60" borderId="12" xfId="0" applyFont="1" applyFill="1" applyBorder="1" applyAlignment="1">
      <alignment horizontal="center" vertical="center" wrapText="1"/>
    </xf>
    <xf numFmtId="0" fontId="4" fillId="60" borderId="47" xfId="0" applyNumberFormat="1" applyFont="1" applyFill="1" applyBorder="1" applyAlignment="1">
      <alignment horizontal="center" vertical="center" wrapText="1"/>
    </xf>
    <xf numFmtId="0" fontId="4" fillId="60" borderId="11" xfId="0" applyNumberFormat="1" applyFont="1" applyFill="1" applyBorder="1" applyAlignment="1">
      <alignment horizontal="center" vertical="center" wrapText="1"/>
    </xf>
    <xf numFmtId="0" fontId="4" fillId="60" borderId="44" xfId="0" applyNumberFormat="1" applyFont="1" applyFill="1" applyBorder="1" applyAlignment="1">
      <alignment horizontal="center" vertical="center" wrapText="1"/>
    </xf>
    <xf numFmtId="0" fontId="4" fillId="60" borderId="12" xfId="0" applyNumberFormat="1" applyFont="1" applyFill="1" applyBorder="1" applyAlignment="1">
      <alignment horizontal="center" vertical="center" wrapText="1"/>
    </xf>
    <xf numFmtId="169" fontId="4" fillId="60" borderId="3" xfId="0" applyFont="1" applyFill="1" applyBorder="1" applyAlignment="1">
      <alignment horizontal="center" vertical="center" wrapText="1"/>
    </xf>
    <xf numFmtId="169" fontId="3" fillId="0" borderId="7" xfId="0" applyFont="1" applyBorder="1" applyAlignment="1">
      <alignment horizontal="center" vertical="center"/>
    </xf>
    <xf numFmtId="169" fontId="3" fillId="0" borderId="8" xfId="0" applyFont="1" applyBorder="1" applyAlignment="1">
      <alignment horizontal="center" vertical="center"/>
    </xf>
    <xf numFmtId="0" fontId="3" fillId="62" borderId="7" xfId="0" applyNumberFormat="1" applyFont="1" applyFill="1" applyBorder="1" applyAlignment="1">
      <alignment horizontal="center" vertical="center" wrapText="1"/>
    </xf>
    <xf numFmtId="0" fontId="3" fillId="62" borderId="9" xfId="0" applyNumberFormat="1" applyFont="1" applyFill="1" applyBorder="1" applyAlignment="1">
      <alignment horizontal="center" vertical="center" wrapText="1"/>
    </xf>
    <xf numFmtId="169" fontId="3" fillId="62" borderId="3" xfId="0" applyFont="1" applyFill="1" applyBorder="1" applyAlignment="1">
      <alignment horizontal="center" vertical="center" wrapText="1"/>
    </xf>
    <xf numFmtId="169" fontId="3" fillId="62" borderId="7" xfId="0" applyFont="1" applyFill="1" applyBorder="1" applyAlignment="1">
      <alignment horizontal="center" vertical="center" wrapText="1"/>
    </xf>
    <xf numFmtId="169" fontId="3" fillId="62" borderId="8" xfId="0" applyFont="1" applyFill="1" applyBorder="1" applyAlignment="1">
      <alignment horizontal="center" vertical="center" wrapText="1"/>
    </xf>
    <xf numFmtId="169" fontId="3" fillId="62" borderId="9" xfId="0" applyFont="1" applyFill="1" applyBorder="1" applyAlignment="1">
      <alignment horizontal="center" vertical="center" wrapText="1"/>
    </xf>
    <xf numFmtId="169" fontId="3" fillId="0" borderId="5" xfId="0" applyFont="1" applyBorder="1" applyAlignment="1">
      <alignment horizontal="center" vertical="center" wrapText="1"/>
    </xf>
    <xf numFmtId="169" fontId="3" fillId="0" borderId="6" xfId="0" applyFont="1" applyBorder="1" applyAlignment="1">
      <alignment horizontal="center" vertical="center" wrapText="1"/>
    </xf>
    <xf numFmtId="169" fontId="50" fillId="0" borderId="4" xfId="0" applyFont="1" applyBorder="1" applyAlignment="1">
      <alignment horizontal="center" vertical="center" wrapText="1"/>
    </xf>
    <xf numFmtId="169" fontId="50" fillId="0" borderId="0" xfId="0" applyFont="1" applyBorder="1" applyAlignment="1">
      <alignment horizontal="center" vertical="center" wrapText="1"/>
    </xf>
    <xf numFmtId="169" fontId="50" fillId="0" borderId="0" xfId="0" applyFont="1" applyAlignment="1">
      <alignment horizontal="center" vertical="center" wrapText="1"/>
    </xf>
    <xf numFmtId="177" fontId="4" fillId="60" borderId="44" xfId="0" applyNumberFormat="1" applyFont="1" applyFill="1" applyBorder="1" applyAlignment="1">
      <alignment horizontal="center" vertical="center" wrapText="1"/>
    </xf>
    <xf numFmtId="177" fontId="4" fillId="60" borderId="12" xfId="0" applyNumberFormat="1" applyFont="1" applyFill="1" applyBorder="1" applyAlignment="1">
      <alignment horizontal="center" vertical="center" wrapText="1"/>
    </xf>
    <xf numFmtId="0" fontId="2" fillId="73" borderId="70" xfId="389" applyNumberFormat="1" applyFont="1" applyFill="1" applyBorder="1" applyAlignment="1">
      <alignment horizontal="left" vertical="center" wrapText="1"/>
    </xf>
    <xf numFmtId="0" fontId="2" fillId="73" borderId="3" xfId="389" applyNumberFormat="1" applyFont="1" applyFill="1" applyBorder="1" applyAlignment="1">
      <alignment horizontal="left" vertical="center" wrapText="1"/>
    </xf>
    <xf numFmtId="0" fontId="2" fillId="74" borderId="70" xfId="389" applyNumberFormat="1" applyFont="1" applyFill="1" applyBorder="1" applyAlignment="1">
      <alignment horizontal="left" vertical="center" wrapText="1"/>
    </xf>
    <xf numFmtId="0" fontId="2" fillId="74" borderId="3" xfId="389" applyNumberFormat="1" applyFont="1" applyFill="1" applyBorder="1" applyAlignment="1">
      <alignment horizontal="left" vertical="center" wrapText="1"/>
    </xf>
    <xf numFmtId="0" fontId="2" fillId="70" borderId="70" xfId="389" applyNumberFormat="1" applyFont="1" applyFill="1" applyBorder="1" applyAlignment="1">
      <alignment horizontal="left" vertical="center" wrapText="1"/>
    </xf>
    <xf numFmtId="0" fontId="2" fillId="70" borderId="3" xfId="389" applyNumberFormat="1" applyFont="1" applyFill="1" applyBorder="1" applyAlignment="1">
      <alignment horizontal="left" vertical="center" wrapText="1"/>
    </xf>
    <xf numFmtId="169" fontId="4" fillId="62" borderId="7" xfId="0" applyFont="1" applyFill="1" applyBorder="1" applyAlignment="1">
      <alignment horizontal="center" vertical="center" wrapText="1"/>
    </xf>
    <xf numFmtId="169" fontId="4" fillId="62" borderId="9" xfId="0" applyFont="1" applyFill="1" applyBorder="1" applyAlignment="1">
      <alignment horizontal="center" vertical="center" wrapText="1"/>
    </xf>
    <xf numFmtId="169" fontId="3" fillId="0" borderId="4" xfId="0" applyFont="1" applyBorder="1" applyAlignment="1">
      <alignment horizontal="center" vertical="center" wrapText="1"/>
    </xf>
    <xf numFmtId="169" fontId="3" fillId="0" borderId="0" xfId="0" applyFont="1" applyAlignment="1">
      <alignment horizontal="center" vertical="center" wrapText="1"/>
    </xf>
    <xf numFmtId="0" fontId="3" fillId="0" borderId="68" xfId="389" applyNumberFormat="1" applyFont="1" applyBorder="1" applyAlignment="1">
      <alignment horizontal="center" vertical="center" wrapText="1"/>
    </xf>
    <xf numFmtId="0" fontId="3" fillId="0" borderId="76" xfId="389" applyNumberFormat="1" applyFont="1" applyBorder="1" applyAlignment="1">
      <alignment horizontal="center" vertical="center" wrapText="1"/>
    </xf>
    <xf numFmtId="0" fontId="2" fillId="71" borderId="70" xfId="389" applyNumberFormat="1" applyFont="1" applyFill="1" applyBorder="1" applyAlignment="1">
      <alignment horizontal="left" vertical="center" wrapText="1"/>
    </xf>
    <xf numFmtId="0" fontId="2" fillId="71" borderId="3" xfId="389" applyNumberFormat="1" applyFont="1" applyFill="1" applyBorder="1" applyAlignment="1">
      <alignment horizontal="left" vertical="center" wrapText="1"/>
    </xf>
    <xf numFmtId="0" fontId="2" fillId="72" borderId="70" xfId="389" applyNumberFormat="1" applyFont="1" applyFill="1" applyBorder="1" applyAlignment="1">
      <alignment horizontal="left" vertical="center" wrapText="1"/>
    </xf>
    <xf numFmtId="0" fontId="2" fillId="72" borderId="3" xfId="389" applyNumberFormat="1" applyFont="1" applyFill="1" applyBorder="1" applyAlignment="1">
      <alignment horizontal="left" vertical="center" wrapText="1"/>
    </xf>
    <xf numFmtId="0" fontId="2" fillId="74" borderId="79" xfId="389" applyNumberFormat="1" applyFont="1" applyFill="1" applyBorder="1" applyAlignment="1">
      <alignment horizontal="left" vertical="center" wrapText="1"/>
    </xf>
    <xf numFmtId="0" fontId="2" fillId="74" borderId="9" xfId="389" applyNumberFormat="1" applyFont="1" applyFill="1" applyBorder="1" applyAlignment="1">
      <alignment horizontal="left" vertical="center" wrapText="1"/>
    </xf>
    <xf numFmtId="0" fontId="2" fillId="70" borderId="79" xfId="389" applyNumberFormat="1" applyFont="1" applyFill="1" applyBorder="1" applyAlignment="1">
      <alignment horizontal="left" vertical="center" wrapText="1"/>
    </xf>
    <xf numFmtId="0" fontId="2" fillId="70" borderId="9" xfId="389" applyNumberFormat="1" applyFont="1" applyFill="1" applyBorder="1" applyAlignment="1">
      <alignment horizontal="left" vertical="center" wrapText="1"/>
    </xf>
    <xf numFmtId="0" fontId="3" fillId="0" borderId="80" xfId="389" applyNumberFormat="1" applyFont="1" applyBorder="1" applyAlignment="1">
      <alignment horizontal="center" vertical="center" wrapText="1"/>
    </xf>
    <xf numFmtId="0" fontId="3" fillId="0" borderId="66" xfId="389" applyNumberFormat="1" applyFont="1" applyBorder="1" applyAlignment="1">
      <alignment horizontal="center" vertical="center" wrapText="1"/>
    </xf>
    <xf numFmtId="0" fontId="2" fillId="71" borderId="79" xfId="389" applyNumberFormat="1" applyFont="1" applyFill="1" applyBorder="1" applyAlignment="1">
      <alignment horizontal="left" vertical="center" wrapText="1"/>
    </xf>
    <xf numFmtId="0" fontId="2" fillId="71" borderId="9" xfId="389" applyNumberFormat="1" applyFont="1" applyFill="1" applyBorder="1" applyAlignment="1">
      <alignment horizontal="left" vertical="center" wrapText="1"/>
    </xf>
    <xf numFmtId="0" fontId="2" fillId="72" borderId="79" xfId="389" applyNumberFormat="1" applyFont="1" applyFill="1" applyBorder="1" applyAlignment="1">
      <alignment horizontal="left" vertical="center" wrapText="1"/>
    </xf>
    <xf numFmtId="0" fontId="2" fillId="72" borderId="9" xfId="389" applyNumberFormat="1" applyFont="1" applyFill="1" applyBorder="1" applyAlignment="1">
      <alignment horizontal="left" vertical="center" wrapText="1"/>
    </xf>
    <xf numFmtId="0" fontId="2" fillId="73" borderId="79" xfId="389" applyNumberFormat="1" applyFont="1" applyFill="1" applyBorder="1" applyAlignment="1">
      <alignment horizontal="left" vertical="center" wrapText="1"/>
    </xf>
    <xf numFmtId="0" fontId="2" fillId="73" borderId="9" xfId="389" applyNumberFormat="1" applyFont="1" applyFill="1" applyBorder="1" applyAlignment="1">
      <alignment horizontal="left" vertical="center" wrapText="1"/>
    </xf>
    <xf numFmtId="169" fontId="54" fillId="67" borderId="3" xfId="0" applyFont="1" applyFill="1" applyBorder="1" applyAlignment="1">
      <alignment horizontal="left" vertical="center" wrapText="1"/>
    </xf>
    <xf numFmtId="169" fontId="54" fillId="67" borderId="67" xfId="0" applyFont="1" applyFill="1" applyBorder="1" applyAlignment="1">
      <alignment horizontal="left" vertical="center" wrapText="1"/>
    </xf>
    <xf numFmtId="169" fontId="54" fillId="67" borderId="66" xfId="0" applyFont="1" applyFill="1" applyBorder="1" applyAlignment="1">
      <alignment horizontal="left" vertical="center" wrapText="1"/>
    </xf>
    <xf numFmtId="169" fontId="54" fillId="63" borderId="60" xfId="0" applyFont="1" applyFill="1" applyBorder="1" applyAlignment="1">
      <alignment horizontal="center" vertical="center" wrapText="1"/>
    </xf>
    <xf numFmtId="169" fontId="54" fillId="63" borderId="63" xfId="0" applyFont="1" applyFill="1" applyBorder="1" applyAlignment="1">
      <alignment horizontal="center" vertical="center" wrapText="1"/>
    </xf>
    <xf numFmtId="169" fontId="54" fillId="63" borderId="64" xfId="0" applyFont="1" applyFill="1" applyBorder="1" applyAlignment="1">
      <alignment horizontal="center" vertical="center" wrapText="1"/>
    </xf>
    <xf numFmtId="169" fontId="54" fillId="63" borderId="48" xfId="0" applyFont="1" applyFill="1" applyBorder="1" applyAlignment="1">
      <alignment horizontal="center" vertical="center" wrapText="1"/>
    </xf>
    <xf numFmtId="169" fontId="54" fillId="63" borderId="49" xfId="0" applyFont="1" applyFill="1" applyBorder="1" applyAlignment="1">
      <alignment horizontal="center" vertical="center" wrapText="1"/>
    </xf>
    <xf numFmtId="169" fontId="54" fillId="63" borderId="59" xfId="0" applyFont="1" applyFill="1" applyBorder="1" applyAlignment="1">
      <alignment horizontal="center" vertical="center" wrapText="1"/>
    </xf>
    <xf numFmtId="169" fontId="54" fillId="67" borderId="5" xfId="0" applyFont="1" applyFill="1" applyBorder="1" applyAlignment="1">
      <alignment horizontal="left" vertical="center" wrapText="1"/>
    </xf>
    <xf numFmtId="169" fontId="54" fillId="67" borderId="11" xfId="0" applyFont="1" applyFill="1" applyBorder="1" applyAlignment="1">
      <alignment horizontal="left" vertical="center" wrapText="1"/>
    </xf>
    <xf numFmtId="169" fontId="26" fillId="0" borderId="0" xfId="0" applyFont="1" applyAlignment="1">
      <alignment horizontal="center"/>
    </xf>
    <xf numFmtId="169" fontId="54" fillId="67" borderId="12" xfId="0" applyFont="1" applyFill="1" applyBorder="1" applyAlignment="1">
      <alignment horizontal="left" vertical="center" wrapText="1"/>
    </xf>
    <xf numFmtId="169" fontId="56" fillId="0" borderId="0" xfId="0" applyFont="1" applyAlignment="1">
      <alignment horizontal="left" vertical="center" wrapText="1"/>
    </xf>
    <xf numFmtId="169" fontId="56" fillId="0" borderId="0" xfId="0" applyFont="1" applyAlignment="1">
      <alignment horizontal="left" vertical="center"/>
    </xf>
    <xf numFmtId="169" fontId="54" fillId="62" borderId="48" xfId="0" applyFont="1" applyFill="1" applyBorder="1" applyAlignment="1">
      <alignment horizontal="center" vertical="center" wrapText="1"/>
    </xf>
    <xf numFmtId="169" fontId="54" fillId="62" borderId="49" xfId="0" applyFont="1" applyFill="1" applyBorder="1" applyAlignment="1">
      <alignment horizontal="center" vertical="center" wrapText="1"/>
    </xf>
    <xf numFmtId="169" fontId="54" fillId="62" borderId="62" xfId="0" applyFont="1" applyFill="1" applyBorder="1" applyAlignment="1">
      <alignment horizontal="center" vertical="center" wrapText="1"/>
    </xf>
    <xf numFmtId="169" fontId="55" fillId="0" borderId="0" xfId="0" applyFont="1" applyAlignment="1">
      <alignment horizontal="left" vertical="center" wrapText="1"/>
    </xf>
    <xf numFmtId="169" fontId="54" fillId="0" borderId="77" xfId="0" applyFont="1" applyBorder="1" applyAlignment="1">
      <alignment horizontal="center" vertical="center" wrapText="1"/>
    </xf>
    <xf numFmtId="169" fontId="54" fillId="0" borderId="78" xfId="0" applyFont="1" applyBorder="1" applyAlignment="1">
      <alignment horizontal="center" vertical="center" wrapText="1"/>
    </xf>
    <xf numFmtId="169" fontId="70" fillId="0" borderId="0" xfId="0" applyFont="1" applyAlignment="1">
      <alignment horizontal="center" vertical="center" wrapText="1" readingOrder="1"/>
    </xf>
    <xf numFmtId="0" fontId="60" fillId="0" borderId="8" xfId="92" applyFont="1" applyBorder="1" applyAlignment="1">
      <alignment horizontal="center" vertical="center" wrapText="1"/>
    </xf>
    <xf numFmtId="0" fontId="60" fillId="0" borderId="9" xfId="92" applyFont="1" applyBorder="1" applyAlignment="1">
      <alignment horizontal="center" vertical="center" wrapText="1"/>
    </xf>
    <xf numFmtId="169" fontId="70" fillId="0" borderId="0" xfId="0" applyFont="1" applyAlignment="1">
      <alignment horizontal="center" vertical="center" readingOrder="1"/>
    </xf>
    <xf numFmtId="169" fontId="3" fillId="0" borderId="0" xfId="0" applyFont="1" applyBorder="1" applyAlignment="1">
      <alignment horizontal="center" vertical="center" wrapText="1"/>
    </xf>
    <xf numFmtId="169" fontId="4" fillId="0" borderId="44" xfId="0" applyFont="1" applyBorder="1" applyAlignment="1">
      <alignment vertical="center"/>
    </xf>
    <xf numFmtId="167" fontId="3" fillId="62" borderId="7" xfId="3" applyFont="1" applyFill="1" applyBorder="1" applyAlignment="1">
      <alignment horizontal="center" vertical="center" wrapText="1"/>
    </xf>
    <xf numFmtId="167" fontId="3" fillId="62" borderId="8" xfId="3" applyFont="1" applyFill="1" applyBorder="1" applyAlignment="1">
      <alignment horizontal="center" vertical="center" wrapText="1"/>
    </xf>
    <xf numFmtId="167" fontId="3" fillId="62" borderId="9" xfId="3" applyFont="1" applyFill="1" applyBorder="1" applyAlignment="1">
      <alignment horizontal="center" vertical="center" wrapText="1"/>
    </xf>
    <xf numFmtId="0" fontId="8" fillId="0" borderId="7" xfId="0" applyNumberFormat="1" applyFont="1" applyFill="1" applyBorder="1" applyAlignment="1">
      <alignment horizontal="justify" vertical="center" wrapText="1"/>
    </xf>
    <xf numFmtId="169" fontId="8" fillId="0" borderId="7" xfId="0" applyFont="1" applyFill="1" applyBorder="1" applyAlignment="1">
      <alignment horizontal="justify" vertical="center" wrapText="1"/>
    </xf>
    <xf numFmtId="1" fontId="8" fillId="0" borderId="7" xfId="0" applyNumberFormat="1" applyFont="1" applyFill="1" applyBorder="1" applyAlignment="1">
      <alignment horizontal="justify" vertical="center" wrapText="1"/>
    </xf>
    <xf numFmtId="49" fontId="8" fillId="0" borderId="7" xfId="0" applyNumberFormat="1" applyFont="1" applyFill="1" applyBorder="1" applyAlignment="1">
      <alignment horizontal="justify" vertical="center" wrapText="1"/>
    </xf>
    <xf numFmtId="0" fontId="8" fillId="0" borderId="7" xfId="5" applyFont="1" applyFill="1" applyBorder="1" applyAlignment="1">
      <alignment horizontal="justify" vertical="center" wrapText="1"/>
    </xf>
    <xf numFmtId="0" fontId="8" fillId="0" borderId="1" xfId="0" applyNumberFormat="1" applyFont="1" applyFill="1" applyBorder="1" applyAlignment="1">
      <alignment horizontal="justify" vertical="center" wrapText="1"/>
    </xf>
    <xf numFmtId="1" fontId="8" fillId="0" borderId="15" xfId="0" applyNumberFormat="1" applyFont="1" applyFill="1" applyBorder="1" applyAlignment="1">
      <alignment horizontal="justify" vertical="center" wrapText="1"/>
    </xf>
    <xf numFmtId="0" fontId="8" fillId="0" borderId="7" xfId="4" applyNumberFormat="1" applyFont="1" applyFill="1" applyBorder="1" applyAlignment="1">
      <alignment horizontal="justify" vertical="center" wrapText="1"/>
    </xf>
    <xf numFmtId="0" fontId="8" fillId="0" borderId="7" xfId="0" applyNumberFormat="1" applyFont="1" applyFill="1" applyBorder="1" applyAlignment="1" applyProtection="1">
      <alignment horizontal="justify" vertical="center" wrapText="1"/>
      <protection locked="0"/>
    </xf>
    <xf numFmtId="0" fontId="8" fillId="0" borderId="8" xfId="0" applyNumberFormat="1" applyFont="1" applyFill="1" applyBorder="1" applyAlignment="1">
      <alignment horizontal="justify" vertical="center" wrapText="1"/>
    </xf>
    <xf numFmtId="0" fontId="8" fillId="0" borderId="6" xfId="0" applyNumberFormat="1" applyFont="1" applyFill="1" applyBorder="1" applyAlignment="1">
      <alignment horizontal="justify" vertical="center" wrapText="1"/>
    </xf>
    <xf numFmtId="3" fontId="8" fillId="0" borderId="6" xfId="0" applyNumberFormat="1" applyFont="1" applyFill="1" applyBorder="1" applyAlignment="1">
      <alignment horizontal="justify" vertical="center" wrapText="1"/>
    </xf>
    <xf numFmtId="169" fontId="8" fillId="0" borderId="6" xfId="0" applyFont="1" applyFill="1" applyBorder="1" applyAlignment="1">
      <alignment horizontal="justify" vertical="center" wrapText="1"/>
    </xf>
    <xf numFmtId="3" fontId="8" fillId="0" borderId="7" xfId="0" applyNumberFormat="1" applyFont="1" applyFill="1" applyBorder="1" applyAlignment="1">
      <alignment horizontal="justify" vertical="center" wrapText="1"/>
    </xf>
    <xf numFmtId="43" fontId="8" fillId="0" borderId="7" xfId="1" applyFont="1" applyFill="1" applyBorder="1" applyAlignment="1">
      <alignment horizontal="justify" vertical="center"/>
    </xf>
    <xf numFmtId="43" fontId="63" fillId="0" borderId="3" xfId="1" applyFont="1" applyFill="1" applyBorder="1" applyAlignment="1">
      <alignment vertical="center"/>
    </xf>
    <xf numFmtId="43" fontId="63" fillId="0" borderId="3" xfId="1" applyFont="1" applyFill="1" applyBorder="1" applyAlignment="1">
      <alignment vertical="center" wrapText="1"/>
    </xf>
    <xf numFmtId="43" fontId="4" fillId="68" borderId="3" xfId="1" applyFont="1" applyFill="1" applyBorder="1" applyAlignment="1">
      <alignment vertical="center"/>
    </xf>
    <xf numFmtId="169" fontId="8" fillId="68" borderId="3" xfId="0" applyFont="1" applyFill="1" applyBorder="1" applyAlignment="1">
      <alignment horizontal="center" vertical="center"/>
    </xf>
    <xf numFmtId="169" fontId="3" fillId="0" borderId="3" xfId="0" applyFont="1" applyBorder="1" applyAlignment="1">
      <alignment horizontal="center" vertical="center" wrapText="1"/>
    </xf>
    <xf numFmtId="0" fontId="9" fillId="0" borderId="0" xfId="92" applyFont="1"/>
    <xf numFmtId="0" fontId="9" fillId="0" borderId="0" xfId="92" applyFont="1" applyAlignment="1">
      <alignment horizontal="center"/>
    </xf>
    <xf numFmtId="9" fontId="23" fillId="0" borderId="0" xfId="387" applyFont="1" applyFill="1" applyBorder="1" applyAlignment="1">
      <alignment horizontal="center"/>
    </xf>
    <xf numFmtId="0" fontId="23" fillId="0" borderId="0" xfId="92" applyFont="1"/>
    <xf numFmtId="171" fontId="62" fillId="0" borderId="0" xfId="101" applyNumberFormat="1" applyFont="1" applyFill="1" applyBorder="1"/>
    <xf numFmtId="9" fontId="62" fillId="0" borderId="0" xfId="387" applyFont="1" applyFill="1" applyBorder="1" applyAlignment="1">
      <alignment horizontal="center" vertical="center"/>
    </xf>
    <xf numFmtId="10" fontId="62" fillId="0" borderId="0" xfId="387" applyNumberFormat="1" applyFont="1" applyFill="1" applyBorder="1" applyAlignment="1">
      <alignment horizontal="center" vertical="center"/>
    </xf>
    <xf numFmtId="10" fontId="62" fillId="0" borderId="0" xfId="387" applyNumberFormat="1" applyFont="1" applyFill="1" applyBorder="1" applyAlignment="1">
      <alignment horizontal="center"/>
    </xf>
    <xf numFmtId="167" fontId="23" fillId="0" borderId="0" xfId="92" applyNumberFormat="1" applyFont="1" applyAlignment="1">
      <alignment horizontal="left"/>
    </xf>
    <xf numFmtId="0" fontId="74" fillId="0" borderId="0" xfId="92" applyFont="1" applyAlignment="1">
      <alignment horizontal="left"/>
    </xf>
    <xf numFmtId="171" fontId="74" fillId="0" borderId="0" xfId="101" applyNumberFormat="1" applyFont="1" applyFill="1"/>
    <xf numFmtId="171" fontId="74" fillId="0" borderId="0" xfId="101" applyNumberFormat="1" applyFont="1" applyFill="1" applyBorder="1"/>
    <xf numFmtId="10" fontId="74" fillId="0" borderId="0" xfId="387" applyNumberFormat="1" applyFont="1" applyFill="1" applyBorder="1"/>
    <xf numFmtId="171" fontId="74" fillId="0" borderId="0" xfId="101" applyNumberFormat="1" applyFont="1"/>
  </cellXfs>
  <cellStyles count="444">
    <cellStyle name="20% - Énfasis1" xfId="34" builtinId="30" customBuiltin="1"/>
    <cellStyle name="20% - Énfasis1 2" xfId="231"/>
    <cellStyle name="20% - Énfasis1 2 2" xfId="283"/>
    <cellStyle name="20% - Énfasis1 2 3" xfId="284"/>
    <cellStyle name="20% - Énfasis1 2 4" xfId="282"/>
    <cellStyle name="20% - Énfasis2" xfId="38" builtinId="34" customBuiltin="1"/>
    <cellStyle name="20% - Énfasis2 2" xfId="251"/>
    <cellStyle name="20% - Énfasis2 2 2" xfId="286"/>
    <cellStyle name="20% - Énfasis2 2 3" xfId="287"/>
    <cellStyle name="20% - Énfasis2 2 4" xfId="285"/>
    <cellStyle name="20% - Énfasis3" xfId="42" builtinId="38" customBuiltin="1"/>
    <cellStyle name="20% - Énfasis3 2" xfId="59"/>
    <cellStyle name="20% - Énfasis3 2 2" xfId="289"/>
    <cellStyle name="20% - Énfasis3 2 3" xfId="290"/>
    <cellStyle name="20% - Énfasis3 2 4" xfId="288"/>
    <cellStyle name="20% - Énfasis4" xfId="46" builtinId="42" customBuiltin="1"/>
    <cellStyle name="20% - Énfasis4 2" xfId="255"/>
    <cellStyle name="20% - Énfasis4 2 2" xfId="292"/>
    <cellStyle name="20% - Énfasis4 2 3" xfId="293"/>
    <cellStyle name="20% - Énfasis4 2 4" xfId="291"/>
    <cellStyle name="20% - Énfasis5" xfId="50" builtinId="46" customBuiltin="1"/>
    <cellStyle name="20% - Énfasis5 2" xfId="221"/>
    <cellStyle name="20% - Énfasis5 2 2" xfId="295"/>
    <cellStyle name="20% - Énfasis5 2 3" xfId="296"/>
    <cellStyle name="20% - Énfasis5 2 4" xfId="294"/>
    <cellStyle name="20% - Énfasis6" xfId="54" builtinId="50" customBuiltin="1"/>
    <cellStyle name="20% - Énfasis6 2" xfId="213"/>
    <cellStyle name="20% - Énfasis6 2 2" xfId="298"/>
    <cellStyle name="20% - Énfasis6 2 3" xfId="299"/>
    <cellStyle name="20% - Énfasis6 2 4" xfId="297"/>
    <cellStyle name="40% - Énfasis1" xfId="35" builtinId="31" customBuiltin="1"/>
    <cellStyle name="40% - Énfasis1 2" xfId="194"/>
    <cellStyle name="40% - Énfasis1 2 2" xfId="301"/>
    <cellStyle name="40% - Énfasis1 2 3" xfId="302"/>
    <cellStyle name="40% - Énfasis1 2 4" xfId="300"/>
    <cellStyle name="40% - Énfasis2" xfId="39" builtinId="35" customBuiltin="1"/>
    <cellStyle name="40% - Énfasis2 2" xfId="249"/>
    <cellStyle name="40% - Énfasis2 2 2" xfId="304"/>
    <cellStyle name="40% - Énfasis2 2 3" xfId="305"/>
    <cellStyle name="40% - Énfasis2 2 4" xfId="303"/>
    <cellStyle name="40% - Énfasis3" xfId="43" builtinId="39" customBuiltin="1"/>
    <cellStyle name="40% - Énfasis3 2" xfId="258"/>
    <cellStyle name="40% - Énfasis3 2 2" xfId="307"/>
    <cellStyle name="40% - Énfasis3 2 3" xfId="308"/>
    <cellStyle name="40% - Énfasis3 2 4" xfId="306"/>
    <cellStyle name="40% - Énfasis4" xfId="47" builtinId="43" customBuiltin="1"/>
    <cellStyle name="40% - Énfasis4 2" xfId="216"/>
    <cellStyle name="40% - Énfasis4 2 2" xfId="310"/>
    <cellStyle name="40% - Énfasis4 2 3" xfId="311"/>
    <cellStyle name="40% - Énfasis4 2 4" xfId="309"/>
    <cellStyle name="40% - Énfasis5" xfId="51" builtinId="47" customBuiltin="1"/>
    <cellStyle name="40% - Énfasis5 2" xfId="248"/>
    <cellStyle name="40% - Énfasis5 2 2" xfId="313"/>
    <cellStyle name="40% - Énfasis5 2 3" xfId="314"/>
    <cellStyle name="40% - Énfasis5 2 4" xfId="312"/>
    <cellStyle name="40% - Énfasis6" xfId="55" builtinId="51" customBuiltin="1"/>
    <cellStyle name="40% - Énfasis6 2" xfId="65"/>
    <cellStyle name="40% - Énfasis6 2 2" xfId="316"/>
    <cellStyle name="40% - Énfasis6 2 3" xfId="317"/>
    <cellStyle name="40% - Énfasis6 2 4" xfId="315"/>
    <cellStyle name="60% - Énfasis1" xfId="36" builtinId="32" customBuiltin="1"/>
    <cellStyle name="60% - Énfasis1 2" xfId="211"/>
    <cellStyle name="60% - Énfasis1 2 2" xfId="318"/>
    <cellStyle name="60% - Énfasis2" xfId="40" builtinId="36" customBuiltin="1"/>
    <cellStyle name="60% - Énfasis2 2" xfId="240"/>
    <cellStyle name="60% - Énfasis2 2 2" xfId="319"/>
    <cellStyle name="60% - Énfasis3" xfId="44" builtinId="40" customBuiltin="1"/>
    <cellStyle name="60% - Énfasis3 2" xfId="70"/>
    <cellStyle name="60% - Énfasis3 2 2" xfId="320"/>
    <cellStyle name="60% - Énfasis4" xfId="48" builtinId="44" customBuiltin="1"/>
    <cellStyle name="60% - Énfasis4 2" xfId="235"/>
    <cellStyle name="60% - Énfasis4 2 2" xfId="321"/>
    <cellStyle name="60% - Énfasis5" xfId="52" builtinId="48" customBuiltin="1"/>
    <cellStyle name="60% - Énfasis5 2" xfId="233"/>
    <cellStyle name="60% - Énfasis5 2 2" xfId="322"/>
    <cellStyle name="60% - Énfasis6" xfId="56" builtinId="52" customBuiltin="1"/>
    <cellStyle name="60% - Énfasis6 2" xfId="78"/>
    <cellStyle name="60% - Énfasis6 2 2" xfId="323"/>
    <cellStyle name="Buena 2" xfId="324"/>
    <cellStyle name="Cálculo" xfId="26" builtinId="22" customBuiltin="1"/>
    <cellStyle name="Cálculo 2" xfId="67"/>
    <cellStyle name="Cálculo 2 2" xfId="325"/>
    <cellStyle name="Celda de comprobación" xfId="28" builtinId="23" customBuiltin="1"/>
    <cellStyle name="Celda de comprobación 2" xfId="66"/>
    <cellStyle name="Celda de comprobación 2 2" xfId="326"/>
    <cellStyle name="Celda vinculada" xfId="27" builtinId="24" customBuiltin="1"/>
    <cellStyle name="Celda vinculada 2" xfId="169"/>
    <cellStyle name="Celda vinculada 2 2" xfId="327"/>
    <cellStyle name="Encabezado 1" xfId="18" builtinId="16" customBuiltin="1"/>
    <cellStyle name="Encabezado 4" xfId="21" builtinId="19" customBuiltin="1"/>
    <cellStyle name="Encabezado 4 2" xfId="199"/>
    <cellStyle name="Encabezado 4 2 2" xfId="328"/>
    <cellStyle name="Énfasis1" xfId="33" builtinId="29" customBuiltin="1"/>
    <cellStyle name="Énfasis1 2" xfId="222"/>
    <cellStyle name="Énfasis1 2 2" xfId="329"/>
    <cellStyle name="Énfasis2" xfId="37" builtinId="33" customBuiltin="1"/>
    <cellStyle name="Énfasis2 2" xfId="182"/>
    <cellStyle name="Énfasis2 2 2" xfId="330"/>
    <cellStyle name="Énfasis3" xfId="41" builtinId="37" customBuiltin="1"/>
    <cellStyle name="Énfasis3 2" xfId="171"/>
    <cellStyle name="Énfasis3 2 2" xfId="331"/>
    <cellStyle name="Énfasis4" xfId="45" builtinId="41" customBuiltin="1"/>
    <cellStyle name="Énfasis4 2" xfId="186"/>
    <cellStyle name="Énfasis4 2 2" xfId="332"/>
    <cellStyle name="Énfasis5" xfId="49" builtinId="45" customBuiltin="1"/>
    <cellStyle name="Énfasis5 2" xfId="263"/>
    <cellStyle name="Énfasis5 2 2" xfId="333"/>
    <cellStyle name="Énfasis6" xfId="53" builtinId="49" customBuiltin="1"/>
    <cellStyle name="Énfasis6 2" xfId="246"/>
    <cellStyle name="Énfasis6 2 2" xfId="334"/>
    <cellStyle name="Entrada" xfId="24" builtinId="20" customBuiltin="1"/>
    <cellStyle name="Entrada 2" xfId="179"/>
    <cellStyle name="Entrada 2 2" xfId="335"/>
    <cellStyle name="Euro" xfId="336"/>
    <cellStyle name="Euro 2" xfId="337"/>
    <cellStyle name="Excel Built-in Normal 2" xfId="117"/>
    <cellStyle name="Excel Built-in Normal 2 2" xfId="242"/>
    <cellStyle name="F2" xfId="338"/>
    <cellStyle name="F3" xfId="339"/>
    <cellStyle name="F4" xfId="340"/>
    <cellStyle name="F5" xfId="341"/>
    <cellStyle name="F6" xfId="342"/>
    <cellStyle name="F7" xfId="343"/>
    <cellStyle name="F8" xfId="344"/>
    <cellStyle name="Hipervínculo 2" xfId="190"/>
    <cellStyle name="Incorrecto" xfId="22" builtinId="27" customBuiltin="1"/>
    <cellStyle name="Incorrecto 2" xfId="252"/>
    <cellStyle name="Incorrecto 2 2" xfId="345"/>
    <cellStyle name="KPT04" xfId="4"/>
    <cellStyle name="KPT04 2" xfId="7"/>
    <cellStyle name="KPT04 2 2" xfId="259"/>
    <cellStyle name="KPT04 3" xfId="261"/>
    <cellStyle name="KPT04 3 2" xfId="403"/>
    <cellStyle name="KPT04 4" xfId="393"/>
    <cellStyle name="KPT04_Main" xfId="12"/>
    <cellStyle name="Millares" xfId="1" builtinId="3"/>
    <cellStyle name="Millares [0]" xfId="388" builtinId="6"/>
    <cellStyle name="Millares [0] 2" xfId="95"/>
    <cellStyle name="Millares [0] 2 2" xfId="158"/>
    <cellStyle name="Millares [0] 3" xfId="121"/>
    <cellStyle name="Millares [0] 4" xfId="162"/>
    <cellStyle name="Millares [0] 5" xfId="416"/>
    <cellStyle name="Millares [0] 6" xfId="413"/>
    <cellStyle name="Millares 10" xfId="436"/>
    <cellStyle name="Millares 11" xfId="439"/>
    <cellStyle name="Millares 12" xfId="435"/>
    <cellStyle name="Millares 13" xfId="441"/>
    <cellStyle name="Millares 14" xfId="437"/>
    <cellStyle name="Millares 15" xfId="414"/>
    <cellStyle name="Millares 2" xfId="3"/>
    <cellStyle name="Millares 2 2" xfId="6"/>
    <cellStyle name="Millares 2 2 2" xfId="10"/>
    <cellStyle name="Millares 2 2 2 2" xfId="93"/>
    <cellStyle name="Millares 2 2 2 2 2" xfId="157"/>
    <cellStyle name="Millares 2 2 2 2 2 2" xfId="404"/>
    <cellStyle name="Millares 2 2 2 2 3" xfId="394"/>
    <cellStyle name="Millares 2 2 2 2 4" xfId="409"/>
    <cellStyle name="Millares 2 2 2 2 5" xfId="415"/>
    <cellStyle name="Millares 2 2 3" xfId="395"/>
    <cellStyle name="Millares 2 2 3 2" xfId="405"/>
    <cellStyle name="Millares 2 2 3 3" xfId="410"/>
    <cellStyle name="Millares 2 3" xfId="346"/>
    <cellStyle name="Millares 2 4" xfId="101"/>
    <cellStyle name="Millares 2 4 2" xfId="164"/>
    <cellStyle name="Millares 3" xfId="113"/>
    <cellStyle name="Millares 3 2" xfId="122"/>
    <cellStyle name="Millares 3 3" xfId="119"/>
    <cellStyle name="Millares 4" xfId="118"/>
    <cellStyle name="Millares 5" xfId="400"/>
    <cellStyle name="Millares 6" xfId="120"/>
    <cellStyle name="Millares 7" xfId="412"/>
    <cellStyle name="Millares 8" xfId="417"/>
    <cellStyle name="Millares 9" xfId="432"/>
    <cellStyle name="Moneda [0]" xfId="2" builtinId="7"/>
    <cellStyle name="Moneda [0] 2" xfId="99"/>
    <cellStyle name="Moneda [0] 2 2" xfId="123"/>
    <cellStyle name="Moneda [0] 2 2 2" xfId="166"/>
    <cellStyle name="Moneda [0] 2 3" xfId="161"/>
    <cellStyle name="Moneda 10" xfId="137"/>
    <cellStyle name="Moneda 11" xfId="142"/>
    <cellStyle name="Moneda 12" xfId="143"/>
    <cellStyle name="Moneda 13" xfId="144"/>
    <cellStyle name="Moneda 14" xfId="145"/>
    <cellStyle name="Moneda 15" xfId="146"/>
    <cellStyle name="Moneda 16" xfId="147"/>
    <cellStyle name="Moneda 17" xfId="391"/>
    <cellStyle name="Moneda 2" xfId="9"/>
    <cellStyle name="Moneda 2 2" xfId="100"/>
    <cellStyle name="Moneda 2 3" xfId="98"/>
    <cellStyle name="Moneda 2 4" xfId="129"/>
    <cellStyle name="Moneda 2 5" xfId="160"/>
    <cellStyle name="Moneda 3" xfId="11"/>
    <cellStyle name="Moneda 3 2" xfId="116"/>
    <cellStyle name="Moneda 3 3" xfId="386"/>
    <cellStyle name="Moneda 4" xfId="128"/>
    <cellStyle name="Moneda 5" xfId="132"/>
    <cellStyle name="Moneda 6" xfId="133"/>
    <cellStyle name="Moneda 7" xfId="134"/>
    <cellStyle name="Moneda 8" xfId="136"/>
    <cellStyle name="Moneda 9" xfId="135"/>
    <cellStyle name="Neutral" xfId="23" builtinId="28" customBuiltin="1"/>
    <cellStyle name="Neutral 2" xfId="75"/>
    <cellStyle name="Neutral 2 2" xfId="347"/>
    <cellStyle name="Normal" xfId="0" builtinId="0"/>
    <cellStyle name="Normal 10" xfId="92"/>
    <cellStyle name="Normal 10 2" xfId="192"/>
    <cellStyle name="Normal 10 3" xfId="385"/>
    <cellStyle name="Normal 100" xfId="431"/>
    <cellStyle name="Normal 101" xfId="434"/>
    <cellStyle name="Normal 102" xfId="440"/>
    <cellStyle name="Normal 103" xfId="442"/>
    <cellStyle name="Normal 104" xfId="443"/>
    <cellStyle name="Normal 11" xfId="105"/>
    <cellStyle name="Normal 11 2" xfId="245"/>
    <cellStyle name="Normal 12" xfId="102"/>
    <cellStyle name="Normal 12 2" xfId="206"/>
    <cellStyle name="Normal 13" xfId="88"/>
    <cellStyle name="Normal 13 2" xfId="225"/>
    <cellStyle name="Normal 14" xfId="90"/>
    <cellStyle name="Normal 14 2" xfId="236"/>
    <cellStyle name="Normal 14 3" xfId="348"/>
    <cellStyle name="Normal 15" xfId="103"/>
    <cellStyle name="Normal 15 2" xfId="214"/>
    <cellStyle name="Normal 16" xfId="86"/>
    <cellStyle name="Normal 16 2" xfId="72"/>
    <cellStyle name="Normal 17" xfId="104"/>
    <cellStyle name="Normal 17 2" xfId="176"/>
    <cellStyle name="Normal 18" xfId="85"/>
    <cellStyle name="Normal 18 2" xfId="185"/>
    <cellStyle name="Normal 19" xfId="106"/>
    <cellStyle name="Normal 19 2" xfId="202"/>
    <cellStyle name="Normal 2" xfId="5"/>
    <cellStyle name="Normal 2 2" xfId="8"/>
    <cellStyle name="Normal 2 2 10" xfId="350"/>
    <cellStyle name="Normal 2 2 2" xfId="13"/>
    <cellStyle name="Normal 2 2 2 2" xfId="130"/>
    <cellStyle name="Normal 2 2 2 2 2" xfId="228"/>
    <cellStyle name="Normal 2 2 2 2 2 2" xfId="354"/>
    <cellStyle name="Normal 2 2 2 2 2 3" xfId="353"/>
    <cellStyle name="Normal 2 2 2 2 3" xfId="352"/>
    <cellStyle name="Normal 2 2 2 3" xfId="210"/>
    <cellStyle name="Normal 2 2 2 3 2" xfId="355"/>
    <cellStyle name="Normal 2 2 2 4" xfId="356"/>
    <cellStyle name="Normal 2 2 2 5" xfId="351"/>
    <cellStyle name="Normal 2 2 3" xfId="219"/>
    <cellStyle name="Normal 2 2 3 2" xfId="357"/>
    <cellStyle name="Normal 2 2 7" xfId="358"/>
    <cellStyle name="Normal 2 2 8" xfId="359"/>
    <cellStyle name="Normal 2 2 9" xfId="360"/>
    <cellStyle name="Normal 2 3" xfId="14"/>
    <cellStyle name="Normal 2 3 2" xfId="124"/>
    <cellStyle name="Normal 2 3 2 2" xfId="362"/>
    <cellStyle name="Normal 2 3 3" xfId="165"/>
    <cellStyle name="Normal 2 3 3 2" xfId="268"/>
    <cellStyle name="Normal 2 3 3 3" xfId="363"/>
    <cellStyle name="Normal 2 3 3 4" xfId="389"/>
    <cellStyle name="Normal 2 3 4" xfId="244"/>
    <cellStyle name="Normal 2 3 5" xfId="361"/>
    <cellStyle name="Normal 2 4" xfId="115"/>
    <cellStyle name="Normal 2 4 2" xfId="195"/>
    <cellStyle name="Normal 2 4 3" xfId="364"/>
    <cellStyle name="Normal 2 5" xfId="365"/>
    <cellStyle name="Normal 2 6" xfId="366"/>
    <cellStyle name="Normal 2 7" xfId="349"/>
    <cellStyle name="Normal 2_FUT INGRESOS 2010 Y FLS Y TESORERIA FLS AGOSTO 26" xfId="367"/>
    <cellStyle name="Normal 20" xfId="84"/>
    <cellStyle name="Normal 20 2" xfId="232"/>
    <cellStyle name="Normal 21" xfId="89"/>
    <cellStyle name="Normal 21 2" xfId="207"/>
    <cellStyle name="Normal 22" xfId="87"/>
    <cellStyle name="Normal 22 2" xfId="191"/>
    <cellStyle name="Normal 23" xfId="107"/>
    <cellStyle name="Normal 23 2" xfId="237"/>
    <cellStyle name="Normal 24" xfId="108"/>
    <cellStyle name="Normal 24 2" xfId="266"/>
    <cellStyle name="Normal 25" xfId="109"/>
    <cellStyle name="Normal 25 2" xfId="238"/>
    <cellStyle name="Normal 26" xfId="110"/>
    <cellStyle name="Normal 26 2" xfId="256"/>
    <cellStyle name="Normal 27" xfId="111"/>
    <cellStyle name="Normal 27 2" xfId="239"/>
    <cellStyle name="Normal 28" xfId="112"/>
    <cellStyle name="Normal 28 2" xfId="76"/>
    <cellStyle name="Normal 29" xfId="114"/>
    <cellStyle name="Normal 29 2" xfId="73"/>
    <cellStyle name="Normal 3" xfId="15"/>
    <cellStyle name="Normal 3 2" xfId="125"/>
    <cellStyle name="Normal 3 2 2" xfId="208"/>
    <cellStyle name="Normal 3 2 3" xfId="368"/>
    <cellStyle name="Normal 3 3" xfId="262"/>
    <cellStyle name="Normal 3 4" xfId="275"/>
    <cellStyle name="Normal 3 5" xfId="61"/>
    <cellStyle name="Normal 3 6" xfId="402"/>
    <cellStyle name="Normal 30" xfId="126"/>
    <cellStyle name="Normal 30 2" xfId="174"/>
    <cellStyle name="Normal 31" xfId="140"/>
    <cellStyle name="Normal 31 2" xfId="80"/>
    <cellStyle name="Normal 32" xfId="138"/>
    <cellStyle name="Normal 32 2" xfId="71"/>
    <cellStyle name="Normal 33" xfId="139"/>
    <cellStyle name="Normal 33 2" xfId="198"/>
    <cellStyle name="Normal 34" xfId="131"/>
    <cellStyle name="Normal 34 2" xfId="178"/>
    <cellStyle name="Normal 35" xfId="141"/>
    <cellStyle name="Normal 35 2" xfId="172"/>
    <cellStyle name="Normal 36" xfId="148"/>
    <cellStyle name="Normal 36 2" xfId="196"/>
    <cellStyle name="Normal 37" xfId="156"/>
    <cellStyle name="Normal 37 2" xfId="215"/>
    <cellStyle name="Normal 38" xfId="151"/>
    <cellStyle name="Normal 38 2" xfId="241"/>
    <cellStyle name="Normal 39" xfId="159"/>
    <cellStyle name="Normal 39 2" xfId="187"/>
    <cellStyle name="Normal 4" xfId="82"/>
    <cellStyle name="Normal 4 2" xfId="260"/>
    <cellStyle name="Normal 4 2 2" xfId="370"/>
    <cellStyle name="Normal 4 3" xfId="369"/>
    <cellStyle name="Normal 40" xfId="149"/>
    <cellStyle name="Normal 40 2" xfId="177"/>
    <cellStyle name="Normal 41" xfId="163"/>
    <cellStyle name="Normal 41 2" xfId="220"/>
    <cellStyle name="Normal 42" xfId="167"/>
    <cellStyle name="Normal 42 2" xfId="270"/>
    <cellStyle name="Normal 43" xfId="155"/>
    <cellStyle name="Normal 43 2" xfId="181"/>
    <cellStyle name="Normal 44" xfId="152"/>
    <cellStyle name="Normal 44 2" xfId="183"/>
    <cellStyle name="Normal 45" xfId="153"/>
    <cellStyle name="Normal 45 2" xfId="257"/>
    <cellStyle name="Normal 46" xfId="150"/>
    <cellStyle name="Normal 46 2" xfId="234"/>
    <cellStyle name="Normal 47" xfId="154"/>
    <cellStyle name="Normal 47 2" xfId="230"/>
    <cellStyle name="Normal 48" xfId="58"/>
    <cellStyle name="Normal 49" xfId="69"/>
    <cellStyle name="Normal 5" xfId="91"/>
    <cellStyle name="Normal 5 2" xfId="184"/>
    <cellStyle name="Normal 5 3" xfId="371"/>
    <cellStyle name="Normal 50" xfId="77"/>
    <cellStyle name="Normal 51" xfId="209"/>
    <cellStyle name="Normal 52" xfId="217"/>
    <cellStyle name="Normal 53" xfId="173"/>
    <cellStyle name="Normal 54" xfId="189"/>
    <cellStyle name="Normal 55" xfId="212"/>
    <cellStyle name="Normal 56" xfId="168"/>
    <cellStyle name="Normal 57" xfId="224"/>
    <cellStyle name="Normal 58" xfId="74"/>
    <cellStyle name="Normal 59" xfId="205"/>
    <cellStyle name="Normal 6" xfId="17"/>
    <cellStyle name="Normal 6 2" xfId="68"/>
    <cellStyle name="Normal 60" xfId="226"/>
    <cellStyle name="Normal 61" xfId="193"/>
    <cellStyle name="Normal 62" xfId="180"/>
    <cellStyle name="Normal 63" xfId="79"/>
    <cellStyle name="Normal 64" xfId="170"/>
    <cellStyle name="Normal 65" xfId="197"/>
    <cellStyle name="Normal 66" xfId="204"/>
    <cellStyle name="Normal 67" xfId="227"/>
    <cellStyle name="Normal 68" xfId="254"/>
    <cellStyle name="Normal 69" xfId="264"/>
    <cellStyle name="Normal 7" xfId="16"/>
    <cellStyle name="Normal 7 2" xfId="223"/>
    <cellStyle name="Normal 7 3" xfId="372"/>
    <cellStyle name="Normal 70" xfId="265"/>
    <cellStyle name="Normal 71" xfId="243"/>
    <cellStyle name="Normal 72" xfId="200"/>
    <cellStyle name="Normal 73" xfId="276"/>
    <cellStyle name="Normal 74" xfId="269"/>
    <cellStyle name="Normal 75" xfId="278"/>
    <cellStyle name="Normal 76" xfId="64"/>
    <cellStyle name="Normal 77" xfId="273"/>
    <cellStyle name="Normal 78" xfId="274"/>
    <cellStyle name="Normal 79" xfId="271"/>
    <cellStyle name="Normal 8" xfId="83"/>
    <cellStyle name="Normal 8 2" xfId="81"/>
    <cellStyle name="Normal 8 3" xfId="373"/>
    <cellStyle name="Normal 80" xfId="277"/>
    <cellStyle name="Normal 81" xfId="175"/>
    <cellStyle name="Normal 82" xfId="272"/>
    <cellStyle name="Normal 83" xfId="253"/>
    <cellStyle name="Normal 84" xfId="279"/>
    <cellStyle name="Normal 85" xfId="57"/>
    <cellStyle name="Normal 86" xfId="280"/>
    <cellStyle name="Normal 87" xfId="398"/>
    <cellStyle name="Normal 87 2" xfId="419"/>
    <cellStyle name="Normal 88" xfId="390"/>
    <cellStyle name="Normal 89" xfId="401"/>
    <cellStyle name="Normal 9" xfId="97"/>
    <cellStyle name="Normal 9 2" xfId="60"/>
    <cellStyle name="Normal 9 3" xfId="281"/>
    <cellStyle name="Normal 90" xfId="399"/>
    <cellStyle name="Normal 90 2" xfId="420"/>
    <cellStyle name="Normal 91" xfId="421"/>
    <cellStyle name="Normal 91 2" xfId="426"/>
    <cellStyle name="Normal 92" xfId="422"/>
    <cellStyle name="Normal 92 2" xfId="427"/>
    <cellStyle name="Normal 93" xfId="423"/>
    <cellStyle name="Normal 93 2" xfId="428"/>
    <cellStyle name="Normal 94" xfId="424"/>
    <cellStyle name="Normal 94 2" xfId="429"/>
    <cellStyle name="Normal 95" xfId="425"/>
    <cellStyle name="Normal 95 2" xfId="430"/>
    <cellStyle name="Normal 96" xfId="411"/>
    <cellStyle name="Normal 97" xfId="418"/>
    <cellStyle name="Normal 98" xfId="433"/>
    <cellStyle name="Normal 99" xfId="438"/>
    <cellStyle name="Notas" xfId="30" builtinId="10" customBuiltin="1"/>
    <cellStyle name="Notas 2" xfId="201"/>
    <cellStyle name="Notas 2 2" xfId="374"/>
    <cellStyle name="Notas 3" xfId="375"/>
    <cellStyle name="Porcentaje" xfId="387" builtinId="5"/>
    <cellStyle name="Porcentaje 2" xfId="396"/>
    <cellStyle name="Porcentaje 2 2" xfId="94"/>
    <cellStyle name="Porcentaje 2 2 2" xfId="96"/>
    <cellStyle name="Porcentaje 2 2 2 2" xfId="397"/>
    <cellStyle name="Porcentaje 2 2 2 2 2" xfId="408"/>
    <cellStyle name="Porcentaje 2 2 3" xfId="392"/>
    <cellStyle name="Porcentaje 2 2 3 2" xfId="406"/>
    <cellStyle name="Porcentaje 2 3" xfId="127"/>
    <cellStyle name="Porcentaje 2 4" xfId="407"/>
    <cellStyle name="Salida" xfId="25" builtinId="21" customBuiltin="1"/>
    <cellStyle name="Salida 2" xfId="203"/>
    <cellStyle name="Salida 2 2" xfId="376"/>
    <cellStyle name="TableStyleLight1" xfId="377"/>
    <cellStyle name="Texto de advertencia" xfId="29" builtinId="11" customBuiltin="1"/>
    <cellStyle name="Texto de advertencia 2" xfId="247"/>
    <cellStyle name="Texto de advertencia 2 2" xfId="378"/>
    <cellStyle name="Texto explicativo" xfId="31" builtinId="53" customBuiltin="1"/>
    <cellStyle name="Texto explicativo 2" xfId="250"/>
    <cellStyle name="Texto explicativo 2 2" xfId="379"/>
    <cellStyle name="Título 1 2" xfId="267"/>
    <cellStyle name="Título 1 2 2" xfId="380"/>
    <cellStyle name="Título 2" xfId="19" builtinId="17" customBuiltin="1"/>
    <cellStyle name="Título 2 2" xfId="63"/>
    <cellStyle name="Título 2 2 2" xfId="381"/>
    <cellStyle name="Título 3" xfId="20" builtinId="18" customBuiltin="1"/>
    <cellStyle name="Título 3 2" xfId="188"/>
    <cellStyle name="Título 3 2 2" xfId="382"/>
    <cellStyle name="Título 4" xfId="62"/>
    <cellStyle name="Título 4 2" xfId="383"/>
    <cellStyle name="Título 5" xfId="229"/>
    <cellStyle name="Total" xfId="32" builtinId="25" customBuiltin="1"/>
    <cellStyle name="Total 2" xfId="218"/>
    <cellStyle name="Total 2 2" xfId="384"/>
  </cellStyles>
  <dxfs count="508">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00B050"/>
        </patternFill>
      </fill>
    </dxf>
    <dxf>
      <fill>
        <patternFill>
          <bgColor rgb="FFFFC000"/>
        </patternFill>
      </fill>
    </dxf>
    <dxf>
      <fill>
        <patternFill>
          <bgColor rgb="FF92D050"/>
        </patternFill>
      </fill>
    </dxf>
    <dxf>
      <fill>
        <patternFill>
          <bgColor rgb="FFFFFF00"/>
        </patternFill>
      </fill>
    </dxf>
    <dxf>
      <fill>
        <patternFill>
          <bgColor rgb="FF00B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DCDFA"/>
      <color rgb="FFC1200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10779548565621"/>
          <c:y val="0.15784037952389388"/>
          <c:w val="0.85302418680714087"/>
          <c:h val="0.71588350508700771"/>
        </c:manualLayout>
      </c:layout>
      <c:barChart>
        <c:barDir val="col"/>
        <c:grouping val="clustered"/>
        <c:varyColors val="0"/>
        <c:ser>
          <c:idx val="0"/>
          <c:order val="0"/>
          <c:tx>
            <c:strRef>
              <c:f>'CONSOLIDADO UNIDADES'!$B$24</c:f>
              <c:strCache>
                <c:ptCount val="1"/>
                <c:pt idx="0">
                  <c:v>Recurso </c:v>
                </c:pt>
              </c:strCache>
            </c:strRef>
          </c:tx>
          <c:spPr>
            <a:solidFill>
              <a:srgbClr val="002060"/>
            </a:solidFill>
            <a:ln>
              <a:noFill/>
            </a:ln>
            <a:effectLst/>
          </c:spPr>
          <c:invertIfNegative val="0"/>
          <c:dPt>
            <c:idx val="1"/>
            <c:invertIfNegative val="0"/>
            <c:bubble3D val="0"/>
            <c:spPr>
              <a:solidFill>
                <a:srgbClr val="C00000"/>
              </a:solidFill>
              <a:ln>
                <a:noFill/>
              </a:ln>
              <a:effectLst/>
            </c:spPr>
            <c:extLst>
              <c:ext xmlns:c16="http://schemas.microsoft.com/office/drawing/2014/chart" uri="{C3380CC4-5D6E-409C-BE32-E72D297353CC}">
                <c16:uniqueId val="{00000001-2A34-4330-A785-656337F18964}"/>
              </c:ext>
            </c:extLst>
          </c:dPt>
          <c:dPt>
            <c:idx val="2"/>
            <c:invertIfNegative val="0"/>
            <c:bubble3D val="0"/>
            <c:spPr>
              <a:solidFill>
                <a:srgbClr val="00B0F0"/>
              </a:solidFill>
              <a:ln>
                <a:noFill/>
              </a:ln>
              <a:effectLst/>
            </c:spPr>
            <c:extLst>
              <c:ext xmlns:c16="http://schemas.microsoft.com/office/drawing/2014/chart" uri="{C3380CC4-5D6E-409C-BE32-E72D297353CC}">
                <c16:uniqueId val="{00000003-2A34-4330-A785-656337F18964}"/>
              </c:ext>
            </c:extLst>
          </c:dPt>
          <c:dPt>
            <c:idx val="3"/>
            <c:invertIfNegative val="0"/>
            <c:bubble3D val="0"/>
            <c:spPr>
              <a:solidFill>
                <a:schemeClr val="accent4">
                  <a:lumMod val="75000"/>
                </a:schemeClr>
              </a:solidFill>
              <a:ln>
                <a:noFill/>
              </a:ln>
              <a:effectLst/>
            </c:spPr>
            <c:extLst>
              <c:ext xmlns:c16="http://schemas.microsoft.com/office/drawing/2014/chart" uri="{C3380CC4-5D6E-409C-BE32-E72D297353CC}">
                <c16:uniqueId val="{00000005-2A34-4330-A785-656337F18964}"/>
              </c:ext>
            </c:extLst>
          </c:dPt>
          <c:dPt>
            <c:idx val="4"/>
            <c:invertIfNegative val="0"/>
            <c:bubble3D val="0"/>
            <c:spPr>
              <a:solidFill>
                <a:srgbClr val="92D050"/>
              </a:solidFill>
              <a:ln>
                <a:noFill/>
              </a:ln>
              <a:effectLst/>
            </c:spPr>
            <c:extLst>
              <c:ext xmlns:c16="http://schemas.microsoft.com/office/drawing/2014/chart" uri="{C3380CC4-5D6E-409C-BE32-E72D297353CC}">
                <c16:uniqueId val="{00000007-2A34-4330-A785-656337F18964}"/>
              </c:ext>
            </c:extLst>
          </c:dPt>
          <c:dPt>
            <c:idx val="5"/>
            <c:invertIfNegative val="0"/>
            <c:bubble3D val="0"/>
            <c:spPr>
              <a:solidFill>
                <a:srgbClr val="FFFF00"/>
              </a:solidFill>
              <a:ln>
                <a:noFill/>
              </a:ln>
              <a:effectLst/>
            </c:spPr>
            <c:extLst>
              <c:ext xmlns:c16="http://schemas.microsoft.com/office/drawing/2014/chart" uri="{C3380CC4-5D6E-409C-BE32-E72D297353CC}">
                <c16:uniqueId val="{00000009-2A34-4330-A785-656337F18964}"/>
              </c:ext>
            </c:extLst>
          </c:dPt>
          <c:cat>
            <c:strRef>
              <c:f>'CONSOLIDADO UNIDADES'!$A$25:$A$30</c:f>
              <c:strCache>
                <c:ptCount val="6"/>
                <c:pt idx="0">
                  <c:v>Apropiación Definitiva</c:v>
                </c:pt>
                <c:pt idx="1">
                  <c:v>Disponibilidades </c:v>
                </c:pt>
                <c:pt idx="2">
                  <c:v>Compromisos</c:v>
                </c:pt>
                <c:pt idx="3">
                  <c:v>Obligaciones</c:v>
                </c:pt>
                <c:pt idx="4">
                  <c:v>Pagos </c:v>
                </c:pt>
                <c:pt idx="5">
                  <c:v>Disponible</c:v>
                </c:pt>
              </c:strCache>
            </c:strRef>
          </c:cat>
          <c:val>
            <c:numRef>
              <c:f>'CONSOLIDADO UNIDADES'!$B$25:$B$30</c:f>
              <c:numCache>
                <c:formatCode>_(* #,##0_);_(* \(#,##0\);_(* "-"??_);_(@_)</c:formatCode>
                <c:ptCount val="6"/>
                <c:pt idx="0">
                  <c:v>446288235839.75995</c:v>
                </c:pt>
                <c:pt idx="1">
                  <c:v>372847510919.41998</c:v>
                </c:pt>
                <c:pt idx="2">
                  <c:v>348632025024.12</c:v>
                </c:pt>
                <c:pt idx="3">
                  <c:v>295384446566.26001</c:v>
                </c:pt>
                <c:pt idx="4">
                  <c:v>282145646518.83002</c:v>
                </c:pt>
                <c:pt idx="5">
                  <c:v>73440724920.340027</c:v>
                </c:pt>
              </c:numCache>
            </c:numRef>
          </c:val>
          <c:extLst>
            <c:ext xmlns:c16="http://schemas.microsoft.com/office/drawing/2014/chart" uri="{C3380CC4-5D6E-409C-BE32-E72D297353CC}">
              <c16:uniqueId val="{0000000A-2A34-4330-A785-656337F18964}"/>
            </c:ext>
          </c:extLst>
        </c:ser>
        <c:ser>
          <c:idx val="1"/>
          <c:order val="1"/>
          <c:tx>
            <c:strRef>
              <c:f>'CONSOLIDADO UNIDADES'!$C$24</c:f>
              <c:strCache>
                <c:ptCount val="1"/>
                <c:pt idx="0">
                  <c:v>%</c:v>
                </c:pt>
              </c:strCache>
            </c:strRef>
          </c:tx>
          <c:spPr>
            <a:solidFill>
              <a:schemeClr val="accent2"/>
            </a:solidFill>
            <a:ln>
              <a:noFill/>
            </a:ln>
            <a:effectLst/>
          </c:spPr>
          <c:invertIfNegative val="0"/>
          <c:cat>
            <c:strRef>
              <c:f>'CONSOLIDADO UNIDADES'!$A$25:$A$30</c:f>
              <c:strCache>
                <c:ptCount val="6"/>
                <c:pt idx="0">
                  <c:v>Apropiación Definitiva</c:v>
                </c:pt>
                <c:pt idx="1">
                  <c:v>Disponibilidades </c:v>
                </c:pt>
                <c:pt idx="2">
                  <c:v>Compromisos</c:v>
                </c:pt>
                <c:pt idx="3">
                  <c:v>Obligaciones</c:v>
                </c:pt>
                <c:pt idx="4">
                  <c:v>Pagos </c:v>
                </c:pt>
                <c:pt idx="5">
                  <c:v>Disponible</c:v>
                </c:pt>
              </c:strCache>
            </c:strRef>
          </c:cat>
          <c:val>
            <c:numRef>
              <c:f>'CONSOLIDADO UNIDADES'!$C$25:$C$30</c:f>
              <c:numCache>
                <c:formatCode>0.00%</c:formatCode>
                <c:ptCount val="6"/>
                <c:pt idx="0" formatCode="0%">
                  <c:v>1</c:v>
                </c:pt>
                <c:pt idx="1">
                  <c:v>0.83544104678862985</c:v>
                </c:pt>
                <c:pt idx="2">
                  <c:v>0.78118130173903244</c:v>
                </c:pt>
                <c:pt idx="3">
                  <c:v>0.66186922003545257</c:v>
                </c:pt>
                <c:pt idx="4">
                  <c:v>0.63220498292528282</c:v>
                </c:pt>
                <c:pt idx="5">
                  <c:v>0.16455895321137023</c:v>
                </c:pt>
              </c:numCache>
            </c:numRef>
          </c:val>
          <c:extLst>
            <c:ext xmlns:c16="http://schemas.microsoft.com/office/drawing/2014/chart" uri="{C3380CC4-5D6E-409C-BE32-E72D297353CC}">
              <c16:uniqueId val="{0000000B-2A34-4330-A785-656337F18964}"/>
            </c:ext>
          </c:extLst>
        </c:ser>
        <c:dLbls>
          <c:showLegendKey val="0"/>
          <c:showVal val="0"/>
          <c:showCatName val="0"/>
          <c:showSerName val="0"/>
          <c:showPercent val="0"/>
          <c:showBubbleSize val="0"/>
        </c:dLbls>
        <c:gapWidth val="219"/>
        <c:overlap val="-27"/>
        <c:axId val="287684784"/>
        <c:axId val="287685344"/>
      </c:barChart>
      <c:catAx>
        <c:axId val="287684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87685344"/>
        <c:crosses val="autoZero"/>
        <c:auto val="1"/>
        <c:lblAlgn val="ctr"/>
        <c:lblOffset val="100"/>
        <c:noMultiLvlLbl val="0"/>
      </c:catAx>
      <c:valAx>
        <c:axId val="287685344"/>
        <c:scaling>
          <c:orientation val="minMax"/>
        </c:scaling>
        <c:delete val="1"/>
        <c:axPos val="l"/>
        <c:numFmt formatCode="_(* #,##0_);_(* \(#,##0\);_(* &quot;-&quot;??_);_(@_)" sourceLinked="1"/>
        <c:majorTickMark val="none"/>
        <c:minorTickMark val="none"/>
        <c:tickLblPos val="nextTo"/>
        <c:crossAx val="28768478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'CONSOLIDADO UNIDADES'!$B$33</c:f>
              <c:strCache>
                <c:ptCount val="1"/>
                <c:pt idx="0">
                  <c:v>Recurso </c:v>
                </c:pt>
              </c:strCache>
            </c:strRef>
          </c:tx>
          <c:spPr>
            <a:solidFill>
              <a:schemeClr val="accent1"/>
            </a:solidFill>
            <a:ln>
              <a:noFill/>
            </a:ln>
            <a:effectLst/>
          </c:spPr>
          <c:invertIfNegative val="0"/>
          <c:dPt>
            <c:idx val="0"/>
            <c:invertIfNegative val="0"/>
            <c:bubble3D val="0"/>
            <c:spPr>
              <a:solidFill>
                <a:srgbClr val="002060"/>
              </a:solidFill>
              <a:ln>
                <a:noFill/>
              </a:ln>
              <a:effectLst/>
            </c:spPr>
            <c:extLst>
              <c:ext xmlns:c16="http://schemas.microsoft.com/office/drawing/2014/chart" uri="{C3380CC4-5D6E-409C-BE32-E72D297353CC}">
                <c16:uniqueId val="{00000001-ADCE-4021-8630-82965FDA27B9}"/>
              </c:ext>
            </c:extLst>
          </c:dPt>
          <c:dPt>
            <c:idx val="5"/>
            <c:invertIfNegative val="0"/>
            <c:bubble3D val="0"/>
            <c:spPr>
              <a:solidFill>
                <a:srgbClr val="FFFF00"/>
              </a:solidFill>
              <a:ln>
                <a:noFill/>
              </a:ln>
              <a:effectLst/>
            </c:spPr>
            <c:extLst>
              <c:ext xmlns:c16="http://schemas.microsoft.com/office/drawing/2014/chart" uri="{C3380CC4-5D6E-409C-BE32-E72D297353CC}">
                <c16:uniqueId val="{00000003-ADCE-4021-8630-82965FDA27B9}"/>
              </c:ext>
            </c:extLst>
          </c:dPt>
          <c:cat>
            <c:strRef>
              <c:f>'CONSOLIDADO UNIDADES'!$A$34:$A$39</c:f>
              <c:strCache>
                <c:ptCount val="6"/>
                <c:pt idx="0">
                  <c:v>Apropiación Definitiva</c:v>
                </c:pt>
                <c:pt idx="1">
                  <c:v>Disponibilidades </c:v>
                </c:pt>
                <c:pt idx="2">
                  <c:v>Compromisos</c:v>
                </c:pt>
                <c:pt idx="3">
                  <c:v>Obligaciones</c:v>
                </c:pt>
                <c:pt idx="4">
                  <c:v>Pagos </c:v>
                </c:pt>
                <c:pt idx="5">
                  <c:v>Disponible</c:v>
                </c:pt>
              </c:strCache>
            </c:strRef>
          </c:cat>
          <c:val>
            <c:numRef>
              <c:f>'CONSOLIDADO UNIDADES'!$B$34:$B$39</c:f>
              <c:numCache>
                <c:formatCode>_(* #,##0_);_(* \(#,##0\);_(* "-"??_);_(@_)</c:formatCode>
                <c:ptCount val="6"/>
                <c:pt idx="0">
                  <c:v>15206289810.389999</c:v>
                </c:pt>
                <c:pt idx="1">
                  <c:v>12628788537.17</c:v>
                </c:pt>
                <c:pt idx="2">
                  <c:v>13070625781.740002</c:v>
                </c:pt>
                <c:pt idx="3">
                  <c:v>13070625781.740002</c:v>
                </c:pt>
                <c:pt idx="4">
                  <c:v>10331942502.950001</c:v>
                </c:pt>
                <c:pt idx="5">
                  <c:v>2577501273.2199993</c:v>
                </c:pt>
              </c:numCache>
            </c:numRef>
          </c:val>
          <c:extLst>
            <c:ext xmlns:c16="http://schemas.microsoft.com/office/drawing/2014/chart" uri="{C3380CC4-5D6E-409C-BE32-E72D297353CC}">
              <c16:uniqueId val="{00000004-ADCE-4021-8630-82965FDA27B9}"/>
            </c:ext>
          </c:extLst>
        </c:ser>
        <c:ser>
          <c:idx val="1"/>
          <c:order val="1"/>
          <c:tx>
            <c:strRef>
              <c:f>'CONSOLIDADO UNIDADES'!$C$33</c:f>
              <c:strCache>
                <c:ptCount val="1"/>
                <c:pt idx="0">
                  <c:v>%</c:v>
                </c:pt>
              </c:strCache>
            </c:strRef>
          </c:tx>
          <c:spPr>
            <a:solidFill>
              <a:schemeClr val="accent2"/>
            </a:solidFill>
            <a:ln>
              <a:noFill/>
            </a:ln>
            <a:effectLst/>
          </c:spPr>
          <c:invertIfNegative val="0"/>
          <c:cat>
            <c:strRef>
              <c:f>'CONSOLIDADO UNIDADES'!$A$34:$A$39</c:f>
              <c:strCache>
                <c:ptCount val="6"/>
                <c:pt idx="0">
                  <c:v>Apropiación Definitiva</c:v>
                </c:pt>
                <c:pt idx="1">
                  <c:v>Disponibilidades </c:v>
                </c:pt>
                <c:pt idx="2">
                  <c:v>Compromisos</c:v>
                </c:pt>
                <c:pt idx="3">
                  <c:v>Obligaciones</c:v>
                </c:pt>
                <c:pt idx="4">
                  <c:v>Pagos </c:v>
                </c:pt>
                <c:pt idx="5">
                  <c:v>Disponible</c:v>
                </c:pt>
              </c:strCache>
            </c:strRef>
          </c:cat>
          <c:val>
            <c:numRef>
              <c:f>'CONSOLIDADO UNIDADES'!$C$34:$C$39</c:f>
              <c:numCache>
                <c:formatCode>0.00%</c:formatCode>
                <c:ptCount val="6"/>
                <c:pt idx="0" formatCode="0%">
                  <c:v>1</c:v>
                </c:pt>
                <c:pt idx="1">
                  <c:v>0.8304976884329226</c:v>
                </c:pt>
                <c:pt idx="2">
                  <c:v>0.85955390464866965</c:v>
                </c:pt>
                <c:pt idx="3">
                  <c:v>0.85955390464866965</c:v>
                </c:pt>
                <c:pt idx="4">
                  <c:v>0.67945189995593114</c:v>
                </c:pt>
                <c:pt idx="5">
                  <c:v>0.16950231156707735</c:v>
                </c:pt>
              </c:numCache>
            </c:numRef>
          </c:val>
          <c:extLst>
            <c:ext xmlns:c16="http://schemas.microsoft.com/office/drawing/2014/chart" uri="{C3380CC4-5D6E-409C-BE32-E72D297353CC}">
              <c16:uniqueId val="{00000005-ADCE-4021-8630-82965FDA27B9}"/>
            </c:ext>
          </c:extLst>
        </c:ser>
        <c:dLbls>
          <c:showLegendKey val="0"/>
          <c:showVal val="0"/>
          <c:showCatName val="0"/>
          <c:showSerName val="0"/>
          <c:showPercent val="0"/>
          <c:showBubbleSize val="0"/>
        </c:dLbls>
        <c:gapWidth val="219"/>
        <c:overlap val="-27"/>
        <c:axId val="384687168"/>
        <c:axId val="384687728"/>
      </c:barChart>
      <c:catAx>
        <c:axId val="384687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4687728"/>
        <c:crosses val="autoZero"/>
        <c:auto val="1"/>
        <c:lblAlgn val="ctr"/>
        <c:lblOffset val="100"/>
        <c:noMultiLvlLbl val="0"/>
      </c:catAx>
      <c:valAx>
        <c:axId val="384687728"/>
        <c:scaling>
          <c:orientation val="minMax"/>
        </c:scaling>
        <c:delete val="1"/>
        <c:axPos val="l"/>
        <c:numFmt formatCode="_(* #,##0_);_(* \(#,##0\);_(* &quot;-&quot;??_);_(@_)" sourceLinked="1"/>
        <c:majorTickMark val="none"/>
        <c:minorTickMark val="none"/>
        <c:tickLblPos val="nextTo"/>
        <c:crossAx val="38468716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'CONSOLIDADO UNIDADES'!$B$47</c:f>
              <c:strCache>
                <c:ptCount val="1"/>
                <c:pt idx="0">
                  <c:v>Recurso </c:v>
                </c:pt>
              </c:strCache>
            </c:strRef>
          </c:tx>
          <c:spPr>
            <a:solidFill>
              <a:schemeClr val="accent1"/>
            </a:solidFill>
            <a:ln>
              <a:noFill/>
            </a:ln>
            <a:effectLst/>
          </c:spPr>
          <c:invertIfNegative val="0"/>
          <c:dPt>
            <c:idx val="0"/>
            <c:invertIfNegative val="0"/>
            <c:bubble3D val="0"/>
            <c:spPr>
              <a:solidFill>
                <a:srgbClr val="002060"/>
              </a:solidFill>
              <a:ln>
                <a:noFill/>
              </a:ln>
              <a:effectLst/>
            </c:spPr>
            <c:extLst>
              <c:ext xmlns:c16="http://schemas.microsoft.com/office/drawing/2014/chart" uri="{C3380CC4-5D6E-409C-BE32-E72D297353CC}">
                <c16:uniqueId val="{00000001-C9A8-4FE7-ACBF-7223D1864A1A}"/>
              </c:ext>
            </c:extLst>
          </c:dPt>
          <c:dPt>
            <c:idx val="1"/>
            <c:invertIfNegative val="0"/>
            <c:bubble3D val="0"/>
            <c:spPr>
              <a:solidFill>
                <a:srgbClr val="C00000"/>
              </a:solidFill>
              <a:ln>
                <a:noFill/>
              </a:ln>
              <a:effectLst/>
            </c:spPr>
            <c:extLst>
              <c:ext xmlns:c16="http://schemas.microsoft.com/office/drawing/2014/chart" uri="{C3380CC4-5D6E-409C-BE32-E72D297353CC}">
                <c16:uniqueId val="{00000003-C9A8-4FE7-ACBF-7223D1864A1A}"/>
              </c:ext>
            </c:extLst>
          </c:dPt>
          <c:dPt>
            <c:idx val="2"/>
            <c:invertIfNegative val="0"/>
            <c:bubble3D val="0"/>
            <c:spPr>
              <a:solidFill>
                <a:srgbClr val="00B0F0"/>
              </a:solidFill>
              <a:ln>
                <a:noFill/>
              </a:ln>
              <a:effectLst/>
            </c:spPr>
            <c:extLst>
              <c:ext xmlns:c16="http://schemas.microsoft.com/office/drawing/2014/chart" uri="{C3380CC4-5D6E-409C-BE32-E72D297353CC}">
                <c16:uniqueId val="{00000005-C9A8-4FE7-ACBF-7223D1864A1A}"/>
              </c:ext>
            </c:extLst>
          </c:dPt>
          <c:dPt>
            <c:idx val="3"/>
            <c:invertIfNegative val="0"/>
            <c:bubble3D val="0"/>
            <c:spPr>
              <a:solidFill>
                <a:schemeClr val="accent4">
                  <a:lumMod val="75000"/>
                </a:schemeClr>
              </a:solidFill>
              <a:ln>
                <a:noFill/>
              </a:ln>
              <a:effectLst/>
            </c:spPr>
            <c:extLst>
              <c:ext xmlns:c16="http://schemas.microsoft.com/office/drawing/2014/chart" uri="{C3380CC4-5D6E-409C-BE32-E72D297353CC}">
                <c16:uniqueId val="{00000007-C9A8-4FE7-ACBF-7223D1864A1A}"/>
              </c:ext>
            </c:extLst>
          </c:dPt>
          <c:dPt>
            <c:idx val="4"/>
            <c:invertIfNegative val="0"/>
            <c:bubble3D val="0"/>
            <c:spPr>
              <a:solidFill>
                <a:srgbClr val="92D050"/>
              </a:solidFill>
              <a:ln>
                <a:noFill/>
              </a:ln>
              <a:effectLst/>
            </c:spPr>
            <c:extLst>
              <c:ext xmlns:c16="http://schemas.microsoft.com/office/drawing/2014/chart" uri="{C3380CC4-5D6E-409C-BE32-E72D297353CC}">
                <c16:uniqueId val="{00000009-C9A8-4FE7-ACBF-7223D1864A1A}"/>
              </c:ext>
            </c:extLst>
          </c:dPt>
          <c:dPt>
            <c:idx val="5"/>
            <c:invertIfNegative val="0"/>
            <c:bubble3D val="0"/>
            <c:spPr>
              <a:solidFill>
                <a:srgbClr val="FFFF00"/>
              </a:solidFill>
              <a:ln>
                <a:noFill/>
              </a:ln>
              <a:effectLst/>
            </c:spPr>
            <c:extLst>
              <c:ext xmlns:c16="http://schemas.microsoft.com/office/drawing/2014/chart" uri="{C3380CC4-5D6E-409C-BE32-E72D297353CC}">
                <c16:uniqueId val="{0000000B-C9A8-4FE7-ACBF-7223D1864A1A}"/>
              </c:ext>
            </c:extLst>
          </c:dPt>
          <c:cat>
            <c:strRef>
              <c:f>'CONSOLIDADO UNIDADES'!$A$48:$A$53</c:f>
              <c:strCache>
                <c:ptCount val="6"/>
                <c:pt idx="0">
                  <c:v>Apropiación Definitiva</c:v>
                </c:pt>
                <c:pt idx="1">
                  <c:v>Disponibilidades </c:v>
                </c:pt>
                <c:pt idx="2">
                  <c:v>Compromisos</c:v>
                </c:pt>
                <c:pt idx="3">
                  <c:v>Obligaciones</c:v>
                </c:pt>
                <c:pt idx="4">
                  <c:v>Pagos </c:v>
                </c:pt>
                <c:pt idx="5">
                  <c:v>Disponible</c:v>
                </c:pt>
              </c:strCache>
            </c:strRef>
          </c:cat>
          <c:val>
            <c:numRef>
              <c:f>'CONSOLIDADO UNIDADES'!$B$48:$B$53</c:f>
              <c:numCache>
                <c:formatCode>_(* #,##0_);_(* \(#,##0\);_(* "-"??_);_(@_)</c:formatCode>
                <c:ptCount val="6"/>
                <c:pt idx="0">
                  <c:v>461494525650.14996</c:v>
                </c:pt>
                <c:pt idx="1">
                  <c:v>385476299456.58997</c:v>
                </c:pt>
                <c:pt idx="2">
                  <c:v>361702650805.85999</c:v>
                </c:pt>
                <c:pt idx="3">
                  <c:v>308455072348</c:v>
                </c:pt>
                <c:pt idx="4">
                  <c:v>292477589021.78003</c:v>
                </c:pt>
                <c:pt idx="5">
                  <c:v>76018226193.560028</c:v>
                </c:pt>
              </c:numCache>
            </c:numRef>
          </c:val>
          <c:extLst>
            <c:ext xmlns:c16="http://schemas.microsoft.com/office/drawing/2014/chart" uri="{C3380CC4-5D6E-409C-BE32-E72D297353CC}">
              <c16:uniqueId val="{0000000C-C9A8-4FE7-ACBF-7223D1864A1A}"/>
            </c:ext>
          </c:extLst>
        </c:ser>
        <c:ser>
          <c:idx val="1"/>
          <c:order val="1"/>
          <c:tx>
            <c:strRef>
              <c:f>'CONSOLIDADO UNIDADES'!$C$47</c:f>
              <c:strCache>
                <c:ptCount val="1"/>
                <c:pt idx="0">
                  <c:v>%</c:v>
                </c:pt>
              </c:strCache>
            </c:strRef>
          </c:tx>
          <c:spPr>
            <a:solidFill>
              <a:schemeClr val="accent2"/>
            </a:solidFill>
            <a:ln>
              <a:noFill/>
            </a:ln>
            <a:effectLst/>
          </c:spPr>
          <c:invertIfNegative val="0"/>
          <c:cat>
            <c:strRef>
              <c:f>'CONSOLIDADO UNIDADES'!$A$48:$A$53</c:f>
              <c:strCache>
                <c:ptCount val="6"/>
                <c:pt idx="0">
                  <c:v>Apropiación Definitiva</c:v>
                </c:pt>
                <c:pt idx="1">
                  <c:v>Disponibilidades </c:v>
                </c:pt>
                <c:pt idx="2">
                  <c:v>Compromisos</c:v>
                </c:pt>
                <c:pt idx="3">
                  <c:v>Obligaciones</c:v>
                </c:pt>
                <c:pt idx="4">
                  <c:v>Pagos </c:v>
                </c:pt>
                <c:pt idx="5">
                  <c:v>Disponible</c:v>
                </c:pt>
              </c:strCache>
            </c:strRef>
          </c:cat>
          <c:val>
            <c:numRef>
              <c:f>'CONSOLIDADO UNIDADES'!$C$48:$C$53</c:f>
              <c:numCache>
                <c:formatCode>0.00%</c:formatCode>
                <c:ptCount val="6"/>
                <c:pt idx="0" formatCode="0%">
                  <c:v>1</c:v>
                </c:pt>
                <c:pt idx="1">
                  <c:v>0.83527816264674837</c:v>
                </c:pt>
                <c:pt idx="2">
                  <c:v>0.78376368667926466</c:v>
                </c:pt>
                <c:pt idx="3">
                  <c:v>0.66838294975103085</c:v>
                </c:pt>
                <c:pt idx="4">
                  <c:v>0.63376177346792972</c:v>
                </c:pt>
                <c:pt idx="5">
                  <c:v>0.16472183735325166</c:v>
                </c:pt>
              </c:numCache>
            </c:numRef>
          </c:val>
          <c:extLst>
            <c:ext xmlns:c16="http://schemas.microsoft.com/office/drawing/2014/chart" uri="{C3380CC4-5D6E-409C-BE32-E72D297353CC}">
              <c16:uniqueId val="{0000000D-C9A8-4FE7-ACBF-7223D1864A1A}"/>
            </c:ext>
          </c:extLst>
        </c:ser>
        <c:dLbls>
          <c:showLegendKey val="0"/>
          <c:showVal val="0"/>
          <c:showCatName val="0"/>
          <c:showSerName val="0"/>
          <c:showPercent val="0"/>
          <c:showBubbleSize val="0"/>
        </c:dLbls>
        <c:gapWidth val="219"/>
        <c:overlap val="-27"/>
        <c:axId val="224462048"/>
        <c:axId val="224462608"/>
      </c:barChart>
      <c:catAx>
        <c:axId val="224462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24462608"/>
        <c:crosses val="autoZero"/>
        <c:auto val="1"/>
        <c:lblAlgn val="ctr"/>
        <c:lblOffset val="100"/>
        <c:noMultiLvlLbl val="0"/>
      </c:catAx>
      <c:valAx>
        <c:axId val="224462608"/>
        <c:scaling>
          <c:orientation val="minMax"/>
        </c:scaling>
        <c:delete val="1"/>
        <c:axPos val="l"/>
        <c:numFmt formatCode="_(* #,##0_);_(* \(#,##0\);_(* &quot;-&quot;??_);_(@_)" sourceLinked="1"/>
        <c:majorTickMark val="none"/>
        <c:minorTickMark val="none"/>
        <c:tickLblPos val="nextTo"/>
        <c:crossAx val="2244620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800" b="1">
                <a:effectLst/>
              </a:rPr>
              <a:t>COMPARATIVO  PRESUPUESTO Vs. REGISTROS PRESUPUESTALES </a:t>
            </a:r>
            <a:endParaRPr lang="es-CO">
              <a:effectLst/>
            </a:endParaRPr>
          </a:p>
          <a:p>
            <a:pPr>
              <a:defRPr/>
            </a:pPr>
            <a:r>
              <a:rPr lang="es-CO" sz="1800" b="1">
                <a:effectLst/>
              </a:rPr>
              <a:t>PLAN OPERATIVO ANUAL DE INVERSIONES POAI   CON CORTE AL 30 NOVIEMBRE 2023</a:t>
            </a:r>
          </a:p>
          <a:p>
            <a:pPr>
              <a:defRPr/>
            </a:pPr>
            <a:r>
              <a:rPr lang="es-CO" sz="1800" b="1">
                <a:effectLst/>
              </a:rPr>
              <a:t>POR UNIDADES EJECUTORAS</a:t>
            </a:r>
            <a:endParaRPr lang="es-CO">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'CONSOLIDADO UNIDADES'!$C$2</c:f>
              <c:strCache>
                <c:ptCount val="1"/>
                <c:pt idx="0">
                  <c:v>% AP</c:v>
                </c:pt>
              </c:strCache>
            </c:strRef>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'CONSOLIDADO UNIDADES'!$A$3:$A$22</c15:sqref>
                  </c15:fullRef>
                </c:ext>
              </c:extLst>
              <c:f>('CONSOLIDADO UNIDADES'!$A$3:$A$15,'CONSOLIDADO UNIDADES'!$A$17:$A$19,'CONSOLIDADO UNIDADES'!$A$22)</c:f>
              <c:strCache>
                <c:ptCount val="17"/>
                <c:pt idx="0">
                  <c:v>Administrativa</c:v>
                </c:pt>
                <c:pt idx="1">
                  <c:v>Planeación</c:v>
                </c:pt>
                <c:pt idx="2">
                  <c:v>Hacienda</c:v>
                </c:pt>
                <c:pt idx="3">
                  <c:v>Aguas e Infraestructura</c:v>
                </c:pt>
                <c:pt idx="4">
                  <c:v>Interior</c:v>
                </c:pt>
                <c:pt idx="5">
                  <c:v>Cultura</c:v>
                </c:pt>
                <c:pt idx="6">
                  <c:v>Turismo Industria y Comercio</c:v>
                </c:pt>
                <c:pt idx="7">
                  <c:v>Agricultura, Desarrollo Rural y Medio Ambiente</c:v>
                </c:pt>
                <c:pt idx="8">
                  <c:v>Privada</c:v>
                </c:pt>
                <c:pt idx="9">
                  <c:v>Educación</c:v>
                </c:pt>
                <c:pt idx="10">
                  <c:v>Familia</c:v>
                </c:pt>
                <c:pt idx="11">
                  <c:v>Salud</c:v>
                </c:pt>
                <c:pt idx="12">
                  <c:v>Tecnología de la Información y las Comunicaciones</c:v>
                </c:pt>
                <c:pt idx="13">
                  <c:v>Indeportes</c:v>
                </c:pt>
                <c:pt idx="14">
                  <c:v>Proyecta</c:v>
                </c:pt>
                <c:pt idx="15">
                  <c:v>Instituto Departamental de Transito</c:v>
                </c:pt>
                <c:pt idx="16">
                  <c:v>TOTAL DEPARTAMENTO</c:v>
                </c:pt>
              </c:strCache>
            </c:strRef>
          </c:cat>
          <c:val>
            <c:numRef>
              <c:extLst>
                <c:ext xmlns:c15="http://schemas.microsoft.com/office/drawing/2012/chart" uri="{02D57815-91ED-43cb-92C2-25804820EDAC}">
                  <c15:fullRef>
                    <c15:sqref>'CONSOLIDADO UNIDADES'!$C$3:$C$22</c15:sqref>
                  </c15:fullRef>
                </c:ext>
              </c:extLst>
              <c:f>('CONSOLIDADO UNIDADES'!$C$3:$C$15,'CONSOLIDADO UNIDADES'!$C$17:$C$19,'CONSOLIDADO UNIDADES'!$C$22)</c:f>
              <c:numCache>
                <c:formatCode>0%</c:formatCode>
                <c:ptCount val="17"/>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numCache>
            </c:numRef>
          </c:val>
          <c:extLst>
            <c:ext xmlns:c16="http://schemas.microsoft.com/office/drawing/2014/chart" uri="{C3380CC4-5D6E-409C-BE32-E72D297353CC}">
              <c16:uniqueId val="{00000000-C3E7-4F40-9D5B-AF38B62F11A9}"/>
            </c:ext>
          </c:extLst>
        </c:ser>
        <c:ser>
          <c:idx val="2"/>
          <c:order val="2"/>
          <c:tx>
            <c:strRef>
              <c:f>'CONSOLIDADO UNIDADES'!$G$2</c:f>
              <c:strCache>
                <c:ptCount val="1"/>
                <c:pt idx="0">
                  <c:v>% RP
COMPROM
APROP DEF</c:v>
                </c:pt>
              </c:strCache>
            </c:strRef>
          </c:tx>
          <c:spPr>
            <a:solidFill>
              <a:srgbClr val="FFC000"/>
            </a:solidFill>
            <a:ln>
              <a:noFill/>
            </a:ln>
            <a:effectLst/>
          </c:spPr>
          <c:invertIfNegative val="0"/>
          <c:dLbls>
            <c:dLbl>
              <c:idx val="0"/>
              <c:layout>
                <c:manualLayout>
                  <c:x val="3.3096929178304886E-3"/>
                  <c:y val="-4.201364450998278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3E7-4F40-9D5B-AF38B62F11A9}"/>
                </c:ext>
              </c:extLst>
            </c:dLbl>
            <c:dLbl>
              <c:idx val="9"/>
              <c:layout>
                <c:manualLayout>
                  <c:x val="3.3096929178304886E-3"/>
                  <c:y val="-3.57115978334854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3E7-4F40-9D5B-AF38B62F11A9}"/>
                </c:ext>
              </c:extLst>
            </c:dLbl>
            <c:dLbl>
              <c:idx val="13"/>
              <c:layout>
                <c:manualLayout>
                  <c:x val="6.6193858356610579E-3"/>
                  <c:y val="-3.781228005898458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3E7-4F40-9D5B-AF38B62F11A9}"/>
                </c:ext>
              </c:extLst>
            </c:dLbl>
            <c:dLbl>
              <c:idx val="14"/>
              <c:layout>
                <c:manualLayout>
                  <c:x val="1.1032309726101627E-3"/>
                  <c:y val="-3.361091560798630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3E7-4F40-9D5B-AF38B62F11A9}"/>
                </c:ext>
              </c:extLst>
            </c:dLbl>
            <c:dLbl>
              <c:idx val="15"/>
              <c:layout>
                <c:manualLayout>
                  <c:x val="1.1032309726101629E-2"/>
                  <c:y val="-4.201364450998278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3E7-4F40-9D5B-AF38B62F11A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'CONSOLIDADO UNIDADES'!$A$3:$A$22</c15:sqref>
                  </c15:fullRef>
                </c:ext>
              </c:extLst>
              <c:f>('CONSOLIDADO UNIDADES'!$A$3:$A$15,'CONSOLIDADO UNIDADES'!$A$17:$A$19,'CONSOLIDADO UNIDADES'!$A$22)</c:f>
              <c:strCache>
                <c:ptCount val="17"/>
                <c:pt idx="0">
                  <c:v>Administrativa</c:v>
                </c:pt>
                <c:pt idx="1">
                  <c:v>Planeación</c:v>
                </c:pt>
                <c:pt idx="2">
                  <c:v>Hacienda</c:v>
                </c:pt>
                <c:pt idx="3">
                  <c:v>Aguas e Infraestructura</c:v>
                </c:pt>
                <c:pt idx="4">
                  <c:v>Interior</c:v>
                </c:pt>
                <c:pt idx="5">
                  <c:v>Cultura</c:v>
                </c:pt>
                <c:pt idx="6">
                  <c:v>Turismo Industria y Comercio</c:v>
                </c:pt>
                <c:pt idx="7">
                  <c:v>Agricultura, Desarrollo Rural y Medio Ambiente</c:v>
                </c:pt>
                <c:pt idx="8">
                  <c:v>Privada</c:v>
                </c:pt>
                <c:pt idx="9">
                  <c:v>Educación</c:v>
                </c:pt>
                <c:pt idx="10">
                  <c:v>Familia</c:v>
                </c:pt>
                <c:pt idx="11">
                  <c:v>Salud</c:v>
                </c:pt>
                <c:pt idx="12">
                  <c:v>Tecnología de la Información y las Comunicaciones</c:v>
                </c:pt>
                <c:pt idx="13">
                  <c:v>Indeportes</c:v>
                </c:pt>
                <c:pt idx="14">
                  <c:v>Proyecta</c:v>
                </c:pt>
                <c:pt idx="15">
                  <c:v>Instituto Departamental de Transito</c:v>
                </c:pt>
                <c:pt idx="16">
                  <c:v>TOTAL DEPARTAMENTO</c:v>
                </c:pt>
              </c:strCache>
            </c:strRef>
          </c:cat>
          <c:val>
            <c:numRef>
              <c:extLst>
                <c:ext xmlns:c15="http://schemas.microsoft.com/office/drawing/2012/chart" uri="{02D57815-91ED-43cb-92C2-25804820EDAC}">
                  <c15:fullRef>
                    <c15:sqref>'CONSOLIDADO UNIDADES'!$G$3:$G$22</c15:sqref>
                  </c15:fullRef>
                </c:ext>
              </c:extLst>
              <c:f>('CONSOLIDADO UNIDADES'!$G$3:$G$15,'CONSOLIDADO UNIDADES'!$G$17:$G$19,'CONSOLIDADO UNIDADES'!$G$22)</c:f>
              <c:numCache>
                <c:formatCode>0.00%</c:formatCode>
                <c:ptCount val="17"/>
                <c:pt idx="0">
                  <c:v>0.68464013867208251</c:v>
                </c:pt>
                <c:pt idx="1">
                  <c:v>0.87865121034839133</c:v>
                </c:pt>
                <c:pt idx="2">
                  <c:v>0.9771391222436735</c:v>
                </c:pt>
                <c:pt idx="3">
                  <c:v>0.73507578165806942</c:v>
                </c:pt>
                <c:pt idx="4">
                  <c:v>0.5629145730363746</c:v>
                </c:pt>
                <c:pt idx="5">
                  <c:v>0.94154386281897484</c:v>
                </c:pt>
                <c:pt idx="6">
                  <c:v>0.87391755516594927</c:v>
                </c:pt>
                <c:pt idx="7">
                  <c:v>0.63797922509407079</c:v>
                </c:pt>
                <c:pt idx="8">
                  <c:v>0.96875537594314043</c:v>
                </c:pt>
                <c:pt idx="9">
                  <c:v>0.8006164956673727</c:v>
                </c:pt>
                <c:pt idx="10">
                  <c:v>0.61815218838901964</c:v>
                </c:pt>
                <c:pt idx="11">
                  <c:v>0.82991288226725146</c:v>
                </c:pt>
                <c:pt idx="12">
                  <c:v>0.97100296429204014</c:v>
                </c:pt>
                <c:pt idx="13">
                  <c:v>0.8023965214304204</c:v>
                </c:pt>
                <c:pt idx="14">
                  <c:v>0.97973232996303605</c:v>
                </c:pt>
                <c:pt idx="15">
                  <c:v>1</c:v>
                </c:pt>
                <c:pt idx="16">
                  <c:v>0.78376368667926466</c:v>
                </c:pt>
              </c:numCache>
            </c:numRef>
          </c:val>
          <c:extLst>
            <c:ext xmlns:c16="http://schemas.microsoft.com/office/drawing/2014/chart" uri="{C3380CC4-5D6E-409C-BE32-E72D297353CC}">
              <c16:uniqueId val="{00000006-C3E7-4F40-9D5B-AF38B62F11A9}"/>
            </c:ext>
          </c:extLst>
        </c:ser>
        <c:dLbls>
          <c:dLblPos val="outEnd"/>
          <c:showLegendKey val="0"/>
          <c:showVal val="1"/>
          <c:showCatName val="0"/>
          <c:showSerName val="0"/>
          <c:showPercent val="0"/>
          <c:showBubbleSize val="0"/>
        </c:dLbls>
        <c:gapWidth val="219"/>
        <c:overlap val="-27"/>
        <c:axId val="384327120"/>
        <c:axId val="384327680"/>
        <c:extLst>
          <c:ext xmlns:c15="http://schemas.microsoft.com/office/drawing/2012/chart" uri="{02D57815-91ED-43cb-92C2-25804820EDAC}">
            <c15:filteredBarSeries>
              <c15:ser>
                <c:idx val="1"/>
                <c:order val="1"/>
                <c:tx>
                  <c:strRef>
                    <c:extLst>
                      <c:ext uri="{02D57815-91ED-43cb-92C2-25804820EDAC}">
                        <c15:formulaRef>
                          <c15:sqref>'CONSOLIDADO UNIDADES'!$E$2</c15:sqref>
                        </c15:formulaRef>
                      </c:ext>
                    </c:extLst>
                    <c:strCache>
                      <c:ptCount val="1"/>
                      <c:pt idx="0">
                        <c:v>% CD
DISPON
/APRO DEF</c:v>
                      </c:pt>
                    </c:strCache>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'CONSOLIDADO UNIDADES'!$A$3:$A$22</c15:sqref>
                        </c15:fullRef>
                        <c15:formulaRef>
                          <c15:sqref>('CONSOLIDADO UNIDADES'!$A$3:$A$15,'CONSOLIDADO UNIDADES'!$A$17:$A$19,'CONSOLIDADO UNIDADES'!$A$22)</c15:sqref>
                        </c15:formulaRef>
                      </c:ext>
                    </c:extLst>
                    <c:strCache>
                      <c:ptCount val="17"/>
                      <c:pt idx="0">
                        <c:v>Administrativa</c:v>
                      </c:pt>
                      <c:pt idx="1">
                        <c:v>Planeación</c:v>
                      </c:pt>
                      <c:pt idx="2">
                        <c:v>Hacienda</c:v>
                      </c:pt>
                      <c:pt idx="3">
                        <c:v>Aguas e Infraestructura</c:v>
                      </c:pt>
                      <c:pt idx="4">
                        <c:v>Interior</c:v>
                      </c:pt>
                      <c:pt idx="5">
                        <c:v>Cultura</c:v>
                      </c:pt>
                      <c:pt idx="6">
                        <c:v>Turismo Industria y Comercio</c:v>
                      </c:pt>
                      <c:pt idx="7">
                        <c:v>Agricultura, Desarrollo Rural y Medio Ambiente</c:v>
                      </c:pt>
                      <c:pt idx="8">
                        <c:v>Privada</c:v>
                      </c:pt>
                      <c:pt idx="9">
                        <c:v>Educación</c:v>
                      </c:pt>
                      <c:pt idx="10">
                        <c:v>Familia</c:v>
                      </c:pt>
                      <c:pt idx="11">
                        <c:v>Salud</c:v>
                      </c:pt>
                      <c:pt idx="12">
                        <c:v>Tecnología de la Información y las Comunicaciones</c:v>
                      </c:pt>
                      <c:pt idx="13">
                        <c:v>Indeportes</c:v>
                      </c:pt>
                      <c:pt idx="14">
                        <c:v>Proyecta</c:v>
                      </c:pt>
                      <c:pt idx="15">
                        <c:v>Instituto Departamental de Transito</c:v>
                      </c:pt>
                      <c:pt idx="16">
                        <c:v>TOTAL DEPARTAMENTO</c:v>
                      </c:pt>
                    </c:strCache>
                  </c:strRef>
                </c:cat>
                <c:val>
                  <c:numRef>
                    <c:extLst>
                      <c:ext uri="{02D57815-91ED-43cb-92C2-25804820EDAC}">
                        <c15:fullRef>
                          <c15:sqref>'CONSOLIDADO UNIDADES'!$E$3:$E$22</c15:sqref>
                        </c15:fullRef>
                        <c15:formulaRef>
                          <c15:sqref>('CONSOLIDADO UNIDADES'!$E$3:$E$15,'CONSOLIDADO UNIDADES'!$E$17:$E$19,'CONSOLIDADO UNIDADES'!$E$22)</c15:sqref>
                        </c15:formulaRef>
                      </c:ext>
                    </c:extLst>
                    <c:numCache>
                      <c:formatCode>0.00%</c:formatCode>
                      <c:ptCount val="17"/>
                      <c:pt idx="0">
                        <c:v>0.94651121963731299</c:v>
                      </c:pt>
                      <c:pt idx="1">
                        <c:v>0.9439844327060477</c:v>
                      </c:pt>
                      <c:pt idx="2">
                        <c:v>0.9771391222436735</c:v>
                      </c:pt>
                      <c:pt idx="3">
                        <c:v>0.85253764889530526</c:v>
                      </c:pt>
                      <c:pt idx="4">
                        <c:v>0.91482541539075457</c:v>
                      </c:pt>
                      <c:pt idx="5">
                        <c:v>0.97101602017336786</c:v>
                      </c:pt>
                      <c:pt idx="6">
                        <c:v>0.94940042964131977</c:v>
                      </c:pt>
                      <c:pt idx="7">
                        <c:v>0.70075321796432433</c:v>
                      </c:pt>
                      <c:pt idx="8">
                        <c:v>0.96967678351263487</c:v>
                      </c:pt>
                      <c:pt idx="9">
                        <c:v>0.80671407619500646</c:v>
                      </c:pt>
                      <c:pt idx="10">
                        <c:v>0.66072875446116597</c:v>
                      </c:pt>
                      <c:pt idx="11">
                        <c:v>0.87474648976054437</c:v>
                      </c:pt>
                      <c:pt idx="12">
                        <c:v>0.97810433209674719</c:v>
                      </c:pt>
                      <c:pt idx="13">
                        <c:v>0.76231979130835048</c:v>
                      </c:pt>
                      <c:pt idx="14">
                        <c:v>0.98466344294262098</c:v>
                      </c:pt>
                      <c:pt idx="15">
                        <c:v>0.69628340051493898</c:v>
                      </c:pt>
                      <c:pt idx="16">
                        <c:v>0.83527816264674837</c:v>
                      </c:pt>
                    </c:numCache>
                  </c:numRef>
                </c:val>
                <c:extLst>
                  <c:ext xmlns:c16="http://schemas.microsoft.com/office/drawing/2014/chart" uri="{C3380CC4-5D6E-409C-BE32-E72D297353CC}">
                    <c16:uniqueId val="{00000007-C3E7-4F40-9D5B-AF38B62F11A9}"/>
                  </c:ext>
                </c:extLst>
              </c15:ser>
            </c15:filteredBarSeries>
          </c:ext>
        </c:extLst>
      </c:barChart>
      <c:catAx>
        <c:axId val="384327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4327680"/>
        <c:crosses val="autoZero"/>
        <c:auto val="1"/>
        <c:lblAlgn val="ctr"/>
        <c:lblOffset val="100"/>
        <c:noMultiLvlLbl val="0"/>
      </c:catAx>
      <c:valAx>
        <c:axId val="38432768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43271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0</xdr:col>
      <xdr:colOff>358775</xdr:colOff>
      <xdr:row>0</xdr:row>
      <xdr:rowOff>419100</xdr:rowOff>
    </xdr:from>
    <xdr:ext cx="1101725" cy="1152525"/>
    <xdr:pic>
      <xdr:nvPicPr>
        <xdr:cNvPr id="4" name="Imagen 1" descr="C:\Users\AUXPLANEACION03\Desktop\Gobernacion_del_quindio.jpg">
          <a:extLst>
            <a:ext uri="{FF2B5EF4-FFF2-40B4-BE49-F238E27FC236}">
              <a16:creationId xmlns:a16="http://schemas.microsoft.com/office/drawing/2014/main" id="{1C78F047-D265-48F9-B901-474642B5EE2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8775" y="419100"/>
          <a:ext cx="1101725" cy="1152525"/>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6</xdr:col>
      <xdr:colOff>276225</xdr:colOff>
      <xdr:row>25</xdr:row>
      <xdr:rowOff>80358</xdr:rowOff>
    </xdr:from>
    <xdr:to>
      <xdr:col>12</xdr:col>
      <xdr:colOff>900792</xdr:colOff>
      <xdr:row>42</xdr:row>
      <xdr:rowOff>57152</xdr:rowOff>
    </xdr:to>
    <xdr:graphicFrame macro="">
      <xdr:nvGraphicFramePr>
        <xdr:cNvPr id="2" name="Gráfico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221796</xdr:colOff>
      <xdr:row>43</xdr:row>
      <xdr:rowOff>502102</xdr:rowOff>
    </xdr:from>
    <xdr:to>
      <xdr:col>12</xdr:col>
      <xdr:colOff>798739</xdr:colOff>
      <xdr:row>59</xdr:row>
      <xdr:rowOff>17689</xdr:rowOff>
    </xdr:to>
    <xdr:graphicFrame macro="">
      <xdr:nvGraphicFramePr>
        <xdr:cNvPr id="3" name="Gráfico 2">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302079</xdr:colOff>
      <xdr:row>65</xdr:row>
      <xdr:rowOff>12246</xdr:rowOff>
    </xdr:from>
    <xdr:to>
      <xdr:col>13</xdr:col>
      <xdr:colOff>2721</xdr:colOff>
      <xdr:row>84</xdr:row>
      <xdr:rowOff>69397</xdr:rowOff>
    </xdr:to>
    <xdr:graphicFrame macro="">
      <xdr:nvGraphicFramePr>
        <xdr:cNvPr id="4" name="Gráfico 3">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54429</xdr:colOff>
      <xdr:row>0</xdr:row>
      <xdr:rowOff>853166</xdr:rowOff>
    </xdr:from>
    <xdr:to>
      <xdr:col>31</xdr:col>
      <xdr:colOff>353785</xdr:colOff>
      <xdr:row>30</xdr:row>
      <xdr:rowOff>81643</xdr:rowOff>
    </xdr:to>
    <xdr:graphicFrame macro="">
      <xdr:nvGraphicFramePr>
        <xdr:cNvPr id="5" name="Gráfico 4">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obernacion%202023/Sgto%20PDD%202023/Sgto%20noviembre%202023/Unidades/Planeacion/F-PLA-47%20metas%20y%20proyectos%20dic%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PLA-47 PLANEACION"/>
    </sheetNames>
    <sheetDataSet>
      <sheetData sheetId="0">
        <row r="26">
          <cell r="W26">
            <v>39067000</v>
          </cell>
        </row>
        <row r="27">
          <cell r="W27">
            <v>5399667</v>
          </cell>
        </row>
        <row r="28">
          <cell r="W28">
            <v>30386678</v>
          </cell>
        </row>
        <row r="29">
          <cell r="W29">
            <v>3000000</v>
          </cell>
        </row>
        <row r="30">
          <cell r="W30">
            <v>28586667</v>
          </cell>
        </row>
        <row r="31">
          <cell r="W31">
            <v>4800000</v>
          </cell>
        </row>
        <row r="32">
          <cell r="W32">
            <v>30386678</v>
          </cell>
        </row>
        <row r="33">
          <cell r="W33">
            <v>3000000</v>
          </cell>
        </row>
        <row r="34">
          <cell r="W34">
            <v>17400000</v>
          </cell>
        </row>
        <row r="35">
          <cell r="W35">
            <v>27200000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rgb="FF002060"/>
    <pageSetUpPr fitToPage="1"/>
  </sheetPr>
  <dimension ref="A1:BQ316"/>
  <sheetViews>
    <sheetView showGridLines="0" tabSelected="1" zoomScale="80" zoomScaleNormal="80" workbookViewId="0">
      <selection activeCell="B6" sqref="B6:B7"/>
    </sheetView>
  </sheetViews>
  <sheetFormatPr baseColWidth="10" defaultColWidth="11.42578125" defaultRowHeight="15"/>
  <cols>
    <col min="1" max="1" width="9.85546875" style="315" customWidth="1"/>
    <col min="2" max="2" width="23.85546875" style="8" customWidth="1"/>
    <col min="3" max="3" width="10.85546875" style="316" customWidth="1"/>
    <col min="4" max="4" width="25.28515625" style="181" customWidth="1"/>
    <col min="5" max="5" width="12.5703125" style="7" customWidth="1"/>
    <col min="6" max="6" width="22.28515625" style="181" customWidth="1"/>
    <col min="7" max="7" width="14.5703125" style="7" customWidth="1"/>
    <col min="8" max="8" width="43" style="8" customWidth="1"/>
    <col min="9" max="9" width="10.28515625" style="8" customWidth="1"/>
    <col min="10" max="10" width="36.42578125" style="8" customWidth="1"/>
    <col min="11" max="11" width="75.7109375" style="181" customWidth="1"/>
    <col min="12" max="12" width="9.42578125" style="7" customWidth="1"/>
    <col min="13" max="13" width="42.140625" style="181" customWidth="1"/>
    <col min="14" max="14" width="15.140625" style="5" customWidth="1"/>
    <col min="15" max="15" width="28.28515625" style="181" customWidth="1"/>
    <col min="16" max="16" width="13.5703125" style="181" customWidth="1"/>
    <col min="17" max="17" width="30.85546875" style="8" customWidth="1"/>
    <col min="18" max="18" width="10.7109375" style="7" customWidth="1"/>
    <col min="19" max="19" width="33.140625" style="8" customWidth="1"/>
    <col min="20" max="20" width="8" style="317" customWidth="1"/>
    <col min="21" max="21" width="8" style="7" customWidth="1"/>
    <col min="22" max="22" width="7.140625" style="7" customWidth="1"/>
    <col min="23" max="23" width="9" style="7" customWidth="1"/>
    <col min="24" max="24" width="9.5703125" style="7" customWidth="1"/>
    <col min="25" max="25" width="17" style="318" customWidth="1"/>
    <col min="26" max="26" width="85.140625" style="8" customWidth="1"/>
    <col min="27" max="27" width="89.28515625" style="8" customWidth="1"/>
    <col min="28" max="39" width="23.42578125" style="1" customWidth="1"/>
    <col min="40" max="40" width="26" style="2" customWidth="1"/>
    <col min="41" max="41" width="25.5703125" style="2" customWidth="1"/>
    <col min="42" max="42" width="24.7109375" style="2" customWidth="1"/>
    <col min="43" max="45" width="23.42578125" style="1" customWidth="1"/>
    <col min="46" max="48" width="23.42578125" style="320" customWidth="1"/>
    <col min="49" max="54" width="23.42578125" style="1" customWidth="1"/>
    <col min="55" max="55" width="26.28515625" style="1" customWidth="1"/>
    <col min="56" max="57" width="23.42578125" style="1" customWidth="1"/>
    <col min="58" max="59" width="25.85546875" style="2" customWidth="1"/>
    <col min="60" max="60" width="26.42578125" style="2" customWidth="1"/>
    <col min="61" max="61" width="29.85546875" style="319" customWidth="1"/>
    <col min="62" max="16384" width="11.42578125" style="1"/>
  </cols>
  <sheetData>
    <row r="1" spans="1:61" ht="38.25" customHeight="1">
      <c r="A1" s="8"/>
      <c r="C1" s="473" t="s">
        <v>16</v>
      </c>
      <c r="D1" s="474"/>
      <c r="E1" s="474"/>
      <c r="F1" s="474"/>
      <c r="G1" s="474"/>
      <c r="H1" s="474"/>
      <c r="I1" s="474"/>
      <c r="J1" s="474"/>
      <c r="K1" s="474"/>
      <c r="L1" s="474"/>
      <c r="M1" s="474"/>
      <c r="N1" s="474"/>
      <c r="O1" s="474"/>
      <c r="P1" s="474"/>
      <c r="Q1" s="474"/>
      <c r="R1" s="474"/>
      <c r="S1" s="474"/>
      <c r="T1" s="474"/>
      <c r="U1" s="474"/>
      <c r="V1" s="474"/>
      <c r="W1" s="474"/>
      <c r="X1" s="474"/>
      <c r="Y1" s="474"/>
      <c r="Z1" s="474"/>
      <c r="AA1" s="474"/>
      <c r="AB1" s="474"/>
      <c r="AC1" s="474"/>
      <c r="AD1" s="474"/>
      <c r="AE1" s="474"/>
      <c r="AF1" s="474"/>
      <c r="AG1" s="474"/>
      <c r="AH1" s="474"/>
      <c r="AI1" s="474"/>
      <c r="AJ1" s="474"/>
      <c r="AK1" s="474"/>
      <c r="AL1" s="474"/>
      <c r="AM1" s="474"/>
      <c r="AN1" s="474"/>
      <c r="AO1" s="474"/>
      <c r="AP1" s="474"/>
      <c r="AQ1" s="474"/>
      <c r="AR1" s="474"/>
      <c r="AS1" s="474"/>
      <c r="AT1" s="474"/>
      <c r="AU1" s="474"/>
      <c r="AV1" s="474"/>
      <c r="AW1" s="474"/>
      <c r="AX1" s="474"/>
      <c r="AY1" s="474"/>
      <c r="AZ1" s="474"/>
      <c r="BA1" s="474"/>
      <c r="BB1" s="474"/>
      <c r="BC1" s="474"/>
      <c r="BD1" s="474"/>
      <c r="BE1" s="474"/>
      <c r="BF1" s="454"/>
      <c r="BG1" s="450"/>
      <c r="BH1" s="119" t="s">
        <v>17</v>
      </c>
      <c r="BI1" s="280" t="s">
        <v>1467</v>
      </c>
    </row>
    <row r="2" spans="1:61" ht="38.25" customHeight="1">
      <c r="A2" s="8"/>
      <c r="C2" s="483" t="s">
        <v>1464</v>
      </c>
      <c r="D2" s="484"/>
      <c r="E2" s="484"/>
      <c r="F2" s="484"/>
      <c r="G2" s="484"/>
      <c r="H2" s="484"/>
      <c r="I2" s="484"/>
      <c r="J2" s="484"/>
      <c r="K2" s="484"/>
      <c r="L2" s="484"/>
      <c r="M2" s="484"/>
      <c r="N2" s="484"/>
      <c r="O2" s="484"/>
      <c r="P2" s="484"/>
      <c r="Q2" s="484"/>
      <c r="R2" s="484"/>
      <c r="S2" s="484"/>
      <c r="T2" s="484"/>
      <c r="U2" s="484"/>
      <c r="V2" s="484"/>
      <c r="W2" s="484"/>
      <c r="X2" s="484"/>
      <c r="Y2" s="484"/>
      <c r="Z2" s="484"/>
      <c r="AA2" s="484"/>
      <c r="AB2" s="484"/>
      <c r="AC2" s="484"/>
      <c r="AD2" s="484"/>
      <c r="AE2" s="484"/>
      <c r="AF2" s="484"/>
      <c r="AG2" s="484"/>
      <c r="AH2" s="484"/>
      <c r="AI2" s="484"/>
      <c r="AJ2" s="484"/>
      <c r="AK2" s="484"/>
      <c r="AL2" s="484"/>
      <c r="AM2" s="484"/>
      <c r="AN2" s="484"/>
      <c r="AO2" s="484"/>
      <c r="AP2" s="484"/>
      <c r="AQ2" s="484"/>
      <c r="AR2" s="484"/>
      <c r="AS2" s="484"/>
      <c r="AT2" s="484"/>
      <c r="AU2" s="484"/>
      <c r="AV2" s="484"/>
      <c r="AW2" s="484"/>
      <c r="AX2" s="484"/>
      <c r="AY2" s="484"/>
      <c r="AZ2" s="484"/>
      <c r="BA2" s="484"/>
      <c r="BB2" s="484"/>
      <c r="BC2" s="484"/>
      <c r="BD2" s="484"/>
      <c r="BE2" s="484"/>
      <c r="BF2" s="452"/>
      <c r="BG2" s="452"/>
      <c r="BH2" s="120" t="s">
        <v>18</v>
      </c>
      <c r="BI2" s="281">
        <v>4</v>
      </c>
    </row>
    <row r="3" spans="1:61" ht="38.25" customHeight="1">
      <c r="A3" s="8"/>
      <c r="C3" s="483" t="s">
        <v>1465</v>
      </c>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c r="AV3" s="485"/>
      <c r="AW3" s="485"/>
      <c r="AX3" s="485"/>
      <c r="AY3" s="485"/>
      <c r="AZ3" s="485"/>
      <c r="BA3" s="485"/>
      <c r="BB3" s="485"/>
      <c r="BC3" s="485"/>
      <c r="BD3" s="485"/>
      <c r="BE3" s="484"/>
      <c r="BF3" s="453"/>
      <c r="BG3" s="453"/>
      <c r="BH3" s="121" t="s">
        <v>19</v>
      </c>
      <c r="BI3" s="282">
        <v>44718</v>
      </c>
    </row>
    <row r="4" spans="1:61" ht="24" customHeight="1">
      <c r="A4" s="8"/>
      <c r="C4" s="481" t="s">
        <v>1533</v>
      </c>
      <c r="D4" s="482"/>
      <c r="E4" s="482"/>
      <c r="F4" s="482"/>
      <c r="G4" s="482"/>
      <c r="H4" s="482"/>
      <c r="I4" s="482"/>
      <c r="J4" s="482"/>
      <c r="K4" s="482"/>
      <c r="L4" s="482"/>
      <c r="M4" s="482"/>
      <c r="N4" s="482"/>
      <c r="O4" s="482"/>
      <c r="P4" s="482"/>
      <c r="Q4" s="482"/>
      <c r="R4" s="482"/>
      <c r="S4" s="482"/>
      <c r="T4" s="482"/>
      <c r="U4" s="482"/>
      <c r="V4" s="482"/>
      <c r="W4" s="482"/>
      <c r="X4" s="482"/>
      <c r="Y4" s="482"/>
      <c r="Z4" s="482"/>
      <c r="AA4" s="482"/>
      <c r="AB4" s="541"/>
      <c r="AC4" s="541"/>
      <c r="AD4" s="541"/>
      <c r="AE4" s="541"/>
      <c r="AF4" s="541"/>
      <c r="AG4" s="541"/>
      <c r="AH4" s="541"/>
      <c r="AI4" s="541"/>
      <c r="AJ4" s="541"/>
      <c r="AK4" s="541"/>
      <c r="AL4" s="541"/>
      <c r="AM4" s="541"/>
      <c r="AN4" s="541"/>
      <c r="AO4" s="541"/>
      <c r="AP4" s="541"/>
      <c r="AQ4" s="541"/>
      <c r="AR4" s="541"/>
      <c r="AS4" s="541"/>
      <c r="AT4" s="541"/>
      <c r="AU4" s="541"/>
      <c r="AV4" s="541"/>
      <c r="AW4" s="541"/>
      <c r="AX4" s="541"/>
      <c r="AY4" s="541"/>
      <c r="AZ4" s="541"/>
      <c r="BA4" s="541"/>
      <c r="BB4" s="541"/>
      <c r="BC4" s="541"/>
      <c r="BD4" s="541"/>
      <c r="BE4" s="541"/>
      <c r="BF4" s="451"/>
      <c r="BG4" s="451"/>
      <c r="BH4" s="542" t="s">
        <v>20</v>
      </c>
      <c r="BI4" s="283" t="s">
        <v>21</v>
      </c>
    </row>
    <row r="5" spans="1:61" s="183" customFormat="1" ht="22.5" customHeight="1">
      <c r="A5" s="475" t="s">
        <v>22</v>
      </c>
      <c r="B5" s="476"/>
      <c r="C5" s="477" t="s">
        <v>23</v>
      </c>
      <c r="D5" s="477"/>
      <c r="E5" s="477" t="s">
        <v>24</v>
      </c>
      <c r="F5" s="477"/>
      <c r="G5" s="478" t="s">
        <v>25</v>
      </c>
      <c r="H5" s="479"/>
      <c r="I5" s="479"/>
      <c r="J5" s="479"/>
      <c r="K5" s="480"/>
      <c r="L5" s="478" t="s">
        <v>26</v>
      </c>
      <c r="M5" s="479"/>
      <c r="N5" s="479"/>
      <c r="O5" s="480"/>
      <c r="P5" s="478" t="s">
        <v>27</v>
      </c>
      <c r="Q5" s="479"/>
      <c r="R5" s="479"/>
      <c r="S5" s="480"/>
      <c r="T5" s="478" t="s">
        <v>28</v>
      </c>
      <c r="U5" s="479"/>
      <c r="V5" s="479"/>
      <c r="W5" s="480"/>
      <c r="X5" s="424"/>
      <c r="Y5" s="477" t="s">
        <v>29</v>
      </c>
      <c r="Z5" s="477"/>
      <c r="AA5" s="477"/>
      <c r="AB5" s="543" t="s">
        <v>1535</v>
      </c>
      <c r="AC5" s="544"/>
      <c r="AD5" s="544"/>
      <c r="AE5" s="544"/>
      <c r="AF5" s="544"/>
      <c r="AG5" s="544"/>
      <c r="AH5" s="544"/>
      <c r="AI5" s="544"/>
      <c r="AJ5" s="544"/>
      <c r="AK5" s="544"/>
      <c r="AL5" s="544"/>
      <c r="AM5" s="544"/>
      <c r="AN5" s="544"/>
      <c r="AO5" s="544"/>
      <c r="AP5" s="544"/>
      <c r="AQ5" s="544"/>
      <c r="AR5" s="544"/>
      <c r="AS5" s="544"/>
      <c r="AT5" s="544"/>
      <c r="AU5" s="544"/>
      <c r="AV5" s="544"/>
      <c r="AW5" s="544"/>
      <c r="AX5" s="544"/>
      <c r="AY5" s="544"/>
      <c r="AZ5" s="544"/>
      <c r="BA5" s="544"/>
      <c r="BB5" s="544"/>
      <c r="BC5" s="544"/>
      <c r="BD5" s="544"/>
      <c r="BE5" s="544"/>
      <c r="BF5" s="544"/>
      <c r="BG5" s="544"/>
      <c r="BH5" s="545"/>
      <c r="BI5" s="279"/>
    </row>
    <row r="6" spans="1:61" s="3" customFormat="1" ht="60" customHeight="1">
      <c r="A6" s="468" t="s">
        <v>30</v>
      </c>
      <c r="B6" s="470" t="s">
        <v>31</v>
      </c>
      <c r="C6" s="464" t="s">
        <v>30</v>
      </c>
      <c r="D6" s="464" t="s">
        <v>31</v>
      </c>
      <c r="E6" s="470" t="s">
        <v>30</v>
      </c>
      <c r="F6" s="470" t="s">
        <v>31</v>
      </c>
      <c r="G6" s="464" t="s">
        <v>32</v>
      </c>
      <c r="H6" s="464" t="s">
        <v>33</v>
      </c>
      <c r="I6" s="464" t="s">
        <v>34</v>
      </c>
      <c r="J6" s="464" t="s">
        <v>35</v>
      </c>
      <c r="K6" s="466" t="s">
        <v>36</v>
      </c>
      <c r="L6" s="464" t="s">
        <v>37</v>
      </c>
      <c r="M6" s="464" t="s">
        <v>38</v>
      </c>
      <c r="N6" s="464" t="s">
        <v>39</v>
      </c>
      <c r="O6" s="464" t="s">
        <v>40</v>
      </c>
      <c r="P6" s="122" t="s">
        <v>37</v>
      </c>
      <c r="Q6" s="466" t="s">
        <v>41</v>
      </c>
      <c r="R6" s="466" t="s">
        <v>42</v>
      </c>
      <c r="S6" s="122" t="s">
        <v>43</v>
      </c>
      <c r="T6" s="123" t="s">
        <v>44</v>
      </c>
      <c r="U6" s="123" t="s">
        <v>45</v>
      </c>
      <c r="V6" s="123" t="s">
        <v>46</v>
      </c>
      <c r="W6" s="464" t="s">
        <v>47</v>
      </c>
      <c r="X6" s="464" t="s">
        <v>1507</v>
      </c>
      <c r="Y6" s="486" t="s">
        <v>48</v>
      </c>
      <c r="Z6" s="466" t="s">
        <v>49</v>
      </c>
      <c r="AA6" s="122" t="s">
        <v>50</v>
      </c>
      <c r="AB6" s="472" t="s">
        <v>1509</v>
      </c>
      <c r="AC6" s="472"/>
      <c r="AD6" s="472"/>
      <c r="AE6" s="472" t="s">
        <v>1534</v>
      </c>
      <c r="AF6" s="472"/>
      <c r="AG6" s="472"/>
      <c r="AH6" s="472" t="s">
        <v>51</v>
      </c>
      <c r="AI6" s="472"/>
      <c r="AJ6" s="472"/>
      <c r="AK6" s="472" t="s">
        <v>52</v>
      </c>
      <c r="AL6" s="472"/>
      <c r="AM6" s="472"/>
      <c r="AN6" s="472" t="s">
        <v>1463</v>
      </c>
      <c r="AO6" s="472"/>
      <c r="AP6" s="472"/>
      <c r="AQ6" s="472" t="s">
        <v>53</v>
      </c>
      <c r="AR6" s="472"/>
      <c r="AS6" s="472"/>
      <c r="AT6" s="472" t="s">
        <v>54</v>
      </c>
      <c r="AU6" s="472"/>
      <c r="AV6" s="472"/>
      <c r="AW6" s="472" t="s">
        <v>55</v>
      </c>
      <c r="AX6" s="472"/>
      <c r="AY6" s="472"/>
      <c r="AZ6" s="472" t="s">
        <v>1428</v>
      </c>
      <c r="BA6" s="472"/>
      <c r="BB6" s="472"/>
      <c r="BC6" s="472" t="s">
        <v>56</v>
      </c>
      <c r="BD6" s="472"/>
      <c r="BE6" s="472"/>
      <c r="BF6" s="472" t="s">
        <v>57</v>
      </c>
      <c r="BG6" s="472"/>
      <c r="BH6" s="472"/>
      <c r="BI6" s="464" t="s">
        <v>1466</v>
      </c>
    </row>
    <row r="7" spans="1:61" s="3" customFormat="1" ht="33.75" customHeight="1">
      <c r="A7" s="469"/>
      <c r="B7" s="471"/>
      <c r="C7" s="465"/>
      <c r="D7" s="465"/>
      <c r="E7" s="471"/>
      <c r="F7" s="471"/>
      <c r="G7" s="465"/>
      <c r="H7" s="465"/>
      <c r="I7" s="465"/>
      <c r="J7" s="465"/>
      <c r="K7" s="467"/>
      <c r="L7" s="465"/>
      <c r="M7" s="465"/>
      <c r="N7" s="465"/>
      <c r="O7" s="465"/>
      <c r="P7" s="122"/>
      <c r="Q7" s="467"/>
      <c r="R7" s="467"/>
      <c r="S7" s="122"/>
      <c r="T7" s="123"/>
      <c r="U7" s="123"/>
      <c r="V7" s="123"/>
      <c r="W7" s="465"/>
      <c r="X7" s="465"/>
      <c r="Y7" s="487"/>
      <c r="Z7" s="467"/>
      <c r="AA7" s="122"/>
      <c r="AB7" s="182" t="s">
        <v>1314</v>
      </c>
      <c r="AC7" s="182" t="s">
        <v>1461</v>
      </c>
      <c r="AD7" s="182" t="s">
        <v>1462</v>
      </c>
      <c r="AE7" s="182" t="s">
        <v>1314</v>
      </c>
      <c r="AF7" s="182" t="s">
        <v>1461</v>
      </c>
      <c r="AG7" s="182" t="s">
        <v>1462</v>
      </c>
      <c r="AH7" s="182" t="s">
        <v>1314</v>
      </c>
      <c r="AI7" s="182" t="s">
        <v>1461</v>
      </c>
      <c r="AJ7" s="182" t="s">
        <v>1462</v>
      </c>
      <c r="AK7" s="182" t="s">
        <v>1314</v>
      </c>
      <c r="AL7" s="182" t="s">
        <v>1461</v>
      </c>
      <c r="AM7" s="182" t="s">
        <v>1462</v>
      </c>
      <c r="AN7" s="182" t="s">
        <v>1314</v>
      </c>
      <c r="AO7" s="182" t="s">
        <v>1461</v>
      </c>
      <c r="AP7" s="182" t="s">
        <v>1462</v>
      </c>
      <c r="AQ7" s="182" t="s">
        <v>1314</v>
      </c>
      <c r="AR7" s="182" t="s">
        <v>1461</v>
      </c>
      <c r="AS7" s="182" t="s">
        <v>1462</v>
      </c>
      <c r="AT7" s="182" t="s">
        <v>1314</v>
      </c>
      <c r="AU7" s="182" t="s">
        <v>1461</v>
      </c>
      <c r="AV7" s="182" t="s">
        <v>1462</v>
      </c>
      <c r="AW7" s="182" t="s">
        <v>1314</v>
      </c>
      <c r="AX7" s="182" t="s">
        <v>1461</v>
      </c>
      <c r="AY7" s="182" t="s">
        <v>1462</v>
      </c>
      <c r="AZ7" s="182" t="s">
        <v>1314</v>
      </c>
      <c r="BA7" s="182" t="s">
        <v>1461</v>
      </c>
      <c r="BB7" s="182" t="s">
        <v>1462</v>
      </c>
      <c r="BC7" s="182" t="s">
        <v>1314</v>
      </c>
      <c r="BD7" s="182" t="s">
        <v>1461</v>
      </c>
      <c r="BE7" s="182" t="s">
        <v>1462</v>
      </c>
      <c r="BF7" s="182" t="s">
        <v>1314</v>
      </c>
      <c r="BG7" s="182" t="s">
        <v>1461</v>
      </c>
      <c r="BH7" s="182" t="s">
        <v>1462</v>
      </c>
      <c r="BI7" s="465"/>
    </row>
    <row r="8" spans="1:61" s="394" customFormat="1" ht="66.75" customHeight="1">
      <c r="A8" s="423">
        <v>304</v>
      </c>
      <c r="B8" s="392" t="s">
        <v>58</v>
      </c>
      <c r="C8" s="423">
        <v>4</v>
      </c>
      <c r="D8" s="392" t="s">
        <v>59</v>
      </c>
      <c r="E8" s="423">
        <v>45</v>
      </c>
      <c r="F8" s="392" t="s">
        <v>60</v>
      </c>
      <c r="G8" s="423" t="s">
        <v>61</v>
      </c>
      <c r="H8" s="392" t="s">
        <v>62</v>
      </c>
      <c r="I8" s="423">
        <v>4599</v>
      </c>
      <c r="J8" s="392" t="s">
        <v>63</v>
      </c>
      <c r="K8" s="392" t="s">
        <v>64</v>
      </c>
      <c r="L8" s="423" t="s">
        <v>61</v>
      </c>
      <c r="M8" s="397" t="s">
        <v>65</v>
      </c>
      <c r="N8" s="423">
        <v>4599023</v>
      </c>
      <c r="O8" s="392" t="s">
        <v>66</v>
      </c>
      <c r="P8" s="423" t="s">
        <v>61</v>
      </c>
      <c r="Q8" s="397" t="s">
        <v>67</v>
      </c>
      <c r="R8" s="389">
        <v>459902300</v>
      </c>
      <c r="S8" s="397" t="s">
        <v>68</v>
      </c>
      <c r="T8" s="401" t="s">
        <v>69</v>
      </c>
      <c r="U8" s="191">
        <v>5</v>
      </c>
      <c r="V8" s="191"/>
      <c r="W8" s="191">
        <f>U8+V8</f>
        <v>5</v>
      </c>
      <c r="X8" s="191">
        <v>5</v>
      </c>
      <c r="Y8" s="389">
        <v>2020003630006</v>
      </c>
      <c r="Z8" s="392" t="s">
        <v>70</v>
      </c>
      <c r="AA8" s="546" t="s">
        <v>71</v>
      </c>
      <c r="AB8" s="185"/>
      <c r="AC8" s="185"/>
      <c r="AD8" s="185"/>
      <c r="AE8" s="185"/>
      <c r="AF8" s="185"/>
      <c r="AG8" s="185"/>
      <c r="AH8" s="185"/>
      <c r="AI8" s="185"/>
      <c r="AJ8" s="185"/>
      <c r="AK8" s="185"/>
      <c r="AL8" s="185"/>
      <c r="AM8" s="185"/>
      <c r="AN8" s="185"/>
      <c r="AO8" s="185"/>
      <c r="AP8" s="185"/>
      <c r="AQ8" s="185"/>
      <c r="AR8" s="185"/>
      <c r="AS8" s="185"/>
      <c r="AT8" s="194">
        <f>53585000+306331000+306331000+443473500</f>
        <v>1109720500</v>
      </c>
      <c r="AU8" s="194">
        <v>1106985798</v>
      </c>
      <c r="AV8" s="194">
        <v>1106985798</v>
      </c>
      <c r="AW8" s="185"/>
      <c r="AX8" s="185"/>
      <c r="AY8" s="185"/>
      <c r="AZ8" s="185"/>
      <c r="BA8" s="185"/>
      <c r="BB8" s="185"/>
      <c r="BC8" s="185"/>
      <c r="BD8" s="185"/>
      <c r="BE8" s="185"/>
      <c r="BF8" s="192">
        <f t="shared" ref="BF8:BF30" si="0">AB8+AE8+AH8+AK8+AN8+AQ8+AT8+AW8+BC8+AZ8</f>
        <v>1109720500</v>
      </c>
      <c r="BG8" s="192">
        <f t="shared" ref="BG8:BG30" si="1">AC8+AF8+AI8+AL8+AO8+AR8+AU8+AX8+BD8+BA8</f>
        <v>1106985798</v>
      </c>
      <c r="BH8" s="192">
        <f t="shared" ref="BH8:BH30" si="2">AD8+AG8+AJ8+AM8+AP8+AS8+AV8+AY8+BE8+BB8</f>
        <v>1106985798</v>
      </c>
      <c r="BI8" s="399" t="s">
        <v>0</v>
      </c>
    </row>
    <row r="9" spans="1:61" s="394" customFormat="1" ht="66.75" customHeight="1">
      <c r="A9" s="423">
        <v>304</v>
      </c>
      <c r="B9" s="392" t="s">
        <v>58</v>
      </c>
      <c r="C9" s="423">
        <v>4</v>
      </c>
      <c r="D9" s="392" t="s">
        <v>59</v>
      </c>
      <c r="E9" s="423">
        <v>45</v>
      </c>
      <c r="F9" s="392" t="s">
        <v>60</v>
      </c>
      <c r="G9" s="423" t="s">
        <v>61</v>
      </c>
      <c r="H9" s="392" t="s">
        <v>62</v>
      </c>
      <c r="I9" s="423">
        <v>4599</v>
      </c>
      <c r="J9" s="392" t="s">
        <v>63</v>
      </c>
      <c r="K9" s="392" t="s">
        <v>64</v>
      </c>
      <c r="L9" s="423" t="s">
        <v>61</v>
      </c>
      <c r="M9" s="392" t="s">
        <v>72</v>
      </c>
      <c r="N9" s="423">
        <v>4599002</v>
      </c>
      <c r="O9" s="392" t="s">
        <v>73</v>
      </c>
      <c r="P9" s="423" t="s">
        <v>61</v>
      </c>
      <c r="Q9" s="397" t="s">
        <v>74</v>
      </c>
      <c r="R9" s="389">
        <v>459900200</v>
      </c>
      <c r="S9" s="397" t="s">
        <v>75</v>
      </c>
      <c r="T9" s="401" t="s">
        <v>69</v>
      </c>
      <c r="U9" s="191">
        <v>4</v>
      </c>
      <c r="V9" s="191"/>
      <c r="W9" s="191">
        <f t="shared" ref="W9:W25" si="3">U9+V9</f>
        <v>4</v>
      </c>
      <c r="X9" s="191">
        <v>4</v>
      </c>
      <c r="Y9" s="389">
        <v>2020003630007</v>
      </c>
      <c r="Z9" s="392" t="s">
        <v>76</v>
      </c>
      <c r="AA9" s="546" t="s">
        <v>77</v>
      </c>
      <c r="AB9" s="185"/>
      <c r="AC9" s="185"/>
      <c r="AD9" s="185"/>
      <c r="AE9" s="185"/>
      <c r="AF9" s="185"/>
      <c r="AG9" s="185"/>
      <c r="AH9" s="185"/>
      <c r="AI9" s="185"/>
      <c r="AJ9" s="185"/>
      <c r="AK9" s="185"/>
      <c r="AL9" s="185"/>
      <c r="AM9" s="185"/>
      <c r="AN9" s="185"/>
      <c r="AO9" s="185"/>
      <c r="AP9" s="185"/>
      <c r="AQ9" s="185"/>
      <c r="AR9" s="185"/>
      <c r="AS9" s="185"/>
      <c r="AT9" s="192">
        <f>52629202+178132000+169053000+264064500</f>
        <v>663878702</v>
      </c>
      <c r="AU9" s="192">
        <v>663369300</v>
      </c>
      <c r="AV9" s="194">
        <v>663369300</v>
      </c>
      <c r="AW9" s="185"/>
      <c r="AX9" s="185"/>
      <c r="AY9" s="185"/>
      <c r="AZ9" s="185"/>
      <c r="BA9" s="185"/>
      <c r="BB9" s="185"/>
      <c r="BC9" s="185"/>
      <c r="BD9" s="185"/>
      <c r="BE9" s="185"/>
      <c r="BF9" s="192">
        <f t="shared" si="0"/>
        <v>663878702</v>
      </c>
      <c r="BG9" s="192">
        <f t="shared" si="1"/>
        <v>663369300</v>
      </c>
      <c r="BH9" s="192">
        <f t="shared" si="2"/>
        <v>663369300</v>
      </c>
      <c r="BI9" s="399" t="s">
        <v>0</v>
      </c>
    </row>
    <row r="10" spans="1:61" s="394" customFormat="1" ht="66.75" customHeight="1">
      <c r="A10" s="423">
        <v>304</v>
      </c>
      <c r="B10" s="392" t="s">
        <v>58</v>
      </c>
      <c r="C10" s="423">
        <v>4</v>
      </c>
      <c r="D10" s="392" t="s">
        <v>59</v>
      </c>
      <c r="E10" s="423">
        <v>45</v>
      </c>
      <c r="F10" s="392" t="s">
        <v>60</v>
      </c>
      <c r="G10" s="423">
        <v>4502</v>
      </c>
      <c r="H10" s="392" t="s">
        <v>78</v>
      </c>
      <c r="I10" s="423">
        <v>4502</v>
      </c>
      <c r="J10" s="392" t="s">
        <v>79</v>
      </c>
      <c r="K10" s="392" t="s">
        <v>80</v>
      </c>
      <c r="L10" s="423" t="s">
        <v>61</v>
      </c>
      <c r="M10" s="392" t="s">
        <v>81</v>
      </c>
      <c r="N10" s="423">
        <v>4502033</v>
      </c>
      <c r="O10" s="392" t="s">
        <v>82</v>
      </c>
      <c r="P10" s="423" t="s">
        <v>61</v>
      </c>
      <c r="Q10" s="397" t="s">
        <v>83</v>
      </c>
      <c r="R10" s="455">
        <v>450203300</v>
      </c>
      <c r="S10" s="397" t="s">
        <v>84</v>
      </c>
      <c r="T10" s="401" t="s">
        <v>69</v>
      </c>
      <c r="U10" s="191">
        <v>1</v>
      </c>
      <c r="V10" s="191"/>
      <c r="W10" s="191">
        <f t="shared" si="3"/>
        <v>1</v>
      </c>
      <c r="X10" s="191">
        <v>1</v>
      </c>
      <c r="Y10" s="389">
        <v>2020003630005</v>
      </c>
      <c r="Z10" s="392" t="s">
        <v>85</v>
      </c>
      <c r="AA10" s="546" t="s">
        <v>86</v>
      </c>
      <c r="AB10" s="185"/>
      <c r="AC10" s="185"/>
      <c r="AD10" s="185"/>
      <c r="AE10" s="185"/>
      <c r="AF10" s="185"/>
      <c r="AG10" s="185"/>
      <c r="AH10" s="185"/>
      <c r="AI10" s="185"/>
      <c r="AJ10" s="185"/>
      <c r="AK10" s="185"/>
      <c r="AL10" s="185"/>
      <c r="AM10" s="185"/>
      <c r="AN10" s="185"/>
      <c r="AO10" s="185"/>
      <c r="AP10" s="185"/>
      <c r="AQ10" s="185"/>
      <c r="AR10" s="185"/>
      <c r="AS10" s="185"/>
      <c r="AT10" s="286">
        <f>43295000+15537000+24616000+42462000</f>
        <v>125910000</v>
      </c>
      <c r="AU10" s="286">
        <v>125824933</v>
      </c>
      <c r="AV10" s="194">
        <v>125824933</v>
      </c>
      <c r="AW10" s="185"/>
      <c r="AX10" s="185"/>
      <c r="AY10" s="185"/>
      <c r="AZ10" s="185"/>
      <c r="BA10" s="185"/>
      <c r="BB10" s="185"/>
      <c r="BC10" s="185"/>
      <c r="BD10" s="185"/>
      <c r="BE10" s="185"/>
      <c r="BF10" s="192">
        <f t="shared" si="0"/>
        <v>125910000</v>
      </c>
      <c r="BG10" s="192">
        <f t="shared" si="1"/>
        <v>125824933</v>
      </c>
      <c r="BH10" s="192">
        <f t="shared" si="2"/>
        <v>125824933</v>
      </c>
      <c r="BI10" s="399" t="s">
        <v>0</v>
      </c>
    </row>
    <row r="11" spans="1:61" s="394" customFormat="1" ht="66.75" customHeight="1">
      <c r="A11" s="389">
        <v>304</v>
      </c>
      <c r="B11" s="427" t="s">
        <v>58</v>
      </c>
      <c r="C11" s="389">
        <v>4</v>
      </c>
      <c r="D11" s="393" t="s">
        <v>59</v>
      </c>
      <c r="E11" s="389">
        <v>45</v>
      </c>
      <c r="F11" s="393" t="s">
        <v>60</v>
      </c>
      <c r="G11" s="401" t="s">
        <v>61</v>
      </c>
      <c r="H11" s="393" t="s">
        <v>62</v>
      </c>
      <c r="I11" s="389">
        <v>4599</v>
      </c>
      <c r="J11" s="393" t="s">
        <v>63</v>
      </c>
      <c r="K11" s="393" t="s">
        <v>64</v>
      </c>
      <c r="L11" s="401" t="s">
        <v>61</v>
      </c>
      <c r="M11" s="397" t="s">
        <v>65</v>
      </c>
      <c r="N11" s="389">
        <v>4599023</v>
      </c>
      <c r="O11" s="393" t="s">
        <v>66</v>
      </c>
      <c r="P11" s="401" t="s">
        <v>61</v>
      </c>
      <c r="Q11" s="397" t="s">
        <v>67</v>
      </c>
      <c r="R11" s="389">
        <v>459902300</v>
      </c>
      <c r="S11" s="397" t="s">
        <v>68</v>
      </c>
      <c r="T11" s="401" t="s">
        <v>69</v>
      </c>
      <c r="U11" s="184">
        <v>1</v>
      </c>
      <c r="V11" s="187"/>
      <c r="W11" s="184">
        <f>SUM(U11:V11)</f>
        <v>1</v>
      </c>
      <c r="X11" s="184">
        <v>1</v>
      </c>
      <c r="Y11" s="389">
        <v>2022003630011</v>
      </c>
      <c r="Z11" s="393" t="s">
        <v>1429</v>
      </c>
      <c r="AA11" s="547" t="s">
        <v>1430</v>
      </c>
      <c r="AB11" s="185"/>
      <c r="AC11" s="185"/>
      <c r="AD11" s="185"/>
      <c r="AE11" s="185"/>
      <c r="AF11" s="185"/>
      <c r="AG11" s="185"/>
      <c r="AH11" s="185"/>
      <c r="AI11" s="185"/>
      <c r="AJ11" s="185"/>
      <c r="AK11" s="185"/>
      <c r="AL11" s="185"/>
      <c r="AM11" s="185"/>
      <c r="AN11" s="185"/>
      <c r="AO11" s="185"/>
      <c r="AP11" s="185"/>
      <c r="AQ11" s="185"/>
      <c r="AR11" s="185"/>
      <c r="AS11" s="185"/>
      <c r="AT11" s="189">
        <v>3000000000</v>
      </c>
      <c r="AU11" s="286">
        <v>2033652000</v>
      </c>
      <c r="AV11" s="194">
        <v>2033652000</v>
      </c>
      <c r="AW11" s="185"/>
      <c r="AX11" s="185"/>
      <c r="AY11" s="185"/>
      <c r="AZ11" s="185">
        <v>9400000000</v>
      </c>
      <c r="BA11" s="185">
        <v>5860185932</v>
      </c>
      <c r="BB11" s="185">
        <v>5860185932</v>
      </c>
      <c r="BC11" s="400"/>
      <c r="BD11" s="400"/>
      <c r="BE11" s="400"/>
      <c r="BF11" s="192">
        <f t="shared" si="0"/>
        <v>12400000000</v>
      </c>
      <c r="BG11" s="192">
        <f t="shared" si="1"/>
        <v>7893837932</v>
      </c>
      <c r="BH11" s="192">
        <f t="shared" si="2"/>
        <v>7893837932</v>
      </c>
      <c r="BI11" s="399" t="s">
        <v>0</v>
      </c>
    </row>
    <row r="12" spans="1:61" s="394" customFormat="1" ht="66.75" customHeight="1">
      <c r="A12" s="389">
        <v>305</v>
      </c>
      <c r="B12" s="390" t="s">
        <v>87</v>
      </c>
      <c r="C12" s="389">
        <v>4</v>
      </c>
      <c r="D12" s="390" t="s">
        <v>59</v>
      </c>
      <c r="E12" s="389">
        <v>45</v>
      </c>
      <c r="F12" s="390" t="s">
        <v>60</v>
      </c>
      <c r="G12" s="389">
        <v>4502</v>
      </c>
      <c r="H12" s="456" t="s">
        <v>78</v>
      </c>
      <c r="I12" s="389">
        <v>4502</v>
      </c>
      <c r="J12" s="456" t="s">
        <v>79</v>
      </c>
      <c r="K12" s="456" t="s">
        <v>88</v>
      </c>
      <c r="L12" s="389" t="s">
        <v>61</v>
      </c>
      <c r="M12" s="397" t="s">
        <v>89</v>
      </c>
      <c r="N12" s="389">
        <v>4502001</v>
      </c>
      <c r="O12" s="390" t="s">
        <v>90</v>
      </c>
      <c r="P12" s="389" t="s">
        <v>61</v>
      </c>
      <c r="Q12" s="457" t="s">
        <v>91</v>
      </c>
      <c r="R12" s="436" t="s">
        <v>1424</v>
      </c>
      <c r="S12" s="390" t="s">
        <v>92</v>
      </c>
      <c r="T12" s="389" t="s">
        <v>69</v>
      </c>
      <c r="U12" s="389">
        <v>1</v>
      </c>
      <c r="V12" s="458"/>
      <c r="W12" s="191">
        <f t="shared" si="3"/>
        <v>1</v>
      </c>
      <c r="X12" s="191">
        <v>1</v>
      </c>
      <c r="Y12" s="389">
        <v>2020003630042</v>
      </c>
      <c r="Z12" s="390" t="s">
        <v>93</v>
      </c>
      <c r="AA12" s="548" t="s">
        <v>94</v>
      </c>
      <c r="AB12" s="284"/>
      <c r="AC12" s="284"/>
      <c r="AD12" s="284"/>
      <c r="AE12" s="284"/>
      <c r="AF12" s="284"/>
      <c r="AG12" s="284"/>
      <c r="AH12" s="284"/>
      <c r="AI12" s="284"/>
      <c r="AJ12" s="284"/>
      <c r="AK12" s="284"/>
      <c r="AL12" s="284"/>
      <c r="AM12" s="284"/>
      <c r="AN12" s="284"/>
      <c r="AO12" s="284"/>
      <c r="AP12" s="284"/>
      <c r="AQ12" s="284"/>
      <c r="AR12" s="284"/>
      <c r="AS12" s="284"/>
      <c r="AT12" s="190">
        <v>140000000</v>
      </c>
      <c r="AU12" s="190">
        <v>120491024</v>
      </c>
      <c r="AV12" s="190">
        <v>120491024</v>
      </c>
      <c r="AW12" s="284"/>
      <c r="AX12" s="284"/>
      <c r="AY12" s="284"/>
      <c r="AZ12" s="284"/>
      <c r="BA12" s="284"/>
      <c r="BB12" s="284"/>
      <c r="BC12" s="284"/>
      <c r="BD12" s="284"/>
      <c r="BE12" s="284"/>
      <c r="BF12" s="192">
        <f t="shared" si="0"/>
        <v>140000000</v>
      </c>
      <c r="BG12" s="192">
        <f t="shared" si="1"/>
        <v>120491024</v>
      </c>
      <c r="BH12" s="192">
        <f t="shared" si="2"/>
        <v>120491024</v>
      </c>
      <c r="BI12" s="390" t="s">
        <v>15</v>
      </c>
    </row>
    <row r="13" spans="1:61" s="394" customFormat="1" ht="66.75" customHeight="1">
      <c r="A13" s="389">
        <v>305</v>
      </c>
      <c r="B13" s="390" t="s">
        <v>87</v>
      </c>
      <c r="C13" s="389">
        <v>4</v>
      </c>
      <c r="D13" s="390" t="s">
        <v>59</v>
      </c>
      <c r="E13" s="389">
        <v>45</v>
      </c>
      <c r="F13" s="390" t="s">
        <v>60</v>
      </c>
      <c r="G13" s="389">
        <v>4502</v>
      </c>
      <c r="H13" s="456" t="s">
        <v>78</v>
      </c>
      <c r="I13" s="389">
        <v>4502</v>
      </c>
      <c r="J13" s="456" t="s">
        <v>79</v>
      </c>
      <c r="K13" s="456" t="s">
        <v>80</v>
      </c>
      <c r="L13" s="389" t="s">
        <v>61</v>
      </c>
      <c r="M13" s="397" t="s">
        <v>95</v>
      </c>
      <c r="N13" s="389">
        <v>4502001</v>
      </c>
      <c r="O13" s="390" t="s">
        <v>90</v>
      </c>
      <c r="P13" s="389" t="s">
        <v>61</v>
      </c>
      <c r="Q13" s="457" t="s">
        <v>96</v>
      </c>
      <c r="R13" s="436" t="s">
        <v>1425</v>
      </c>
      <c r="S13" s="390" t="s">
        <v>97</v>
      </c>
      <c r="T13" s="389" t="s">
        <v>69</v>
      </c>
      <c r="U13" s="389">
        <v>12</v>
      </c>
      <c r="V13" s="458"/>
      <c r="W13" s="191">
        <f t="shared" si="3"/>
        <v>12</v>
      </c>
      <c r="X13" s="191">
        <v>12</v>
      </c>
      <c r="Y13" s="389">
        <v>2020003630043</v>
      </c>
      <c r="Z13" s="390" t="s">
        <v>98</v>
      </c>
      <c r="AA13" s="548" t="s">
        <v>99</v>
      </c>
      <c r="AB13" s="284"/>
      <c r="AC13" s="284"/>
      <c r="AD13" s="284"/>
      <c r="AE13" s="284"/>
      <c r="AF13" s="284"/>
      <c r="AG13" s="284"/>
      <c r="AH13" s="284"/>
      <c r="AI13" s="284"/>
      <c r="AJ13" s="284"/>
      <c r="AK13" s="284"/>
      <c r="AL13" s="284"/>
      <c r="AM13" s="284"/>
      <c r="AN13" s="284"/>
      <c r="AO13" s="284"/>
      <c r="AP13" s="284"/>
      <c r="AQ13" s="284"/>
      <c r="AR13" s="284"/>
      <c r="AS13" s="284"/>
      <c r="AT13" s="190">
        <f>35000000+20000000</f>
        <v>55000000</v>
      </c>
      <c r="AU13" s="190">
        <v>54986666</v>
      </c>
      <c r="AV13" s="190">
        <v>54986666</v>
      </c>
      <c r="AW13" s="284"/>
      <c r="AX13" s="284"/>
      <c r="AY13" s="284"/>
      <c r="AZ13" s="284"/>
      <c r="BA13" s="284"/>
      <c r="BB13" s="284"/>
      <c r="BC13" s="284"/>
      <c r="BD13" s="284"/>
      <c r="BE13" s="284"/>
      <c r="BF13" s="192">
        <f t="shared" si="0"/>
        <v>55000000</v>
      </c>
      <c r="BG13" s="192">
        <f t="shared" si="1"/>
        <v>54986666</v>
      </c>
      <c r="BH13" s="192">
        <f t="shared" si="2"/>
        <v>54986666</v>
      </c>
      <c r="BI13" s="390" t="s">
        <v>15</v>
      </c>
    </row>
    <row r="14" spans="1:61" s="394" customFormat="1" ht="66.75" customHeight="1">
      <c r="A14" s="389">
        <v>305</v>
      </c>
      <c r="B14" s="390" t="s">
        <v>87</v>
      </c>
      <c r="C14" s="389">
        <v>4</v>
      </c>
      <c r="D14" s="390" t="s">
        <v>59</v>
      </c>
      <c r="E14" s="389">
        <v>45</v>
      </c>
      <c r="F14" s="390" t="s">
        <v>60</v>
      </c>
      <c r="G14" s="389" t="s">
        <v>61</v>
      </c>
      <c r="H14" s="390" t="s">
        <v>62</v>
      </c>
      <c r="I14" s="389">
        <v>4599</v>
      </c>
      <c r="J14" s="390" t="s">
        <v>63</v>
      </c>
      <c r="K14" s="390" t="s">
        <v>64</v>
      </c>
      <c r="L14" s="389" t="s">
        <v>61</v>
      </c>
      <c r="M14" s="397" t="s">
        <v>100</v>
      </c>
      <c r="N14" s="389">
        <v>4599018</v>
      </c>
      <c r="O14" s="390" t="s">
        <v>101</v>
      </c>
      <c r="P14" s="389" t="s">
        <v>61</v>
      </c>
      <c r="Q14" s="457" t="s">
        <v>102</v>
      </c>
      <c r="R14" s="436" t="s">
        <v>1426</v>
      </c>
      <c r="S14" s="390" t="s">
        <v>103</v>
      </c>
      <c r="T14" s="389" t="s">
        <v>104</v>
      </c>
      <c r="U14" s="389">
        <v>5</v>
      </c>
      <c r="V14" s="458"/>
      <c r="W14" s="191">
        <f t="shared" si="3"/>
        <v>5</v>
      </c>
      <c r="X14" s="191">
        <v>5</v>
      </c>
      <c r="Y14" s="389">
        <v>2020003630044</v>
      </c>
      <c r="Z14" s="390" t="s">
        <v>105</v>
      </c>
      <c r="AA14" s="548" t="s">
        <v>106</v>
      </c>
      <c r="AB14" s="284"/>
      <c r="AC14" s="284"/>
      <c r="AD14" s="284"/>
      <c r="AE14" s="284"/>
      <c r="AF14" s="284"/>
      <c r="AG14" s="284"/>
      <c r="AH14" s="284"/>
      <c r="AI14" s="284"/>
      <c r="AJ14" s="284"/>
      <c r="AK14" s="284"/>
      <c r="AL14" s="284"/>
      <c r="AM14" s="284"/>
      <c r="AN14" s="284"/>
      <c r="AO14" s="284"/>
      <c r="AP14" s="284"/>
      <c r="AQ14" s="284"/>
      <c r="AR14" s="284"/>
      <c r="AS14" s="284"/>
      <c r="AT14" s="190">
        <f>151334750+20000000+20000000+57214376+48000000+3000000</f>
        <v>299549126</v>
      </c>
      <c r="AU14" s="190">
        <v>209630013</v>
      </c>
      <c r="AV14" s="190">
        <v>209630013</v>
      </c>
      <c r="AW14" s="284"/>
      <c r="AX14" s="284"/>
      <c r="AY14" s="284"/>
      <c r="AZ14" s="284"/>
      <c r="BA14" s="284"/>
      <c r="BB14" s="284"/>
      <c r="BC14" s="284"/>
      <c r="BD14" s="284"/>
      <c r="BE14" s="284"/>
      <c r="BF14" s="192">
        <f t="shared" si="0"/>
        <v>299549126</v>
      </c>
      <c r="BG14" s="192">
        <f t="shared" si="1"/>
        <v>209630013</v>
      </c>
      <c r="BH14" s="192">
        <f t="shared" si="2"/>
        <v>209630013</v>
      </c>
      <c r="BI14" s="390" t="s">
        <v>15</v>
      </c>
    </row>
    <row r="15" spans="1:61" s="394" customFormat="1" ht="66.75" customHeight="1">
      <c r="A15" s="389">
        <v>305</v>
      </c>
      <c r="B15" s="456" t="s">
        <v>87</v>
      </c>
      <c r="C15" s="389">
        <v>4</v>
      </c>
      <c r="D15" s="456" t="s">
        <v>59</v>
      </c>
      <c r="E15" s="389">
        <v>45</v>
      </c>
      <c r="F15" s="456" t="s">
        <v>60</v>
      </c>
      <c r="G15" s="389" t="s">
        <v>61</v>
      </c>
      <c r="H15" s="456" t="s">
        <v>62</v>
      </c>
      <c r="I15" s="389">
        <v>4599</v>
      </c>
      <c r="J15" s="456" t="s">
        <v>63</v>
      </c>
      <c r="K15" s="456" t="s">
        <v>64</v>
      </c>
      <c r="L15" s="389" t="s">
        <v>61</v>
      </c>
      <c r="M15" s="397" t="s">
        <v>107</v>
      </c>
      <c r="N15" s="389">
        <v>4599025</v>
      </c>
      <c r="O15" s="390" t="s">
        <v>108</v>
      </c>
      <c r="P15" s="389" t="s">
        <v>61</v>
      </c>
      <c r="Q15" s="457" t="s">
        <v>109</v>
      </c>
      <c r="R15" s="436" t="s">
        <v>1427</v>
      </c>
      <c r="S15" s="390" t="s">
        <v>110</v>
      </c>
      <c r="T15" s="389" t="s">
        <v>104</v>
      </c>
      <c r="U15" s="389">
        <v>1</v>
      </c>
      <c r="V15" s="458"/>
      <c r="W15" s="191">
        <f t="shared" si="3"/>
        <v>1</v>
      </c>
      <c r="X15" s="191">
        <v>1</v>
      </c>
      <c r="Y15" s="389">
        <v>2020003630045</v>
      </c>
      <c r="Z15" s="390" t="s">
        <v>111</v>
      </c>
      <c r="AA15" s="548" t="s">
        <v>112</v>
      </c>
      <c r="AB15" s="284"/>
      <c r="AC15" s="284"/>
      <c r="AD15" s="284"/>
      <c r="AE15" s="284"/>
      <c r="AF15" s="284"/>
      <c r="AG15" s="284"/>
      <c r="AH15" s="284"/>
      <c r="AI15" s="284"/>
      <c r="AJ15" s="284"/>
      <c r="AK15" s="284"/>
      <c r="AL15" s="284"/>
      <c r="AM15" s="284"/>
      <c r="AN15" s="284"/>
      <c r="AO15" s="284"/>
      <c r="AP15" s="284"/>
      <c r="AQ15" s="284"/>
      <c r="AR15" s="284"/>
      <c r="AS15" s="284"/>
      <c r="AT15" s="190">
        <f>71317200+17750000+10300000</f>
        <v>99367200</v>
      </c>
      <c r="AU15" s="190">
        <v>92480012</v>
      </c>
      <c r="AV15" s="190">
        <v>92480012</v>
      </c>
      <c r="AW15" s="284"/>
      <c r="AX15" s="284"/>
      <c r="AY15" s="284"/>
      <c r="AZ15" s="284"/>
      <c r="BA15" s="284"/>
      <c r="BB15" s="284"/>
      <c r="BC15" s="284"/>
      <c r="BD15" s="284"/>
      <c r="BE15" s="284"/>
      <c r="BF15" s="192">
        <f t="shared" si="0"/>
        <v>99367200</v>
      </c>
      <c r="BG15" s="192">
        <f t="shared" si="1"/>
        <v>92480012</v>
      </c>
      <c r="BH15" s="192">
        <f t="shared" si="2"/>
        <v>92480012</v>
      </c>
      <c r="BI15" s="390" t="s">
        <v>15</v>
      </c>
    </row>
    <row r="16" spans="1:61" s="394" customFormat="1" ht="66.75" customHeight="1">
      <c r="A16" s="389">
        <v>305</v>
      </c>
      <c r="B16" s="456" t="s">
        <v>87</v>
      </c>
      <c r="C16" s="389">
        <v>4</v>
      </c>
      <c r="D16" s="456" t="s">
        <v>59</v>
      </c>
      <c r="E16" s="389">
        <v>45</v>
      </c>
      <c r="F16" s="456" t="s">
        <v>60</v>
      </c>
      <c r="G16" s="389" t="s">
        <v>61</v>
      </c>
      <c r="H16" s="456" t="s">
        <v>62</v>
      </c>
      <c r="I16" s="389">
        <v>4599</v>
      </c>
      <c r="J16" s="456" t="s">
        <v>63</v>
      </c>
      <c r="K16" s="456" t="s">
        <v>64</v>
      </c>
      <c r="L16" s="389" t="s">
        <v>61</v>
      </c>
      <c r="M16" s="397" t="s">
        <v>113</v>
      </c>
      <c r="N16" s="389">
        <v>4599025</v>
      </c>
      <c r="O16" s="390" t="s">
        <v>108</v>
      </c>
      <c r="P16" s="389" t="s">
        <v>61</v>
      </c>
      <c r="Q16" s="457" t="s">
        <v>114</v>
      </c>
      <c r="R16" s="389">
        <v>459902500</v>
      </c>
      <c r="S16" s="390" t="s">
        <v>110</v>
      </c>
      <c r="T16" s="389" t="s">
        <v>104</v>
      </c>
      <c r="U16" s="389">
        <v>1</v>
      </c>
      <c r="V16" s="458"/>
      <c r="W16" s="191">
        <f t="shared" si="3"/>
        <v>1</v>
      </c>
      <c r="X16" s="191">
        <v>1</v>
      </c>
      <c r="Y16" s="389">
        <v>2020003630046</v>
      </c>
      <c r="Z16" s="390" t="s">
        <v>115</v>
      </c>
      <c r="AA16" s="548" t="s">
        <v>116</v>
      </c>
      <c r="AB16" s="284"/>
      <c r="AC16" s="284"/>
      <c r="AD16" s="284"/>
      <c r="AE16" s="284"/>
      <c r="AF16" s="284"/>
      <c r="AG16" s="284"/>
      <c r="AH16" s="284"/>
      <c r="AI16" s="284"/>
      <c r="AJ16" s="284"/>
      <c r="AK16" s="284"/>
      <c r="AL16" s="284"/>
      <c r="AM16" s="284"/>
      <c r="AN16" s="284"/>
      <c r="AO16" s="284"/>
      <c r="AP16" s="284"/>
      <c r="AQ16" s="284"/>
      <c r="AR16" s="284"/>
      <c r="AS16" s="284"/>
      <c r="AT16" s="194">
        <f>293230700+160000000+112000000+24882000</f>
        <v>590112700</v>
      </c>
      <c r="AU16" s="194">
        <v>551366665</v>
      </c>
      <c r="AV16" s="190">
        <v>551366665</v>
      </c>
      <c r="AW16" s="284"/>
      <c r="AX16" s="284"/>
      <c r="AY16" s="284"/>
      <c r="AZ16" s="284"/>
      <c r="BA16" s="284"/>
      <c r="BB16" s="284"/>
      <c r="BC16" s="284"/>
      <c r="BD16" s="284"/>
      <c r="BE16" s="284"/>
      <c r="BF16" s="192">
        <f t="shared" si="0"/>
        <v>590112700</v>
      </c>
      <c r="BG16" s="192">
        <f t="shared" si="1"/>
        <v>551366665</v>
      </c>
      <c r="BH16" s="192">
        <f t="shared" si="2"/>
        <v>551366665</v>
      </c>
      <c r="BI16" s="390" t="s">
        <v>15</v>
      </c>
    </row>
    <row r="17" spans="1:61" s="394" customFormat="1" ht="66.75" customHeight="1">
      <c r="A17" s="389">
        <v>305</v>
      </c>
      <c r="B17" s="456" t="s">
        <v>87</v>
      </c>
      <c r="C17" s="389">
        <v>4</v>
      </c>
      <c r="D17" s="456" t="s">
        <v>59</v>
      </c>
      <c r="E17" s="389">
        <v>45</v>
      </c>
      <c r="F17" s="456" t="s">
        <v>60</v>
      </c>
      <c r="G17" s="389" t="s">
        <v>61</v>
      </c>
      <c r="H17" s="456" t="s">
        <v>62</v>
      </c>
      <c r="I17" s="389">
        <v>4599</v>
      </c>
      <c r="J17" s="456" t="s">
        <v>63</v>
      </c>
      <c r="K17" s="456" t="s">
        <v>117</v>
      </c>
      <c r="L17" s="389" t="s">
        <v>61</v>
      </c>
      <c r="M17" s="397" t="s">
        <v>118</v>
      </c>
      <c r="N17" s="389">
        <v>4599031</v>
      </c>
      <c r="O17" s="390" t="s">
        <v>119</v>
      </c>
      <c r="P17" s="389" t="s">
        <v>61</v>
      </c>
      <c r="Q17" s="457" t="s">
        <v>120</v>
      </c>
      <c r="R17" s="389">
        <v>459903101</v>
      </c>
      <c r="S17" s="390" t="s">
        <v>121</v>
      </c>
      <c r="T17" s="389" t="s">
        <v>104</v>
      </c>
      <c r="U17" s="389">
        <v>12</v>
      </c>
      <c r="V17" s="458"/>
      <c r="W17" s="191">
        <f t="shared" si="3"/>
        <v>12</v>
      </c>
      <c r="X17" s="191">
        <v>12</v>
      </c>
      <c r="Y17" s="389">
        <v>2020003630047</v>
      </c>
      <c r="Z17" s="390" t="s">
        <v>122</v>
      </c>
      <c r="AA17" s="548" t="s">
        <v>123</v>
      </c>
      <c r="AB17" s="284"/>
      <c r="AC17" s="284"/>
      <c r="AD17" s="284"/>
      <c r="AE17" s="284"/>
      <c r="AF17" s="284"/>
      <c r="AG17" s="284"/>
      <c r="AH17" s="284"/>
      <c r="AI17" s="284"/>
      <c r="AJ17" s="284"/>
      <c r="AK17" s="284"/>
      <c r="AL17" s="284"/>
      <c r="AM17" s="284"/>
      <c r="AN17" s="284"/>
      <c r="AO17" s="284"/>
      <c r="AP17" s="284"/>
      <c r="AQ17" s="284"/>
      <c r="AR17" s="284"/>
      <c r="AS17" s="284"/>
      <c r="AT17" s="190">
        <f>37080000+1987000+15900000</f>
        <v>54967000</v>
      </c>
      <c r="AU17" s="190">
        <f>'[1]F-PLA-47 PLANEACION'!$W$26+'[1]F-PLA-47 PLANEACION'!$W$27</f>
        <v>44466667</v>
      </c>
      <c r="AV17" s="190">
        <v>44466667</v>
      </c>
      <c r="AW17" s="284"/>
      <c r="AX17" s="284"/>
      <c r="AY17" s="284"/>
      <c r="AZ17" s="284"/>
      <c r="BA17" s="284"/>
      <c r="BB17" s="284"/>
      <c r="BC17" s="284"/>
      <c r="BD17" s="284"/>
      <c r="BE17" s="284"/>
      <c r="BF17" s="192">
        <f t="shared" si="0"/>
        <v>54967000</v>
      </c>
      <c r="BG17" s="192">
        <f t="shared" si="1"/>
        <v>44466667</v>
      </c>
      <c r="BH17" s="192">
        <f t="shared" si="2"/>
        <v>44466667</v>
      </c>
      <c r="BI17" s="390" t="s">
        <v>15</v>
      </c>
    </row>
    <row r="18" spans="1:61" s="394" customFormat="1" ht="66.75" customHeight="1">
      <c r="A18" s="389">
        <v>305</v>
      </c>
      <c r="B18" s="456" t="s">
        <v>87</v>
      </c>
      <c r="C18" s="389">
        <v>4</v>
      </c>
      <c r="D18" s="456" t="s">
        <v>59</v>
      </c>
      <c r="E18" s="389">
        <v>45</v>
      </c>
      <c r="F18" s="456" t="s">
        <v>60</v>
      </c>
      <c r="G18" s="389" t="s">
        <v>61</v>
      </c>
      <c r="H18" s="456" t="s">
        <v>62</v>
      </c>
      <c r="I18" s="389">
        <v>4599</v>
      </c>
      <c r="J18" s="456" t="s">
        <v>63</v>
      </c>
      <c r="K18" s="456" t="s">
        <v>117</v>
      </c>
      <c r="L18" s="389" t="s">
        <v>61</v>
      </c>
      <c r="M18" s="397" t="s">
        <v>124</v>
      </c>
      <c r="N18" s="389">
        <v>4599031</v>
      </c>
      <c r="O18" s="390" t="s">
        <v>119</v>
      </c>
      <c r="P18" s="389" t="s">
        <v>61</v>
      </c>
      <c r="Q18" s="457" t="s">
        <v>125</v>
      </c>
      <c r="R18" s="389">
        <v>459903101</v>
      </c>
      <c r="S18" s="390" t="s">
        <v>121</v>
      </c>
      <c r="T18" s="389" t="s">
        <v>104</v>
      </c>
      <c r="U18" s="389">
        <v>12</v>
      </c>
      <c r="V18" s="458"/>
      <c r="W18" s="191">
        <f t="shared" si="3"/>
        <v>12</v>
      </c>
      <c r="X18" s="191">
        <v>12</v>
      </c>
      <c r="Y18" s="389">
        <v>2020003630047</v>
      </c>
      <c r="Z18" s="390" t="s">
        <v>122</v>
      </c>
      <c r="AA18" s="548" t="s">
        <v>123</v>
      </c>
      <c r="AB18" s="284"/>
      <c r="AC18" s="284"/>
      <c r="AD18" s="284"/>
      <c r="AE18" s="284"/>
      <c r="AF18" s="284"/>
      <c r="AG18" s="284"/>
      <c r="AH18" s="284"/>
      <c r="AI18" s="284"/>
      <c r="AJ18" s="284"/>
      <c r="AK18" s="284"/>
      <c r="AL18" s="284"/>
      <c r="AM18" s="284"/>
      <c r="AN18" s="284"/>
      <c r="AO18" s="284"/>
      <c r="AP18" s="284"/>
      <c r="AQ18" s="284"/>
      <c r="AR18" s="284"/>
      <c r="AS18" s="284"/>
      <c r="AT18" s="190">
        <f>30591000+3000000+1600000</f>
        <v>35191000</v>
      </c>
      <c r="AU18" s="190">
        <f>'[1]F-PLA-47 PLANEACION'!$W$28+'[1]F-PLA-47 PLANEACION'!$W$29</f>
        <v>33386678</v>
      </c>
      <c r="AV18" s="190">
        <v>33386678</v>
      </c>
      <c r="AW18" s="284"/>
      <c r="AX18" s="284"/>
      <c r="AY18" s="284"/>
      <c r="AZ18" s="284"/>
      <c r="BA18" s="284"/>
      <c r="BB18" s="284"/>
      <c r="BC18" s="284"/>
      <c r="BD18" s="284"/>
      <c r="BE18" s="284"/>
      <c r="BF18" s="192">
        <f t="shared" si="0"/>
        <v>35191000</v>
      </c>
      <c r="BG18" s="192">
        <f t="shared" si="1"/>
        <v>33386678</v>
      </c>
      <c r="BH18" s="192">
        <f t="shared" si="2"/>
        <v>33386678</v>
      </c>
      <c r="BI18" s="390" t="s">
        <v>15</v>
      </c>
    </row>
    <row r="19" spans="1:61" s="394" customFormat="1" ht="66.75" customHeight="1">
      <c r="A19" s="389">
        <v>305</v>
      </c>
      <c r="B19" s="456" t="s">
        <v>87</v>
      </c>
      <c r="C19" s="389">
        <v>4</v>
      </c>
      <c r="D19" s="456" t="s">
        <v>59</v>
      </c>
      <c r="E19" s="389">
        <v>45</v>
      </c>
      <c r="F19" s="456" t="s">
        <v>60</v>
      </c>
      <c r="G19" s="389" t="s">
        <v>61</v>
      </c>
      <c r="H19" s="456" t="s">
        <v>62</v>
      </c>
      <c r="I19" s="389">
        <v>4599</v>
      </c>
      <c r="J19" s="456" t="s">
        <v>63</v>
      </c>
      <c r="K19" s="456" t="s">
        <v>117</v>
      </c>
      <c r="L19" s="389" t="s">
        <v>61</v>
      </c>
      <c r="M19" s="397" t="s">
        <v>126</v>
      </c>
      <c r="N19" s="389">
        <v>4599031</v>
      </c>
      <c r="O19" s="390" t="s">
        <v>119</v>
      </c>
      <c r="P19" s="389" t="s">
        <v>61</v>
      </c>
      <c r="Q19" s="457" t="s">
        <v>127</v>
      </c>
      <c r="R19" s="389">
        <v>459903101</v>
      </c>
      <c r="S19" s="390" t="s">
        <v>121</v>
      </c>
      <c r="T19" s="389" t="s">
        <v>104</v>
      </c>
      <c r="U19" s="389">
        <v>12</v>
      </c>
      <c r="V19" s="458"/>
      <c r="W19" s="191">
        <f t="shared" si="3"/>
        <v>12</v>
      </c>
      <c r="X19" s="191">
        <v>12</v>
      </c>
      <c r="Y19" s="389">
        <v>2020003630047</v>
      </c>
      <c r="Z19" s="390" t="s">
        <v>122</v>
      </c>
      <c r="AA19" s="548" t="s">
        <v>123</v>
      </c>
      <c r="AB19" s="284"/>
      <c r="AC19" s="284"/>
      <c r="AD19" s="284"/>
      <c r="AE19" s="284"/>
      <c r="AF19" s="284"/>
      <c r="AG19" s="284"/>
      <c r="AH19" s="284"/>
      <c r="AI19" s="284"/>
      <c r="AJ19" s="284"/>
      <c r="AK19" s="284"/>
      <c r="AL19" s="284"/>
      <c r="AM19" s="284"/>
      <c r="AN19" s="284"/>
      <c r="AO19" s="284"/>
      <c r="AP19" s="284"/>
      <c r="AQ19" s="284"/>
      <c r="AR19" s="284"/>
      <c r="AS19" s="284"/>
      <c r="AT19" s="190">
        <f>30591000-1987000+4800000</f>
        <v>33404000</v>
      </c>
      <c r="AU19" s="190">
        <f>'[1]F-PLA-47 PLANEACION'!$W$30+'[1]F-PLA-47 PLANEACION'!$W$31</f>
        <v>33386667</v>
      </c>
      <c r="AV19" s="190">
        <v>33386667</v>
      </c>
      <c r="AW19" s="284"/>
      <c r="AX19" s="284"/>
      <c r="AY19" s="284"/>
      <c r="AZ19" s="284"/>
      <c r="BA19" s="284"/>
      <c r="BB19" s="284"/>
      <c r="BC19" s="284"/>
      <c r="BD19" s="284"/>
      <c r="BE19" s="284"/>
      <c r="BF19" s="192">
        <f t="shared" si="0"/>
        <v>33404000</v>
      </c>
      <c r="BG19" s="192">
        <f t="shared" si="1"/>
        <v>33386667</v>
      </c>
      <c r="BH19" s="192">
        <f t="shared" si="2"/>
        <v>33386667</v>
      </c>
      <c r="BI19" s="390" t="s">
        <v>15</v>
      </c>
    </row>
    <row r="20" spans="1:61" s="394" customFormat="1" ht="66.75" customHeight="1">
      <c r="A20" s="389">
        <v>305</v>
      </c>
      <c r="B20" s="456" t="s">
        <v>87</v>
      </c>
      <c r="C20" s="389">
        <v>4</v>
      </c>
      <c r="D20" s="456" t="s">
        <v>59</v>
      </c>
      <c r="E20" s="389">
        <v>45</v>
      </c>
      <c r="F20" s="456" t="s">
        <v>60</v>
      </c>
      <c r="G20" s="389" t="s">
        <v>61</v>
      </c>
      <c r="H20" s="456" t="s">
        <v>62</v>
      </c>
      <c r="I20" s="389">
        <v>4599</v>
      </c>
      <c r="J20" s="456" t="s">
        <v>63</v>
      </c>
      <c r="K20" s="456" t="s">
        <v>117</v>
      </c>
      <c r="L20" s="389" t="s">
        <v>61</v>
      </c>
      <c r="M20" s="397" t="s">
        <v>128</v>
      </c>
      <c r="N20" s="389">
        <v>4599031</v>
      </c>
      <c r="O20" s="390" t="s">
        <v>119</v>
      </c>
      <c r="P20" s="389" t="s">
        <v>61</v>
      </c>
      <c r="Q20" s="457" t="s">
        <v>127</v>
      </c>
      <c r="R20" s="389">
        <v>459903101</v>
      </c>
      <c r="S20" s="390" t="s">
        <v>121</v>
      </c>
      <c r="T20" s="389" t="s">
        <v>104</v>
      </c>
      <c r="U20" s="389">
        <v>12</v>
      </c>
      <c r="V20" s="458"/>
      <c r="W20" s="191">
        <f t="shared" si="3"/>
        <v>12</v>
      </c>
      <c r="X20" s="191">
        <v>12</v>
      </c>
      <c r="Y20" s="389">
        <v>2020003630047</v>
      </c>
      <c r="Z20" s="390" t="s">
        <v>122</v>
      </c>
      <c r="AA20" s="548" t="s">
        <v>123</v>
      </c>
      <c r="AB20" s="284"/>
      <c r="AC20" s="284"/>
      <c r="AD20" s="284"/>
      <c r="AE20" s="284"/>
      <c r="AF20" s="284"/>
      <c r="AG20" s="284"/>
      <c r="AH20" s="284"/>
      <c r="AI20" s="284"/>
      <c r="AJ20" s="284"/>
      <c r="AK20" s="284"/>
      <c r="AL20" s="284"/>
      <c r="AM20" s="284"/>
      <c r="AN20" s="284"/>
      <c r="AO20" s="284"/>
      <c r="AP20" s="284"/>
      <c r="AQ20" s="284"/>
      <c r="AR20" s="284"/>
      <c r="AS20" s="284"/>
      <c r="AT20" s="190">
        <f>30591000+3000000+1600000</f>
        <v>35191000</v>
      </c>
      <c r="AU20" s="190">
        <f>'[1]F-PLA-47 PLANEACION'!$W$32+'[1]F-PLA-47 PLANEACION'!$W$33</f>
        <v>33386678</v>
      </c>
      <c r="AV20" s="190">
        <v>33386678</v>
      </c>
      <c r="AW20" s="284"/>
      <c r="AX20" s="284"/>
      <c r="AY20" s="284"/>
      <c r="AZ20" s="284"/>
      <c r="BA20" s="284"/>
      <c r="BB20" s="284"/>
      <c r="BC20" s="284"/>
      <c r="BD20" s="284"/>
      <c r="BE20" s="284"/>
      <c r="BF20" s="192">
        <f t="shared" si="0"/>
        <v>35191000</v>
      </c>
      <c r="BG20" s="192">
        <f t="shared" si="1"/>
        <v>33386678</v>
      </c>
      <c r="BH20" s="192">
        <f t="shared" si="2"/>
        <v>33386678</v>
      </c>
      <c r="BI20" s="390" t="s">
        <v>15</v>
      </c>
    </row>
    <row r="21" spans="1:61" s="394" customFormat="1" ht="66.75" customHeight="1">
      <c r="A21" s="389">
        <v>305</v>
      </c>
      <c r="B21" s="456" t="s">
        <v>87</v>
      </c>
      <c r="C21" s="389">
        <v>4</v>
      </c>
      <c r="D21" s="456" t="s">
        <v>59</v>
      </c>
      <c r="E21" s="389">
        <v>45</v>
      </c>
      <c r="F21" s="456" t="s">
        <v>60</v>
      </c>
      <c r="G21" s="389" t="s">
        <v>61</v>
      </c>
      <c r="H21" s="456" t="s">
        <v>62</v>
      </c>
      <c r="I21" s="389">
        <v>4599</v>
      </c>
      <c r="J21" s="456" t="s">
        <v>63</v>
      </c>
      <c r="K21" s="456" t="s">
        <v>117</v>
      </c>
      <c r="L21" s="389" t="s">
        <v>61</v>
      </c>
      <c r="M21" s="397" t="s">
        <v>129</v>
      </c>
      <c r="N21" s="389">
        <v>4599031</v>
      </c>
      <c r="O21" s="390" t="s">
        <v>119</v>
      </c>
      <c r="P21" s="389" t="s">
        <v>61</v>
      </c>
      <c r="Q21" s="457" t="s">
        <v>127</v>
      </c>
      <c r="R21" s="389">
        <v>459903101</v>
      </c>
      <c r="S21" s="390" t="s">
        <v>121</v>
      </c>
      <c r="T21" s="389" t="s">
        <v>104</v>
      </c>
      <c r="U21" s="389">
        <v>12</v>
      </c>
      <c r="V21" s="458"/>
      <c r="W21" s="191">
        <f t="shared" si="3"/>
        <v>12</v>
      </c>
      <c r="X21" s="191">
        <v>12</v>
      </c>
      <c r="Y21" s="389">
        <v>2020003630047</v>
      </c>
      <c r="Z21" s="390" t="s">
        <v>122</v>
      </c>
      <c r="AA21" s="548" t="s">
        <v>123</v>
      </c>
      <c r="AB21" s="284"/>
      <c r="AC21" s="284"/>
      <c r="AD21" s="284"/>
      <c r="AE21" s="284"/>
      <c r="AF21" s="284"/>
      <c r="AG21" s="284"/>
      <c r="AH21" s="284"/>
      <c r="AI21" s="284"/>
      <c r="AJ21" s="284"/>
      <c r="AK21" s="284"/>
      <c r="AL21" s="284"/>
      <c r="AM21" s="284"/>
      <c r="AN21" s="284"/>
      <c r="AO21" s="284"/>
      <c r="AP21" s="284"/>
      <c r="AQ21" s="284"/>
      <c r="AR21" s="284"/>
      <c r="AS21" s="284"/>
      <c r="AT21" s="190">
        <f>30591000-8391000-3200000</f>
        <v>19000000</v>
      </c>
      <c r="AU21" s="190">
        <f>'[1]F-PLA-47 PLANEACION'!$W$34</f>
        <v>17400000</v>
      </c>
      <c r="AV21" s="190">
        <v>17400000</v>
      </c>
      <c r="AW21" s="284"/>
      <c r="AX21" s="284"/>
      <c r="AY21" s="284"/>
      <c r="AZ21" s="284"/>
      <c r="BA21" s="284"/>
      <c r="BB21" s="284"/>
      <c r="BC21" s="284"/>
      <c r="BD21" s="284"/>
      <c r="BE21" s="284"/>
      <c r="BF21" s="192">
        <f t="shared" si="0"/>
        <v>19000000</v>
      </c>
      <c r="BG21" s="192">
        <f t="shared" si="1"/>
        <v>17400000</v>
      </c>
      <c r="BH21" s="192">
        <f t="shared" si="2"/>
        <v>17400000</v>
      </c>
      <c r="BI21" s="390" t="s">
        <v>15</v>
      </c>
    </row>
    <row r="22" spans="1:61" s="394" customFormat="1" ht="66.75" customHeight="1">
      <c r="A22" s="389">
        <v>305</v>
      </c>
      <c r="B22" s="456" t="s">
        <v>87</v>
      </c>
      <c r="C22" s="389">
        <v>4</v>
      </c>
      <c r="D22" s="456" t="s">
        <v>59</v>
      </c>
      <c r="E22" s="389">
        <v>45</v>
      </c>
      <c r="F22" s="456" t="s">
        <v>60</v>
      </c>
      <c r="G22" s="389" t="s">
        <v>61</v>
      </c>
      <c r="H22" s="456" t="s">
        <v>62</v>
      </c>
      <c r="I22" s="389">
        <v>4599</v>
      </c>
      <c r="J22" s="456" t="s">
        <v>63</v>
      </c>
      <c r="K22" s="456" t="s">
        <v>117</v>
      </c>
      <c r="L22" s="389" t="s">
        <v>61</v>
      </c>
      <c r="M22" s="397" t="s">
        <v>130</v>
      </c>
      <c r="N22" s="389">
        <v>4599031</v>
      </c>
      <c r="O22" s="390" t="s">
        <v>119</v>
      </c>
      <c r="P22" s="389" t="s">
        <v>61</v>
      </c>
      <c r="Q22" s="457" t="s">
        <v>127</v>
      </c>
      <c r="R22" s="389">
        <v>459903101</v>
      </c>
      <c r="S22" s="390" t="s">
        <v>121</v>
      </c>
      <c r="T22" s="389" t="s">
        <v>104</v>
      </c>
      <c r="U22" s="389">
        <v>12</v>
      </c>
      <c r="V22" s="458"/>
      <c r="W22" s="191">
        <f t="shared" si="3"/>
        <v>12</v>
      </c>
      <c r="X22" s="191">
        <v>12</v>
      </c>
      <c r="Y22" s="389">
        <v>2020003630047</v>
      </c>
      <c r="Z22" s="390" t="s">
        <v>122</v>
      </c>
      <c r="AA22" s="548" t="s">
        <v>123</v>
      </c>
      <c r="AB22" s="284"/>
      <c r="AC22" s="284"/>
      <c r="AD22" s="284"/>
      <c r="AE22" s="284"/>
      <c r="AF22" s="284"/>
      <c r="AG22" s="284"/>
      <c r="AH22" s="284"/>
      <c r="AI22" s="284"/>
      <c r="AJ22" s="284"/>
      <c r="AK22" s="284"/>
      <c r="AL22" s="284"/>
      <c r="AM22" s="284"/>
      <c r="AN22" s="284"/>
      <c r="AO22" s="284"/>
      <c r="AP22" s="284"/>
      <c r="AQ22" s="284"/>
      <c r="AR22" s="284"/>
      <c r="AS22" s="284"/>
      <c r="AT22" s="190">
        <f>30591000-3391000</f>
        <v>27200000</v>
      </c>
      <c r="AU22" s="190">
        <f>'[1]F-PLA-47 PLANEACION'!$W$35</f>
        <v>27200000</v>
      </c>
      <c r="AV22" s="190">
        <v>27200000</v>
      </c>
      <c r="AW22" s="284"/>
      <c r="AX22" s="284"/>
      <c r="AY22" s="284"/>
      <c r="AZ22" s="284"/>
      <c r="BA22" s="284"/>
      <c r="BB22" s="284"/>
      <c r="BC22" s="284"/>
      <c r="BD22" s="284"/>
      <c r="BE22" s="284"/>
      <c r="BF22" s="192">
        <f t="shared" si="0"/>
        <v>27200000</v>
      </c>
      <c r="BG22" s="192">
        <f t="shared" si="1"/>
        <v>27200000</v>
      </c>
      <c r="BH22" s="192">
        <f t="shared" si="2"/>
        <v>27200000</v>
      </c>
      <c r="BI22" s="390" t="s">
        <v>15</v>
      </c>
    </row>
    <row r="23" spans="1:61" s="394" customFormat="1" ht="66.75" customHeight="1">
      <c r="A23" s="389">
        <v>305</v>
      </c>
      <c r="B23" s="456" t="s">
        <v>87</v>
      </c>
      <c r="C23" s="389">
        <v>4</v>
      </c>
      <c r="D23" s="456" t="s">
        <v>59</v>
      </c>
      <c r="E23" s="389">
        <v>45</v>
      </c>
      <c r="F23" s="456" t="s">
        <v>60</v>
      </c>
      <c r="G23" s="389" t="s">
        <v>61</v>
      </c>
      <c r="H23" s="456" t="s">
        <v>62</v>
      </c>
      <c r="I23" s="389">
        <v>4599</v>
      </c>
      <c r="J23" s="456" t="s">
        <v>63</v>
      </c>
      <c r="K23" s="456" t="s">
        <v>64</v>
      </c>
      <c r="L23" s="389" t="s">
        <v>61</v>
      </c>
      <c r="M23" s="397" t="s">
        <v>65</v>
      </c>
      <c r="N23" s="389">
        <v>4599023</v>
      </c>
      <c r="O23" s="390" t="s">
        <v>131</v>
      </c>
      <c r="P23" s="389" t="s">
        <v>61</v>
      </c>
      <c r="Q23" s="397" t="s">
        <v>67</v>
      </c>
      <c r="R23" s="389">
        <v>459902300</v>
      </c>
      <c r="S23" s="390" t="s">
        <v>68</v>
      </c>
      <c r="T23" s="389" t="s">
        <v>104</v>
      </c>
      <c r="U23" s="389">
        <v>18</v>
      </c>
      <c r="V23" s="458"/>
      <c r="W23" s="191">
        <f t="shared" si="3"/>
        <v>18</v>
      </c>
      <c r="X23" s="191">
        <v>18</v>
      </c>
      <c r="Y23" s="389">
        <v>2020003630008</v>
      </c>
      <c r="Z23" s="390" t="s">
        <v>132</v>
      </c>
      <c r="AA23" s="548" t="s">
        <v>133</v>
      </c>
      <c r="AB23" s="284"/>
      <c r="AC23" s="284"/>
      <c r="AD23" s="284"/>
      <c r="AE23" s="284"/>
      <c r="AF23" s="284"/>
      <c r="AG23" s="284"/>
      <c r="AH23" s="284"/>
      <c r="AI23" s="284"/>
      <c r="AJ23" s="284"/>
      <c r="AK23" s="284"/>
      <c r="AL23" s="284"/>
      <c r="AM23" s="284"/>
      <c r="AN23" s="284"/>
      <c r="AO23" s="284"/>
      <c r="AP23" s="284"/>
      <c r="AQ23" s="284"/>
      <c r="AR23" s="284"/>
      <c r="AS23" s="284"/>
      <c r="AT23" s="190">
        <f>61182000+20000000-13100000</f>
        <v>68082000</v>
      </c>
      <c r="AU23" s="190">
        <v>62070000</v>
      </c>
      <c r="AV23" s="190">
        <v>62070000</v>
      </c>
      <c r="AW23" s="284"/>
      <c r="AX23" s="284"/>
      <c r="AY23" s="284"/>
      <c r="AZ23" s="284"/>
      <c r="BA23" s="284"/>
      <c r="BB23" s="284"/>
      <c r="BC23" s="284"/>
      <c r="BD23" s="284"/>
      <c r="BE23" s="284"/>
      <c r="BF23" s="192">
        <f t="shared" si="0"/>
        <v>68082000</v>
      </c>
      <c r="BG23" s="192">
        <f t="shared" si="1"/>
        <v>62070000</v>
      </c>
      <c r="BH23" s="192">
        <f t="shared" si="2"/>
        <v>62070000</v>
      </c>
      <c r="BI23" s="390" t="s">
        <v>15</v>
      </c>
    </row>
    <row r="24" spans="1:61" s="394" customFormat="1" ht="66.75" customHeight="1">
      <c r="A24" s="423">
        <v>307</v>
      </c>
      <c r="B24" s="392" t="s">
        <v>134</v>
      </c>
      <c r="C24" s="423">
        <v>4</v>
      </c>
      <c r="D24" s="392" t="s">
        <v>59</v>
      </c>
      <c r="E24" s="423">
        <v>45</v>
      </c>
      <c r="F24" s="392" t="s">
        <v>60</v>
      </c>
      <c r="G24" s="423" t="s">
        <v>61</v>
      </c>
      <c r="H24" s="392" t="s">
        <v>62</v>
      </c>
      <c r="I24" s="423">
        <v>4599</v>
      </c>
      <c r="J24" s="392" t="s">
        <v>63</v>
      </c>
      <c r="K24" s="392" t="s">
        <v>135</v>
      </c>
      <c r="L24" s="423" t="s">
        <v>61</v>
      </c>
      <c r="M24" s="397" t="s">
        <v>136</v>
      </c>
      <c r="N24" s="423">
        <v>4599002</v>
      </c>
      <c r="O24" s="411" t="s">
        <v>73</v>
      </c>
      <c r="P24" s="423" t="s">
        <v>61</v>
      </c>
      <c r="Q24" s="397" t="s">
        <v>137</v>
      </c>
      <c r="R24" s="423">
        <v>459900201</v>
      </c>
      <c r="S24" s="397" t="s">
        <v>138</v>
      </c>
      <c r="T24" s="401" t="s">
        <v>69</v>
      </c>
      <c r="U24" s="435">
        <v>1</v>
      </c>
      <c r="V24" s="435"/>
      <c r="W24" s="191">
        <f t="shared" si="3"/>
        <v>1</v>
      </c>
      <c r="X24" s="191">
        <v>1</v>
      </c>
      <c r="Y24" s="389">
        <v>2020003630048</v>
      </c>
      <c r="Z24" s="392" t="s">
        <v>139</v>
      </c>
      <c r="AA24" s="546" t="s">
        <v>140</v>
      </c>
      <c r="AB24" s="285"/>
      <c r="AC24" s="285"/>
      <c r="AD24" s="285"/>
      <c r="AE24" s="285"/>
      <c r="AF24" s="285"/>
      <c r="AG24" s="285"/>
      <c r="AH24" s="285"/>
      <c r="AI24" s="285"/>
      <c r="AJ24" s="285"/>
      <c r="AK24" s="285"/>
      <c r="AL24" s="285"/>
      <c r="AM24" s="285"/>
      <c r="AN24" s="285"/>
      <c r="AO24" s="285"/>
      <c r="AP24" s="285"/>
      <c r="AQ24" s="285"/>
      <c r="AR24" s="285"/>
      <c r="AS24" s="285"/>
      <c r="AT24" s="189">
        <f>1313767972+360000000+98000000+60000000+1000000000+50000000+175000000+30733332</f>
        <v>3087501304</v>
      </c>
      <c r="AU24" s="189">
        <v>3021562289</v>
      </c>
      <c r="AV24" s="189">
        <v>3021562289</v>
      </c>
      <c r="AW24" s="189"/>
      <c r="AX24" s="189"/>
      <c r="AY24" s="189"/>
      <c r="AZ24" s="189"/>
      <c r="BA24" s="189"/>
      <c r="BB24" s="189"/>
      <c r="BC24" s="334">
        <f>250000000+104509532.16+342877095-613335960.16+592877095</f>
        <v>676927762</v>
      </c>
      <c r="BD24" s="334">
        <v>625787536</v>
      </c>
      <c r="BE24" s="334">
        <v>625787536</v>
      </c>
      <c r="BF24" s="192">
        <f t="shared" si="0"/>
        <v>3764429066</v>
      </c>
      <c r="BG24" s="192">
        <f t="shared" si="1"/>
        <v>3647349825</v>
      </c>
      <c r="BH24" s="192">
        <f t="shared" si="2"/>
        <v>3647349825</v>
      </c>
      <c r="BI24" s="393" t="s">
        <v>7</v>
      </c>
    </row>
    <row r="25" spans="1:61" s="394" customFormat="1" ht="66.75" customHeight="1">
      <c r="A25" s="423">
        <v>307</v>
      </c>
      <c r="B25" s="392" t="s">
        <v>134</v>
      </c>
      <c r="C25" s="423">
        <v>4</v>
      </c>
      <c r="D25" s="392" t="s">
        <v>59</v>
      </c>
      <c r="E25" s="423">
        <v>45</v>
      </c>
      <c r="F25" s="392" t="s">
        <v>60</v>
      </c>
      <c r="G25" s="423" t="s">
        <v>61</v>
      </c>
      <c r="H25" s="392" t="s">
        <v>62</v>
      </c>
      <c r="I25" s="423">
        <v>4599</v>
      </c>
      <c r="J25" s="392" t="s">
        <v>63</v>
      </c>
      <c r="K25" s="392" t="s">
        <v>135</v>
      </c>
      <c r="L25" s="423" t="s">
        <v>61</v>
      </c>
      <c r="M25" s="397" t="s">
        <v>141</v>
      </c>
      <c r="N25" s="423">
        <v>4599002</v>
      </c>
      <c r="O25" s="411" t="s">
        <v>142</v>
      </c>
      <c r="P25" s="423" t="s">
        <v>61</v>
      </c>
      <c r="Q25" s="397" t="s">
        <v>143</v>
      </c>
      <c r="R25" s="423">
        <v>459900200</v>
      </c>
      <c r="S25" s="397" t="s">
        <v>144</v>
      </c>
      <c r="T25" s="401" t="s">
        <v>69</v>
      </c>
      <c r="U25" s="435">
        <v>1</v>
      </c>
      <c r="V25" s="435"/>
      <c r="W25" s="191">
        <f t="shared" si="3"/>
        <v>1</v>
      </c>
      <c r="X25" s="191">
        <v>1</v>
      </c>
      <c r="Y25" s="389">
        <v>2020003630049</v>
      </c>
      <c r="Z25" s="392" t="s">
        <v>145</v>
      </c>
      <c r="AA25" s="546" t="s">
        <v>146</v>
      </c>
      <c r="AB25" s="185"/>
      <c r="AC25" s="185"/>
      <c r="AD25" s="185"/>
      <c r="AE25" s="185"/>
      <c r="AF25" s="185"/>
      <c r="AG25" s="185"/>
      <c r="AH25" s="185"/>
      <c r="AI25" s="185"/>
      <c r="AJ25" s="185"/>
      <c r="AK25" s="185"/>
      <c r="AL25" s="185"/>
      <c r="AM25" s="185"/>
      <c r="AN25" s="185"/>
      <c r="AO25" s="185"/>
      <c r="AP25" s="185"/>
      <c r="AQ25" s="185"/>
      <c r="AR25" s="185"/>
      <c r="AS25" s="185"/>
      <c r="AT25" s="189">
        <f>230000000+440000000+1000000000-175000000-30733332</f>
        <v>1464266668</v>
      </c>
      <c r="AU25" s="189">
        <v>1461813335</v>
      </c>
      <c r="AV25" s="189">
        <v>1461813335</v>
      </c>
      <c r="AW25" s="185"/>
      <c r="AX25" s="185"/>
      <c r="AY25" s="185"/>
      <c r="AZ25" s="185"/>
      <c r="BA25" s="185"/>
      <c r="BB25" s="185"/>
      <c r="BC25" s="185"/>
      <c r="BD25" s="185"/>
      <c r="BE25" s="185"/>
      <c r="BF25" s="192">
        <f t="shared" si="0"/>
        <v>1464266668</v>
      </c>
      <c r="BG25" s="192">
        <f t="shared" si="1"/>
        <v>1461813335</v>
      </c>
      <c r="BH25" s="192">
        <f t="shared" si="2"/>
        <v>1461813335</v>
      </c>
      <c r="BI25" s="393" t="s">
        <v>7</v>
      </c>
    </row>
    <row r="26" spans="1:61" s="394" customFormat="1" ht="66.75" customHeight="1">
      <c r="A26" s="423">
        <v>308</v>
      </c>
      <c r="B26" s="392" t="s">
        <v>147</v>
      </c>
      <c r="C26" s="423">
        <v>1</v>
      </c>
      <c r="D26" s="392" t="s">
        <v>148</v>
      </c>
      <c r="E26" s="423">
        <v>12</v>
      </c>
      <c r="F26" s="392" t="s">
        <v>149</v>
      </c>
      <c r="G26" s="423">
        <v>1202</v>
      </c>
      <c r="H26" s="392" t="s">
        <v>150</v>
      </c>
      <c r="I26" s="423">
        <v>1202</v>
      </c>
      <c r="J26" s="392" t="s">
        <v>151</v>
      </c>
      <c r="K26" s="392" t="s">
        <v>152</v>
      </c>
      <c r="L26" s="423" t="s">
        <v>61</v>
      </c>
      <c r="M26" s="397" t="s">
        <v>153</v>
      </c>
      <c r="N26" s="423">
        <v>1202019</v>
      </c>
      <c r="O26" s="188" t="s">
        <v>154</v>
      </c>
      <c r="P26" s="423" t="s">
        <v>61</v>
      </c>
      <c r="Q26" s="188" t="s">
        <v>155</v>
      </c>
      <c r="R26" s="191">
        <v>120201900</v>
      </c>
      <c r="S26" s="188" t="s">
        <v>156</v>
      </c>
      <c r="T26" s="401" t="s">
        <v>157</v>
      </c>
      <c r="U26" s="388">
        <v>4</v>
      </c>
      <c r="V26" s="388">
        <v>2</v>
      </c>
      <c r="W26" s="388">
        <f>U26+V26</f>
        <v>6</v>
      </c>
      <c r="X26" s="388">
        <v>6</v>
      </c>
      <c r="Y26" s="389">
        <v>2020003630017</v>
      </c>
      <c r="Z26" s="392" t="s">
        <v>158</v>
      </c>
      <c r="AA26" s="547" t="s">
        <v>159</v>
      </c>
      <c r="AB26" s="286"/>
      <c r="AC26" s="286"/>
      <c r="AD26" s="286"/>
      <c r="AE26" s="185"/>
      <c r="AF26" s="185"/>
      <c r="AG26" s="185"/>
      <c r="AH26" s="185"/>
      <c r="AI26" s="185"/>
      <c r="AJ26" s="185"/>
      <c r="AK26" s="185"/>
      <c r="AL26" s="185"/>
      <c r="AM26" s="185"/>
      <c r="AN26" s="185"/>
      <c r="AO26" s="185"/>
      <c r="AP26" s="185"/>
      <c r="AQ26" s="185"/>
      <c r="AR26" s="185"/>
      <c r="AS26" s="185"/>
      <c r="AT26" s="189">
        <f>100000000-4639613-25000000+3966913+8000000</f>
        <v>82327300</v>
      </c>
      <c r="AU26" s="189">
        <v>24050000</v>
      </c>
      <c r="AV26" s="189">
        <v>24050000</v>
      </c>
      <c r="AW26" s="185"/>
      <c r="AX26" s="185"/>
      <c r="AY26" s="185"/>
      <c r="AZ26" s="185"/>
      <c r="BA26" s="185"/>
      <c r="BB26" s="185"/>
      <c r="BC26" s="284"/>
      <c r="BD26" s="284"/>
      <c r="BE26" s="284"/>
      <c r="BF26" s="192">
        <f t="shared" si="0"/>
        <v>82327300</v>
      </c>
      <c r="BG26" s="192">
        <f t="shared" si="1"/>
        <v>24050000</v>
      </c>
      <c r="BH26" s="192">
        <f t="shared" si="2"/>
        <v>24050000</v>
      </c>
      <c r="BI26" s="393" t="s">
        <v>10</v>
      </c>
    </row>
    <row r="27" spans="1:61" s="394" customFormat="1" ht="66.75" customHeight="1">
      <c r="A27" s="423">
        <v>308</v>
      </c>
      <c r="B27" s="392" t="s">
        <v>147</v>
      </c>
      <c r="C27" s="423">
        <v>1</v>
      </c>
      <c r="D27" s="392" t="s">
        <v>148</v>
      </c>
      <c r="E27" s="423">
        <v>22</v>
      </c>
      <c r="F27" s="392" t="s">
        <v>160</v>
      </c>
      <c r="G27" s="423">
        <v>2201</v>
      </c>
      <c r="H27" s="392" t="s">
        <v>161</v>
      </c>
      <c r="I27" s="423">
        <v>2201</v>
      </c>
      <c r="J27" s="392" t="s">
        <v>162</v>
      </c>
      <c r="K27" s="392" t="s">
        <v>163</v>
      </c>
      <c r="L27" s="423" t="s">
        <v>61</v>
      </c>
      <c r="M27" s="397" t="s">
        <v>164</v>
      </c>
      <c r="N27" s="423">
        <v>2201062</v>
      </c>
      <c r="O27" s="392" t="s">
        <v>165</v>
      </c>
      <c r="P27" s="423" t="s">
        <v>61</v>
      </c>
      <c r="Q27" s="397" t="s">
        <v>166</v>
      </c>
      <c r="R27" s="423">
        <v>220106200</v>
      </c>
      <c r="S27" s="397" t="s">
        <v>167</v>
      </c>
      <c r="T27" s="401" t="s">
        <v>157</v>
      </c>
      <c r="U27" s="388">
        <v>15</v>
      </c>
      <c r="V27" s="388">
        <v>7</v>
      </c>
      <c r="W27" s="388">
        <f>U27+V27</f>
        <v>22</v>
      </c>
      <c r="X27" s="388">
        <v>32</v>
      </c>
      <c r="Y27" s="389">
        <v>2020003630050</v>
      </c>
      <c r="Z27" s="392" t="s">
        <v>168</v>
      </c>
      <c r="AA27" s="547" t="s">
        <v>169</v>
      </c>
      <c r="AB27" s="286">
        <f>2500000000+167024296+250000000</f>
        <v>2917024296</v>
      </c>
      <c r="AC27" s="286">
        <v>2391181750.1099997</v>
      </c>
      <c r="AD27" s="286">
        <v>1864222689.3099999</v>
      </c>
      <c r="AE27" s="185"/>
      <c r="AF27" s="185"/>
      <c r="AG27" s="185"/>
      <c r="AH27" s="185"/>
      <c r="AI27" s="185"/>
      <c r="AJ27" s="185"/>
      <c r="AK27" s="185"/>
      <c r="AL27" s="185"/>
      <c r="AM27" s="185"/>
      <c r="AN27" s="185"/>
      <c r="AO27" s="185"/>
      <c r="AP27" s="185"/>
      <c r="AQ27" s="185"/>
      <c r="AR27" s="185"/>
      <c r="AS27" s="185"/>
      <c r="AT27" s="189">
        <f>100000000+100000000+90000000</f>
        <v>290000000</v>
      </c>
      <c r="AU27" s="189">
        <v>270985834</v>
      </c>
      <c r="AV27" s="189">
        <v>205607501</v>
      </c>
      <c r="AW27" s="185"/>
      <c r="AX27" s="185"/>
      <c r="AY27" s="185"/>
      <c r="AZ27" s="185"/>
      <c r="BA27" s="185"/>
      <c r="BB27" s="185"/>
      <c r="BC27" s="284"/>
      <c r="BD27" s="284"/>
      <c r="BE27" s="284"/>
      <c r="BF27" s="192">
        <f t="shared" si="0"/>
        <v>3207024296</v>
      </c>
      <c r="BG27" s="192">
        <f t="shared" si="1"/>
        <v>2662167584.1099997</v>
      </c>
      <c r="BH27" s="192">
        <f t="shared" si="2"/>
        <v>2069830190.3099999</v>
      </c>
      <c r="BI27" s="393" t="s">
        <v>10</v>
      </c>
    </row>
    <row r="28" spans="1:61" s="394" customFormat="1" ht="66.75" customHeight="1">
      <c r="A28" s="423">
        <v>308</v>
      </c>
      <c r="B28" s="392" t="s">
        <v>147</v>
      </c>
      <c r="C28" s="423">
        <v>1</v>
      </c>
      <c r="D28" s="392" t="s">
        <v>148</v>
      </c>
      <c r="E28" s="423">
        <v>33</v>
      </c>
      <c r="F28" s="392" t="s">
        <v>170</v>
      </c>
      <c r="G28" s="423">
        <v>3301</v>
      </c>
      <c r="H28" s="392" t="s">
        <v>171</v>
      </c>
      <c r="I28" s="423">
        <v>3301</v>
      </c>
      <c r="J28" s="392" t="s">
        <v>172</v>
      </c>
      <c r="K28" s="392" t="s">
        <v>173</v>
      </c>
      <c r="L28" s="423" t="s">
        <v>174</v>
      </c>
      <c r="M28" s="397" t="s">
        <v>175</v>
      </c>
      <c r="N28" s="423" t="s">
        <v>174</v>
      </c>
      <c r="O28" s="392" t="s">
        <v>175</v>
      </c>
      <c r="P28" s="191" t="s">
        <v>176</v>
      </c>
      <c r="Q28" s="188" t="s">
        <v>177</v>
      </c>
      <c r="R28" s="191" t="s">
        <v>176</v>
      </c>
      <c r="S28" s="188" t="s">
        <v>177</v>
      </c>
      <c r="T28" s="401" t="s">
        <v>157</v>
      </c>
      <c r="U28" s="388">
        <v>3</v>
      </c>
      <c r="V28" s="388">
        <v>2</v>
      </c>
      <c r="W28" s="388">
        <f>U28+V28</f>
        <v>5</v>
      </c>
      <c r="X28" s="388">
        <v>5</v>
      </c>
      <c r="Y28" s="287">
        <v>2021003630001</v>
      </c>
      <c r="Z28" s="393" t="s">
        <v>178</v>
      </c>
      <c r="AA28" s="547" t="s">
        <v>179</v>
      </c>
      <c r="AB28" s="185"/>
      <c r="AC28" s="185"/>
      <c r="AD28" s="185"/>
      <c r="AE28" s="185"/>
      <c r="AF28" s="185"/>
      <c r="AG28" s="185"/>
      <c r="AH28" s="185"/>
      <c r="AI28" s="185"/>
      <c r="AJ28" s="185"/>
      <c r="AK28" s="185"/>
      <c r="AL28" s="185"/>
      <c r="AM28" s="185"/>
      <c r="AN28" s="185"/>
      <c r="AO28" s="185"/>
      <c r="AP28" s="185"/>
      <c r="AQ28" s="185"/>
      <c r="AR28" s="185"/>
      <c r="AS28" s="185"/>
      <c r="AT28" s="190">
        <f>70000000+3966912</f>
        <v>73966912</v>
      </c>
      <c r="AU28" s="190">
        <v>30175000</v>
      </c>
      <c r="AV28" s="189">
        <v>30175000</v>
      </c>
      <c r="AW28" s="185"/>
      <c r="AX28" s="185"/>
      <c r="AY28" s="185"/>
      <c r="AZ28" s="185"/>
      <c r="BA28" s="185"/>
      <c r="BB28" s="185"/>
      <c r="BC28" s="185"/>
      <c r="BD28" s="185"/>
      <c r="BE28" s="185"/>
      <c r="BF28" s="192">
        <f t="shared" si="0"/>
        <v>73966912</v>
      </c>
      <c r="BG28" s="192">
        <f t="shared" si="1"/>
        <v>30175000</v>
      </c>
      <c r="BH28" s="192">
        <f t="shared" si="2"/>
        <v>30175000</v>
      </c>
      <c r="BI28" s="393" t="s">
        <v>10</v>
      </c>
    </row>
    <row r="29" spans="1:61" s="394" customFormat="1" ht="66.75" customHeight="1">
      <c r="A29" s="423">
        <v>308</v>
      </c>
      <c r="B29" s="392" t="s">
        <v>147</v>
      </c>
      <c r="C29" s="423">
        <v>1</v>
      </c>
      <c r="D29" s="392" t="s">
        <v>148</v>
      </c>
      <c r="E29" s="423">
        <v>41</v>
      </c>
      <c r="F29" s="392" t="s">
        <v>180</v>
      </c>
      <c r="G29" s="423">
        <v>4104</v>
      </c>
      <c r="H29" s="392" t="s">
        <v>181</v>
      </c>
      <c r="I29" s="423">
        <v>4104</v>
      </c>
      <c r="J29" s="392" t="s">
        <v>182</v>
      </c>
      <c r="K29" s="392" t="s">
        <v>183</v>
      </c>
      <c r="L29" s="186">
        <v>4104036</v>
      </c>
      <c r="M29" s="397" t="s">
        <v>184</v>
      </c>
      <c r="N29" s="186">
        <v>4104036</v>
      </c>
      <c r="O29" s="392" t="s">
        <v>185</v>
      </c>
      <c r="P29" s="388">
        <v>410403600</v>
      </c>
      <c r="Q29" s="397" t="s">
        <v>186</v>
      </c>
      <c r="R29" s="388">
        <v>410403600</v>
      </c>
      <c r="S29" s="188" t="s">
        <v>187</v>
      </c>
      <c r="T29" s="401" t="s">
        <v>157</v>
      </c>
      <c r="U29" s="388" t="s">
        <v>257</v>
      </c>
      <c r="V29" s="388">
        <v>1</v>
      </c>
      <c r="W29" s="388">
        <f>V29</f>
        <v>1</v>
      </c>
      <c r="X29" s="455">
        <v>0</v>
      </c>
      <c r="Y29" s="287">
        <v>2021003630017</v>
      </c>
      <c r="Z29" s="392" t="s">
        <v>188</v>
      </c>
      <c r="AA29" s="549" t="s">
        <v>189</v>
      </c>
      <c r="AB29" s="185"/>
      <c r="AC29" s="185"/>
      <c r="AD29" s="185"/>
      <c r="AE29" s="185"/>
      <c r="AF29" s="185"/>
      <c r="AG29" s="185"/>
      <c r="AH29" s="185"/>
      <c r="AI29" s="185"/>
      <c r="AJ29" s="185"/>
      <c r="AK29" s="185"/>
      <c r="AL29" s="185"/>
      <c r="AM29" s="185"/>
      <c r="AN29" s="185"/>
      <c r="AO29" s="185"/>
      <c r="AP29" s="185"/>
      <c r="AQ29" s="185"/>
      <c r="AR29" s="185"/>
      <c r="AS29" s="185"/>
      <c r="AT29" s="189">
        <f>1000000+25000000+24000000+3000000000-400000000-700000000-250000000</f>
        <v>1700000000</v>
      </c>
      <c r="AU29" s="189"/>
      <c r="AV29" s="189">
        <v>0</v>
      </c>
      <c r="AW29" s="185"/>
      <c r="AX29" s="185"/>
      <c r="AY29" s="185"/>
      <c r="AZ29" s="185"/>
      <c r="BA29" s="185"/>
      <c r="BB29" s="185"/>
      <c r="BC29" s="185"/>
      <c r="BD29" s="185"/>
      <c r="BE29" s="185"/>
      <c r="BF29" s="192">
        <f t="shared" si="0"/>
        <v>1700000000</v>
      </c>
      <c r="BG29" s="192">
        <f t="shared" si="1"/>
        <v>0</v>
      </c>
      <c r="BH29" s="192">
        <f t="shared" si="2"/>
        <v>0</v>
      </c>
      <c r="BI29" s="393" t="s">
        <v>10</v>
      </c>
    </row>
    <row r="30" spans="1:61" s="394" customFormat="1" ht="66.75" customHeight="1">
      <c r="A30" s="423">
        <v>308</v>
      </c>
      <c r="B30" s="393" t="s">
        <v>147</v>
      </c>
      <c r="C30" s="423">
        <v>1</v>
      </c>
      <c r="D30" s="393" t="s">
        <v>148</v>
      </c>
      <c r="E30" s="423">
        <v>41</v>
      </c>
      <c r="F30" s="393" t="s">
        <v>180</v>
      </c>
      <c r="G30" s="423">
        <v>4104</v>
      </c>
      <c r="H30" s="393" t="s">
        <v>181</v>
      </c>
      <c r="I30" s="423">
        <v>4104</v>
      </c>
      <c r="J30" s="393" t="s">
        <v>182</v>
      </c>
      <c r="K30" s="393" t="s">
        <v>183</v>
      </c>
      <c r="L30" s="186">
        <v>4104036</v>
      </c>
      <c r="M30" s="397" t="s">
        <v>184</v>
      </c>
      <c r="N30" s="186">
        <v>4104036</v>
      </c>
      <c r="O30" s="393" t="s">
        <v>185</v>
      </c>
      <c r="P30" s="388">
        <v>410403600</v>
      </c>
      <c r="Q30" s="397" t="s">
        <v>186</v>
      </c>
      <c r="R30" s="388">
        <v>410403600</v>
      </c>
      <c r="S30" s="188" t="s">
        <v>187</v>
      </c>
      <c r="T30" s="401" t="s">
        <v>157</v>
      </c>
      <c r="U30" s="388" t="s">
        <v>257</v>
      </c>
      <c r="V30" s="388">
        <v>1</v>
      </c>
      <c r="W30" s="388">
        <f>V30</f>
        <v>1</v>
      </c>
      <c r="X30" s="187">
        <v>0.33</v>
      </c>
      <c r="Y30" s="389">
        <v>2022003630007</v>
      </c>
      <c r="Z30" s="393" t="s">
        <v>1453</v>
      </c>
      <c r="AA30" s="549" t="s">
        <v>1454</v>
      </c>
      <c r="AB30" s="185"/>
      <c r="AC30" s="185"/>
      <c r="AD30" s="185"/>
      <c r="AE30" s="185"/>
      <c r="AF30" s="185"/>
      <c r="AG30" s="185"/>
      <c r="AH30" s="185"/>
      <c r="AI30" s="185"/>
      <c r="AJ30" s="185"/>
      <c r="AK30" s="185"/>
      <c r="AL30" s="185"/>
      <c r="AM30" s="185"/>
      <c r="AN30" s="185"/>
      <c r="AO30" s="185"/>
      <c r="AP30" s="185"/>
      <c r="AQ30" s="185"/>
      <c r="AR30" s="185"/>
      <c r="AS30" s="185"/>
      <c r="AT30" s="189"/>
      <c r="AU30" s="189"/>
      <c r="AV30" s="189">
        <v>0</v>
      </c>
      <c r="AW30" s="185"/>
      <c r="AX30" s="185"/>
      <c r="AY30" s="185"/>
      <c r="AZ30" s="185">
        <v>3179932867</v>
      </c>
      <c r="BA30" s="185">
        <v>3049428918</v>
      </c>
      <c r="BB30" s="185">
        <v>0</v>
      </c>
      <c r="BC30" s="185"/>
      <c r="BD30" s="185"/>
      <c r="BE30" s="185"/>
      <c r="BF30" s="192">
        <f t="shared" si="0"/>
        <v>3179932867</v>
      </c>
      <c r="BG30" s="192">
        <f t="shared" si="1"/>
        <v>3049428918</v>
      </c>
      <c r="BH30" s="192">
        <f t="shared" si="2"/>
        <v>0</v>
      </c>
      <c r="BI30" s="393" t="s">
        <v>10</v>
      </c>
    </row>
    <row r="31" spans="1:61" s="394" customFormat="1" ht="66.75" customHeight="1">
      <c r="A31" s="423">
        <v>308</v>
      </c>
      <c r="B31" s="392" t="s">
        <v>147</v>
      </c>
      <c r="C31" s="423">
        <v>1</v>
      </c>
      <c r="D31" s="392" t="s">
        <v>148</v>
      </c>
      <c r="E31" s="423">
        <v>43</v>
      </c>
      <c r="F31" s="392" t="s">
        <v>190</v>
      </c>
      <c r="G31" s="423">
        <v>4301</v>
      </c>
      <c r="H31" s="392" t="s">
        <v>191</v>
      </c>
      <c r="I31" s="423">
        <v>4301</v>
      </c>
      <c r="J31" s="392" t="s">
        <v>192</v>
      </c>
      <c r="K31" s="392" t="s">
        <v>193</v>
      </c>
      <c r="L31" s="423" t="s">
        <v>61</v>
      </c>
      <c r="M31" s="397" t="s">
        <v>194</v>
      </c>
      <c r="N31" s="423">
        <v>4301004</v>
      </c>
      <c r="O31" s="188" t="s">
        <v>195</v>
      </c>
      <c r="P31" s="423" t="s">
        <v>61</v>
      </c>
      <c r="Q31" s="188" t="s">
        <v>196</v>
      </c>
      <c r="R31" s="423">
        <v>430100401</v>
      </c>
      <c r="S31" s="188" t="s">
        <v>197</v>
      </c>
      <c r="T31" s="401" t="s">
        <v>157</v>
      </c>
      <c r="U31" s="388">
        <v>3</v>
      </c>
      <c r="V31" s="388"/>
      <c r="W31" s="388">
        <f>U31+V31</f>
        <v>3</v>
      </c>
      <c r="X31" s="388">
        <v>4</v>
      </c>
      <c r="Y31" s="389">
        <v>2020003630052</v>
      </c>
      <c r="Z31" s="393" t="s">
        <v>198</v>
      </c>
      <c r="AA31" s="547" t="s">
        <v>199</v>
      </c>
      <c r="AB31" s="192">
        <f>1500000000+14872080+1664967+72946288+4376079954.1</f>
        <v>5965563289.1000004</v>
      </c>
      <c r="AC31" s="192">
        <v>3031768443.4000001</v>
      </c>
      <c r="AD31" s="192">
        <v>958417064.69000006</v>
      </c>
      <c r="AE31" s="185"/>
      <c r="AF31" s="185"/>
      <c r="AG31" s="185"/>
      <c r="AH31" s="185"/>
      <c r="AI31" s="185"/>
      <c r="AJ31" s="185"/>
      <c r="AK31" s="185"/>
      <c r="AL31" s="185"/>
      <c r="AM31" s="185"/>
      <c r="AN31" s="185"/>
      <c r="AO31" s="185"/>
      <c r="AP31" s="185"/>
      <c r="AQ31" s="185"/>
      <c r="AR31" s="185"/>
      <c r="AS31" s="185"/>
      <c r="AT31" s="189">
        <f>100000000+100000000+90000000</f>
        <v>290000000</v>
      </c>
      <c r="AU31" s="189">
        <v>245824000</v>
      </c>
      <c r="AV31" s="189">
        <v>175243333</v>
      </c>
      <c r="AW31" s="185"/>
      <c r="AX31" s="185"/>
      <c r="AY31" s="185"/>
      <c r="AZ31" s="185"/>
      <c r="BA31" s="185"/>
      <c r="BB31" s="185"/>
      <c r="BC31" s="185"/>
      <c r="BD31" s="185"/>
      <c r="BE31" s="185"/>
      <c r="BF31" s="192">
        <f t="shared" ref="BF31:BF94" si="4">AB31+AE31+AH31+AK31+AN31+AQ31+AT31+AW31+BC31+AZ31</f>
        <v>6255563289.1000004</v>
      </c>
      <c r="BG31" s="192">
        <f t="shared" ref="BG31:BG94" si="5">AC31+AF31+AI31+AL31+AO31+AR31+AU31+AX31+BD31+BA31</f>
        <v>3277592443.4000001</v>
      </c>
      <c r="BH31" s="192">
        <f t="shared" ref="BH31:BH94" si="6">AD31+AG31+AJ31+AM31+AP31+AS31+AV31+AY31+BE31+BB31</f>
        <v>1133660397.6900001</v>
      </c>
      <c r="BI31" s="393" t="s">
        <v>10</v>
      </c>
    </row>
    <row r="32" spans="1:61" s="394" customFormat="1" ht="66.75" customHeight="1">
      <c r="A32" s="423">
        <v>308</v>
      </c>
      <c r="B32" s="392" t="s">
        <v>147</v>
      </c>
      <c r="C32" s="423">
        <v>2</v>
      </c>
      <c r="D32" s="392" t="s">
        <v>200</v>
      </c>
      <c r="E32" s="423">
        <v>17</v>
      </c>
      <c r="F32" s="392" t="s">
        <v>201</v>
      </c>
      <c r="G32" s="423">
        <v>1709</v>
      </c>
      <c r="H32" s="392" t="s">
        <v>202</v>
      </c>
      <c r="I32" s="423">
        <v>1709</v>
      </c>
      <c r="J32" s="392" t="s">
        <v>203</v>
      </c>
      <c r="K32" s="288" t="s">
        <v>204</v>
      </c>
      <c r="L32" s="186">
        <v>1709065</v>
      </c>
      <c r="M32" s="397" t="s">
        <v>205</v>
      </c>
      <c r="N32" s="186">
        <v>1709065</v>
      </c>
      <c r="O32" s="288" t="s">
        <v>205</v>
      </c>
      <c r="P32" s="186">
        <v>170906500</v>
      </c>
      <c r="Q32" s="288" t="s">
        <v>205</v>
      </c>
      <c r="R32" s="186">
        <v>170906500</v>
      </c>
      <c r="S32" s="288" t="s">
        <v>206</v>
      </c>
      <c r="T32" s="401" t="s">
        <v>69</v>
      </c>
      <c r="U32" s="423">
        <v>1</v>
      </c>
      <c r="V32" s="423"/>
      <c r="W32" s="388">
        <f>U32+V32</f>
        <v>1</v>
      </c>
      <c r="X32" s="388">
        <v>0</v>
      </c>
      <c r="Y32" s="287">
        <v>2021003630018</v>
      </c>
      <c r="Z32" s="288" t="s">
        <v>207</v>
      </c>
      <c r="AA32" s="549" t="s">
        <v>208</v>
      </c>
      <c r="AB32" s="192"/>
      <c r="AC32" s="192"/>
      <c r="AD32" s="192"/>
      <c r="AE32" s="289"/>
      <c r="AF32" s="289"/>
      <c r="AG32" s="289"/>
      <c r="AH32" s="289"/>
      <c r="AI32" s="289"/>
      <c r="AJ32" s="289"/>
      <c r="AK32" s="289"/>
      <c r="AL32" s="289"/>
      <c r="AM32" s="289"/>
      <c r="AN32" s="289"/>
      <c r="AO32" s="289"/>
      <c r="AP32" s="289"/>
      <c r="AQ32" s="289"/>
      <c r="AR32" s="289"/>
      <c r="AS32" s="289"/>
      <c r="AT32" s="189">
        <v>1000000</v>
      </c>
      <c r="AU32" s="189"/>
      <c r="AV32" s="189">
        <v>0</v>
      </c>
      <c r="AW32" s="289"/>
      <c r="AX32" s="289"/>
      <c r="AY32" s="289"/>
      <c r="AZ32" s="289"/>
      <c r="BA32" s="289"/>
      <c r="BB32" s="289"/>
      <c r="BC32" s="289"/>
      <c r="BD32" s="289"/>
      <c r="BE32" s="289"/>
      <c r="BF32" s="192">
        <f t="shared" si="4"/>
        <v>1000000</v>
      </c>
      <c r="BG32" s="192">
        <f t="shared" si="5"/>
        <v>0</v>
      </c>
      <c r="BH32" s="192">
        <f t="shared" si="6"/>
        <v>0</v>
      </c>
      <c r="BI32" s="393" t="s">
        <v>10</v>
      </c>
    </row>
    <row r="33" spans="1:66" s="394" customFormat="1" ht="66.75" customHeight="1">
      <c r="A33" s="423">
        <v>308</v>
      </c>
      <c r="B33" s="392" t="s">
        <v>147</v>
      </c>
      <c r="C33" s="423">
        <v>2</v>
      </c>
      <c r="D33" s="392" t="s">
        <v>200</v>
      </c>
      <c r="E33" s="423">
        <v>17</v>
      </c>
      <c r="F33" s="392" t="s">
        <v>201</v>
      </c>
      <c r="G33" s="423">
        <v>1709</v>
      </c>
      <c r="H33" s="392" t="s">
        <v>202</v>
      </c>
      <c r="I33" s="423">
        <v>1709</v>
      </c>
      <c r="J33" s="392" t="s">
        <v>203</v>
      </c>
      <c r="K33" s="288" t="s">
        <v>204</v>
      </c>
      <c r="L33" s="186">
        <v>1709078</v>
      </c>
      <c r="M33" s="397" t="s">
        <v>209</v>
      </c>
      <c r="N33" s="186">
        <v>1709078</v>
      </c>
      <c r="O33" s="288" t="s">
        <v>209</v>
      </c>
      <c r="P33" s="186">
        <v>170907800</v>
      </c>
      <c r="Q33" s="288" t="s">
        <v>209</v>
      </c>
      <c r="R33" s="186">
        <v>170907800</v>
      </c>
      <c r="S33" s="288" t="s">
        <v>209</v>
      </c>
      <c r="T33" s="401" t="s">
        <v>69</v>
      </c>
      <c r="U33" s="423">
        <v>1</v>
      </c>
      <c r="V33" s="423"/>
      <c r="W33" s="388">
        <f>U33+V33</f>
        <v>1</v>
      </c>
      <c r="X33" s="388">
        <v>1</v>
      </c>
      <c r="Y33" s="287">
        <v>2021003630019</v>
      </c>
      <c r="Z33" s="288" t="s">
        <v>210</v>
      </c>
      <c r="AA33" s="549" t="s">
        <v>211</v>
      </c>
      <c r="AB33" s="192"/>
      <c r="AC33" s="192"/>
      <c r="AD33" s="192"/>
      <c r="AE33" s="289"/>
      <c r="AF33" s="289"/>
      <c r="AG33" s="289"/>
      <c r="AH33" s="289"/>
      <c r="AI33" s="289"/>
      <c r="AJ33" s="289"/>
      <c r="AK33" s="289"/>
      <c r="AL33" s="289"/>
      <c r="AM33" s="289"/>
      <c r="AN33" s="289"/>
      <c r="AO33" s="289"/>
      <c r="AP33" s="289"/>
      <c r="AQ33" s="289"/>
      <c r="AR33" s="289"/>
      <c r="AS33" s="289"/>
      <c r="AT33" s="189">
        <v>40000000</v>
      </c>
      <c r="AU33" s="189">
        <v>30900000</v>
      </c>
      <c r="AV33" s="189">
        <v>30900000</v>
      </c>
      <c r="AW33" s="289"/>
      <c r="AX33" s="289"/>
      <c r="AY33" s="289"/>
      <c r="AZ33" s="289"/>
      <c r="BA33" s="289"/>
      <c r="BB33" s="289"/>
      <c r="BC33" s="289"/>
      <c r="BD33" s="289"/>
      <c r="BE33" s="289"/>
      <c r="BF33" s="192">
        <f t="shared" si="4"/>
        <v>40000000</v>
      </c>
      <c r="BG33" s="192">
        <f t="shared" si="5"/>
        <v>30900000</v>
      </c>
      <c r="BH33" s="192">
        <f t="shared" si="6"/>
        <v>30900000</v>
      </c>
      <c r="BI33" s="393" t="s">
        <v>10</v>
      </c>
    </row>
    <row r="34" spans="1:66" s="394" customFormat="1" ht="66.75" customHeight="1">
      <c r="A34" s="423">
        <v>308</v>
      </c>
      <c r="B34" s="392" t="s">
        <v>147</v>
      </c>
      <c r="C34" s="423">
        <v>3</v>
      </c>
      <c r="D34" s="392" t="s">
        <v>212</v>
      </c>
      <c r="E34" s="423">
        <v>24</v>
      </c>
      <c r="F34" s="392" t="s">
        <v>213</v>
      </c>
      <c r="G34" s="423">
        <v>2402</v>
      </c>
      <c r="H34" s="392" t="s">
        <v>214</v>
      </c>
      <c r="I34" s="423">
        <v>2402</v>
      </c>
      <c r="J34" s="392" t="s">
        <v>215</v>
      </c>
      <c r="K34" s="392" t="s">
        <v>216</v>
      </c>
      <c r="L34" s="423" t="s">
        <v>61</v>
      </c>
      <c r="M34" s="397" t="s">
        <v>217</v>
      </c>
      <c r="N34" s="423">
        <v>2402022</v>
      </c>
      <c r="O34" s="188" t="s">
        <v>218</v>
      </c>
      <c r="P34" s="423" t="s">
        <v>61</v>
      </c>
      <c r="Q34" s="188" t="s">
        <v>219</v>
      </c>
      <c r="R34" s="423">
        <v>240202200</v>
      </c>
      <c r="S34" s="188" t="s">
        <v>220</v>
      </c>
      <c r="T34" s="401" t="s">
        <v>69</v>
      </c>
      <c r="U34" s="186">
        <v>1</v>
      </c>
      <c r="V34" s="186"/>
      <c r="W34" s="388">
        <f>U34+V34</f>
        <v>1</v>
      </c>
      <c r="X34" s="388">
        <v>2</v>
      </c>
      <c r="Y34" s="389">
        <v>2020003630053</v>
      </c>
      <c r="Z34" s="392" t="s">
        <v>221</v>
      </c>
      <c r="AA34" s="546" t="s">
        <v>222</v>
      </c>
      <c r="AB34" s="185"/>
      <c r="AC34" s="185"/>
      <c r="AD34" s="185"/>
      <c r="AE34" s="185"/>
      <c r="AF34" s="185"/>
      <c r="AG34" s="185"/>
      <c r="AH34" s="185"/>
      <c r="AI34" s="185"/>
      <c r="AJ34" s="185"/>
      <c r="AK34" s="185"/>
      <c r="AL34" s="185"/>
      <c r="AM34" s="185"/>
      <c r="AN34" s="185"/>
      <c r="AO34" s="185"/>
      <c r="AP34" s="185"/>
      <c r="AQ34" s="185"/>
      <c r="AR34" s="185"/>
      <c r="AS34" s="185"/>
      <c r="AT34" s="189">
        <v>40000000</v>
      </c>
      <c r="AU34" s="189">
        <v>16500000</v>
      </c>
      <c r="AV34" s="189">
        <v>16500000</v>
      </c>
      <c r="AW34" s="190">
        <f>100000000+100000000-100000000</f>
        <v>100000000</v>
      </c>
      <c r="AX34" s="190">
        <v>48693297</v>
      </c>
      <c r="AY34" s="190">
        <v>0</v>
      </c>
      <c r="AZ34" s="190"/>
      <c r="BA34" s="190"/>
      <c r="BB34" s="190"/>
      <c r="BC34" s="185"/>
      <c r="BD34" s="185"/>
      <c r="BE34" s="185"/>
      <c r="BF34" s="192">
        <f t="shared" si="4"/>
        <v>140000000</v>
      </c>
      <c r="BG34" s="192">
        <f t="shared" si="5"/>
        <v>65193297</v>
      </c>
      <c r="BH34" s="192">
        <f t="shared" si="6"/>
        <v>16500000</v>
      </c>
      <c r="BI34" s="393" t="s">
        <v>10</v>
      </c>
    </row>
    <row r="35" spans="1:66" s="394" customFormat="1" ht="66.75" customHeight="1">
      <c r="A35" s="423">
        <v>308</v>
      </c>
      <c r="B35" s="392" t="s">
        <v>147</v>
      </c>
      <c r="C35" s="423">
        <v>3</v>
      </c>
      <c r="D35" s="392" t="s">
        <v>212</v>
      </c>
      <c r="E35" s="423">
        <v>24</v>
      </c>
      <c r="F35" s="392" t="s">
        <v>213</v>
      </c>
      <c r="G35" s="423">
        <v>2402</v>
      </c>
      <c r="H35" s="393" t="s">
        <v>214</v>
      </c>
      <c r="I35" s="423">
        <v>2402</v>
      </c>
      <c r="J35" s="393" t="s">
        <v>215</v>
      </c>
      <c r="K35" s="188" t="s">
        <v>216</v>
      </c>
      <c r="L35" s="423" t="s">
        <v>61</v>
      </c>
      <c r="M35" s="397" t="s">
        <v>223</v>
      </c>
      <c r="N35" s="290">
        <v>2402041</v>
      </c>
      <c r="O35" s="188" t="s">
        <v>224</v>
      </c>
      <c r="P35" s="423" t="s">
        <v>61</v>
      </c>
      <c r="Q35" s="188" t="s">
        <v>225</v>
      </c>
      <c r="R35" s="191">
        <v>240204100</v>
      </c>
      <c r="S35" s="188" t="s">
        <v>226</v>
      </c>
      <c r="T35" s="401" t="s">
        <v>69</v>
      </c>
      <c r="U35" s="186">
        <v>70.379000000000005</v>
      </c>
      <c r="V35" s="186"/>
      <c r="W35" s="388">
        <f>U35+V35</f>
        <v>70.379000000000005</v>
      </c>
      <c r="X35" s="388">
        <v>323.3</v>
      </c>
      <c r="Y35" s="389">
        <v>2020003630053</v>
      </c>
      <c r="Z35" s="392" t="s">
        <v>221</v>
      </c>
      <c r="AA35" s="546" t="s">
        <v>222</v>
      </c>
      <c r="AB35" s="185"/>
      <c r="AC35" s="185"/>
      <c r="AD35" s="185"/>
      <c r="AE35" s="185"/>
      <c r="AF35" s="185"/>
      <c r="AG35" s="185"/>
      <c r="AH35" s="185"/>
      <c r="AI35" s="185"/>
      <c r="AJ35" s="185"/>
      <c r="AK35" s="185"/>
      <c r="AL35" s="185"/>
      <c r="AM35" s="185"/>
      <c r="AN35" s="185"/>
      <c r="AO35" s="185"/>
      <c r="AP35" s="185"/>
      <c r="AQ35" s="185"/>
      <c r="AR35" s="185"/>
      <c r="AS35" s="185"/>
      <c r="AT35" s="189">
        <f>300000000+2200000000+180000000+450000000+70000000</f>
        <v>3200000000</v>
      </c>
      <c r="AU35" s="189">
        <v>2858790562</v>
      </c>
      <c r="AV35" s="189">
        <v>347242833</v>
      </c>
      <c r="AW35" s="286">
        <f>400000000+45561481+460477394.52-42514047+800000000+150307.35</f>
        <v>1663675135.8699999</v>
      </c>
      <c r="AX35" s="286">
        <v>1599544766.52</v>
      </c>
      <c r="AY35" s="286">
        <v>310116553.00999999</v>
      </c>
      <c r="AZ35" s="286"/>
      <c r="BA35" s="286"/>
      <c r="BB35" s="286"/>
      <c r="BC35" s="185">
        <f>19788720416+9326778094</f>
        <v>29115498510</v>
      </c>
      <c r="BD35" s="185">
        <v>19499517456</v>
      </c>
      <c r="BE35" s="185">
        <v>2023385544</v>
      </c>
      <c r="BF35" s="192">
        <f t="shared" si="4"/>
        <v>33979173645.869999</v>
      </c>
      <c r="BG35" s="192">
        <f t="shared" si="5"/>
        <v>23957852784.52</v>
      </c>
      <c r="BH35" s="192">
        <f t="shared" si="6"/>
        <v>2680744930.0100002</v>
      </c>
      <c r="BI35" s="393" t="s">
        <v>10</v>
      </c>
    </row>
    <row r="36" spans="1:66" s="394" customFormat="1" ht="66.75" customHeight="1">
      <c r="A36" s="423">
        <v>308</v>
      </c>
      <c r="B36" s="393" t="s">
        <v>147</v>
      </c>
      <c r="C36" s="423">
        <v>3</v>
      </c>
      <c r="D36" s="393" t="s">
        <v>212</v>
      </c>
      <c r="E36" s="423">
        <v>24</v>
      </c>
      <c r="F36" s="393" t="s">
        <v>213</v>
      </c>
      <c r="G36" s="423">
        <v>2402</v>
      </c>
      <c r="H36" s="393" t="s">
        <v>214</v>
      </c>
      <c r="I36" s="423">
        <v>2402</v>
      </c>
      <c r="J36" s="393" t="s">
        <v>215</v>
      </c>
      <c r="K36" s="188" t="s">
        <v>216</v>
      </c>
      <c r="L36" s="401" t="s">
        <v>61</v>
      </c>
      <c r="M36" s="397" t="s">
        <v>1431</v>
      </c>
      <c r="N36" s="423">
        <v>2402118</v>
      </c>
      <c r="O36" s="393" t="s">
        <v>1432</v>
      </c>
      <c r="P36" s="401" t="s">
        <v>61</v>
      </c>
      <c r="Q36" s="397" t="s">
        <v>1433</v>
      </c>
      <c r="R36" s="423">
        <v>240211800</v>
      </c>
      <c r="S36" s="397" t="s">
        <v>1434</v>
      </c>
      <c r="T36" s="401" t="s">
        <v>157</v>
      </c>
      <c r="U36" s="388" t="s">
        <v>257</v>
      </c>
      <c r="V36" s="455">
        <v>3</v>
      </c>
      <c r="W36" s="184">
        <f>SUM(U36:V36)</f>
        <v>3</v>
      </c>
      <c r="X36" s="184">
        <v>3</v>
      </c>
      <c r="Y36" s="389">
        <v>2020003630054</v>
      </c>
      <c r="Z36" s="397" t="s">
        <v>1435</v>
      </c>
      <c r="AA36" s="546" t="s">
        <v>1436</v>
      </c>
      <c r="AB36" s="185"/>
      <c r="AC36" s="185"/>
      <c r="AD36" s="185"/>
      <c r="AE36" s="185"/>
      <c r="AF36" s="185"/>
      <c r="AG36" s="185"/>
      <c r="AH36" s="185"/>
      <c r="AI36" s="185"/>
      <c r="AJ36" s="185"/>
      <c r="AK36" s="185"/>
      <c r="AL36" s="185"/>
      <c r="AM36" s="185"/>
      <c r="AN36" s="185"/>
      <c r="AO36" s="185"/>
      <c r="AP36" s="185"/>
      <c r="AQ36" s="185"/>
      <c r="AR36" s="185"/>
      <c r="AS36" s="185"/>
      <c r="AT36" s="189">
        <v>50000000</v>
      </c>
      <c r="AU36" s="189">
        <v>49824640</v>
      </c>
      <c r="AV36" s="189">
        <v>43885953</v>
      </c>
      <c r="AW36" s="189">
        <f>250000000+142514047-290000000</f>
        <v>102514047</v>
      </c>
      <c r="AX36" s="189">
        <v>62514047</v>
      </c>
      <c r="AY36" s="189">
        <v>62514047</v>
      </c>
      <c r="AZ36" s="286"/>
      <c r="BA36" s="286"/>
      <c r="BB36" s="286"/>
      <c r="BC36" s="185"/>
      <c r="BD36" s="185"/>
      <c r="BE36" s="185"/>
      <c r="BF36" s="192">
        <f t="shared" si="4"/>
        <v>152514047</v>
      </c>
      <c r="BG36" s="192">
        <f t="shared" si="5"/>
        <v>112338687</v>
      </c>
      <c r="BH36" s="192">
        <f t="shared" si="6"/>
        <v>106400000</v>
      </c>
      <c r="BI36" s="393" t="s">
        <v>10</v>
      </c>
    </row>
    <row r="37" spans="1:66" s="394" customFormat="1" ht="66.75" customHeight="1">
      <c r="A37" s="389">
        <v>308</v>
      </c>
      <c r="B37" s="393" t="s">
        <v>147</v>
      </c>
      <c r="C37" s="389">
        <v>3</v>
      </c>
      <c r="D37" s="393" t="s">
        <v>212</v>
      </c>
      <c r="E37" s="389">
        <v>24</v>
      </c>
      <c r="F37" s="393" t="s">
        <v>213</v>
      </c>
      <c r="G37" s="389">
        <v>2402</v>
      </c>
      <c r="H37" s="393" t="s">
        <v>214</v>
      </c>
      <c r="I37" s="389">
        <v>2402</v>
      </c>
      <c r="J37" s="393" t="s">
        <v>215</v>
      </c>
      <c r="K37" s="188" t="s">
        <v>1437</v>
      </c>
      <c r="L37" s="401" t="s">
        <v>61</v>
      </c>
      <c r="M37" s="397" t="s">
        <v>223</v>
      </c>
      <c r="N37" s="389">
        <v>2402006</v>
      </c>
      <c r="O37" s="393" t="s">
        <v>1438</v>
      </c>
      <c r="P37" s="401" t="s">
        <v>61</v>
      </c>
      <c r="Q37" s="397" t="s">
        <v>1439</v>
      </c>
      <c r="R37" s="389">
        <v>240200606</v>
      </c>
      <c r="S37" s="397" t="s">
        <v>1440</v>
      </c>
      <c r="T37" s="401" t="s">
        <v>157</v>
      </c>
      <c r="U37" s="459">
        <v>4.6950000000000003</v>
      </c>
      <c r="V37" s="460"/>
      <c r="W37" s="278">
        <f>U37</f>
        <v>4.6950000000000003</v>
      </c>
      <c r="X37" s="278">
        <v>4.6950000000000003</v>
      </c>
      <c r="Y37" s="389">
        <v>2018000040059</v>
      </c>
      <c r="Z37" s="397" t="s">
        <v>1441</v>
      </c>
      <c r="AA37" s="547" t="s">
        <v>1442</v>
      </c>
      <c r="AB37" s="185"/>
      <c r="AC37" s="185"/>
      <c r="AD37" s="185"/>
      <c r="AE37" s="185"/>
      <c r="AF37" s="185"/>
      <c r="AG37" s="185"/>
      <c r="AH37" s="185"/>
      <c r="AI37" s="185"/>
      <c r="AJ37" s="185"/>
      <c r="AK37" s="185"/>
      <c r="AL37" s="185"/>
      <c r="AM37" s="185"/>
      <c r="AN37" s="185"/>
      <c r="AO37" s="185"/>
      <c r="AP37" s="185"/>
      <c r="AQ37" s="185"/>
      <c r="AR37" s="185"/>
      <c r="AS37" s="185"/>
      <c r="AT37" s="189"/>
      <c r="AU37" s="189"/>
      <c r="AV37" s="189">
        <v>0</v>
      </c>
      <c r="AW37" s="190"/>
      <c r="AX37" s="190"/>
      <c r="AY37" s="190"/>
      <c r="AZ37" s="190">
        <v>6536661612</v>
      </c>
      <c r="BA37" s="561">
        <v>6536661612</v>
      </c>
      <c r="BB37" s="190">
        <v>5145935029.4799995</v>
      </c>
      <c r="BC37" s="400"/>
      <c r="BD37" s="400"/>
      <c r="BE37" s="400"/>
      <c r="BF37" s="192">
        <f t="shared" si="4"/>
        <v>6536661612</v>
      </c>
      <c r="BG37" s="192">
        <f t="shared" si="5"/>
        <v>6536661612</v>
      </c>
      <c r="BH37" s="192">
        <f t="shared" si="6"/>
        <v>5145935029.4799995</v>
      </c>
      <c r="BI37" s="401" t="s">
        <v>10</v>
      </c>
    </row>
    <row r="38" spans="1:66" s="394" customFormat="1" ht="66.75" customHeight="1">
      <c r="A38" s="389">
        <v>308</v>
      </c>
      <c r="B38" s="393" t="s">
        <v>147</v>
      </c>
      <c r="C38" s="389">
        <v>3</v>
      </c>
      <c r="D38" s="393" t="s">
        <v>212</v>
      </c>
      <c r="E38" s="389">
        <v>24</v>
      </c>
      <c r="F38" s="393" t="s">
        <v>213</v>
      </c>
      <c r="G38" s="389">
        <v>2402</v>
      </c>
      <c r="H38" s="393" t="s">
        <v>214</v>
      </c>
      <c r="I38" s="389">
        <v>2402</v>
      </c>
      <c r="J38" s="393" t="s">
        <v>215</v>
      </c>
      <c r="K38" s="188" t="s">
        <v>1437</v>
      </c>
      <c r="L38" s="401" t="s">
        <v>61</v>
      </c>
      <c r="M38" s="397" t="s">
        <v>223</v>
      </c>
      <c r="N38" s="389">
        <v>2402006</v>
      </c>
      <c r="O38" s="393" t="s">
        <v>1438</v>
      </c>
      <c r="P38" s="401" t="s">
        <v>61</v>
      </c>
      <c r="Q38" s="397" t="s">
        <v>1439</v>
      </c>
      <c r="R38" s="389">
        <v>240200606</v>
      </c>
      <c r="S38" s="397" t="s">
        <v>1440</v>
      </c>
      <c r="T38" s="401" t="s">
        <v>157</v>
      </c>
      <c r="U38" s="460">
        <v>1.02</v>
      </c>
      <c r="V38" s="460"/>
      <c r="W38" s="187">
        <f>U38</f>
        <v>1.02</v>
      </c>
      <c r="X38" s="184">
        <v>1</v>
      </c>
      <c r="Y38" s="389">
        <v>2022003630010</v>
      </c>
      <c r="Z38" s="397" t="s">
        <v>1443</v>
      </c>
      <c r="AA38" s="547" t="s">
        <v>1444</v>
      </c>
      <c r="AB38" s="185"/>
      <c r="AC38" s="185"/>
      <c r="AD38" s="185"/>
      <c r="AE38" s="185"/>
      <c r="AF38" s="185"/>
      <c r="AG38" s="185"/>
      <c r="AH38" s="185"/>
      <c r="AI38" s="185"/>
      <c r="AJ38" s="185"/>
      <c r="AK38" s="185"/>
      <c r="AL38" s="185"/>
      <c r="AM38" s="185"/>
      <c r="AN38" s="185"/>
      <c r="AO38" s="185"/>
      <c r="AP38" s="185"/>
      <c r="AQ38" s="185"/>
      <c r="AR38" s="185"/>
      <c r="AS38" s="185"/>
      <c r="AT38" s="189"/>
      <c r="AU38" s="189"/>
      <c r="AV38" s="189">
        <v>0</v>
      </c>
      <c r="AW38" s="190"/>
      <c r="AX38" s="190"/>
      <c r="AY38" s="190"/>
      <c r="AZ38" s="190">
        <v>9133426135</v>
      </c>
      <c r="BA38" s="190">
        <v>6059439946.3299999</v>
      </c>
      <c r="BB38" s="190">
        <v>3634930665</v>
      </c>
      <c r="BC38" s="400"/>
      <c r="BD38" s="400"/>
      <c r="BE38" s="400"/>
      <c r="BF38" s="192">
        <f t="shared" si="4"/>
        <v>9133426135</v>
      </c>
      <c r="BG38" s="192">
        <f t="shared" si="5"/>
        <v>6059439946.3299999</v>
      </c>
      <c r="BH38" s="192">
        <f t="shared" si="6"/>
        <v>3634930665</v>
      </c>
      <c r="BI38" s="401" t="s">
        <v>10</v>
      </c>
    </row>
    <row r="39" spans="1:66" s="394" customFormat="1" ht="66.75" customHeight="1">
      <c r="A39" s="423">
        <v>308</v>
      </c>
      <c r="B39" s="392" t="s">
        <v>147</v>
      </c>
      <c r="C39" s="423">
        <v>3</v>
      </c>
      <c r="D39" s="392" t="s">
        <v>212</v>
      </c>
      <c r="E39" s="423">
        <v>32</v>
      </c>
      <c r="F39" s="392" t="s">
        <v>227</v>
      </c>
      <c r="G39" s="423">
        <v>3205</v>
      </c>
      <c r="H39" s="392" t="s">
        <v>228</v>
      </c>
      <c r="I39" s="423">
        <v>3205</v>
      </c>
      <c r="J39" s="392" t="s">
        <v>229</v>
      </c>
      <c r="K39" s="392" t="s">
        <v>230</v>
      </c>
      <c r="L39" s="191">
        <v>3205010</v>
      </c>
      <c r="M39" s="397" t="s">
        <v>231</v>
      </c>
      <c r="N39" s="191">
        <v>3205010</v>
      </c>
      <c r="O39" s="392" t="s">
        <v>231</v>
      </c>
      <c r="P39" s="191" t="s">
        <v>232</v>
      </c>
      <c r="Q39" s="397" t="s">
        <v>233</v>
      </c>
      <c r="R39" s="191" t="s">
        <v>232</v>
      </c>
      <c r="S39" s="397" t="s">
        <v>233</v>
      </c>
      <c r="T39" s="401" t="s">
        <v>157</v>
      </c>
      <c r="U39" s="388">
        <v>3</v>
      </c>
      <c r="V39" s="388">
        <v>3</v>
      </c>
      <c r="W39" s="388">
        <f>U39+V39</f>
        <v>6</v>
      </c>
      <c r="X39" s="388">
        <v>7</v>
      </c>
      <c r="Y39" s="287">
        <v>2021003630004</v>
      </c>
      <c r="Z39" s="397" t="s">
        <v>234</v>
      </c>
      <c r="AA39" s="546" t="s">
        <v>235</v>
      </c>
      <c r="AB39" s="185"/>
      <c r="AC39" s="185"/>
      <c r="AD39" s="185"/>
      <c r="AE39" s="185"/>
      <c r="AF39" s="185"/>
      <c r="AG39" s="185"/>
      <c r="AH39" s="185"/>
      <c r="AI39" s="185"/>
      <c r="AJ39" s="185"/>
      <c r="AK39" s="185"/>
      <c r="AL39" s="185"/>
      <c r="AM39" s="185"/>
      <c r="AN39" s="185"/>
      <c r="AO39" s="185"/>
      <c r="AP39" s="185"/>
      <c r="AQ39" s="185"/>
      <c r="AR39" s="185"/>
      <c r="AS39" s="185"/>
      <c r="AT39" s="189">
        <v>35000000</v>
      </c>
      <c r="AU39" s="189">
        <v>10500000</v>
      </c>
      <c r="AV39" s="189">
        <v>10500000</v>
      </c>
      <c r="AW39" s="190">
        <f>400000000+300000000</f>
        <v>700000000</v>
      </c>
      <c r="AX39" s="190">
        <v>683000000</v>
      </c>
      <c r="AY39" s="190"/>
      <c r="AZ39" s="190"/>
      <c r="BA39" s="190"/>
      <c r="BB39" s="190"/>
      <c r="BC39" s="185"/>
      <c r="BD39" s="185"/>
      <c r="BE39" s="185"/>
      <c r="BF39" s="192">
        <f t="shared" si="4"/>
        <v>735000000</v>
      </c>
      <c r="BG39" s="192">
        <f t="shared" si="5"/>
        <v>693500000</v>
      </c>
      <c r="BH39" s="192">
        <f t="shared" si="6"/>
        <v>10500000</v>
      </c>
      <c r="BI39" s="393" t="s">
        <v>10</v>
      </c>
      <c r="BJ39" s="402"/>
      <c r="BK39" s="402"/>
      <c r="BL39" s="402"/>
      <c r="BM39" s="402"/>
      <c r="BN39" s="402"/>
    </row>
    <row r="40" spans="1:66" s="394" customFormat="1" ht="66.75" customHeight="1">
      <c r="A40" s="423">
        <v>308</v>
      </c>
      <c r="B40" s="392" t="s">
        <v>147</v>
      </c>
      <c r="C40" s="423">
        <v>3</v>
      </c>
      <c r="D40" s="392" t="s">
        <v>212</v>
      </c>
      <c r="E40" s="423">
        <v>32</v>
      </c>
      <c r="F40" s="392" t="s">
        <v>227</v>
      </c>
      <c r="G40" s="423">
        <v>3205</v>
      </c>
      <c r="H40" s="392" t="s">
        <v>228</v>
      </c>
      <c r="I40" s="423">
        <v>3205</v>
      </c>
      <c r="J40" s="392" t="s">
        <v>229</v>
      </c>
      <c r="K40" s="392" t="s">
        <v>236</v>
      </c>
      <c r="L40" s="191">
        <v>3205021</v>
      </c>
      <c r="M40" s="397" t="s">
        <v>237</v>
      </c>
      <c r="N40" s="191">
        <v>3205021</v>
      </c>
      <c r="O40" s="392" t="s">
        <v>237</v>
      </c>
      <c r="P40" s="191">
        <v>320502100</v>
      </c>
      <c r="Q40" s="397" t="s">
        <v>238</v>
      </c>
      <c r="R40" s="191">
        <v>320502100</v>
      </c>
      <c r="S40" s="397" t="s">
        <v>238</v>
      </c>
      <c r="T40" s="401" t="s">
        <v>157</v>
      </c>
      <c r="U40" s="388">
        <v>4</v>
      </c>
      <c r="V40" s="388">
        <v>3</v>
      </c>
      <c r="W40" s="388">
        <f>U40+V40</f>
        <v>7</v>
      </c>
      <c r="X40" s="388">
        <v>10</v>
      </c>
      <c r="Y40" s="287">
        <v>2021003630002</v>
      </c>
      <c r="Z40" s="397" t="s">
        <v>239</v>
      </c>
      <c r="AA40" s="547" t="s">
        <v>240</v>
      </c>
      <c r="AB40" s="185"/>
      <c r="AC40" s="185"/>
      <c r="AD40" s="185"/>
      <c r="AE40" s="185"/>
      <c r="AF40" s="185"/>
      <c r="AG40" s="185"/>
      <c r="AH40" s="185"/>
      <c r="AI40" s="185"/>
      <c r="AJ40" s="185"/>
      <c r="AK40" s="185"/>
      <c r="AL40" s="185"/>
      <c r="AM40" s="185"/>
      <c r="AN40" s="185"/>
      <c r="AO40" s="185"/>
      <c r="AP40" s="185"/>
      <c r="AQ40" s="185"/>
      <c r="AR40" s="185"/>
      <c r="AS40" s="185"/>
      <c r="AT40" s="189">
        <v>35000000</v>
      </c>
      <c r="AU40" s="189">
        <v>34032000</v>
      </c>
      <c r="AV40" s="189">
        <v>34032000</v>
      </c>
      <c r="AW40" s="190">
        <f>300000000+770000000</f>
        <v>1070000000</v>
      </c>
      <c r="AX40" s="190">
        <v>803401696</v>
      </c>
      <c r="AY40" s="190">
        <v>60225000</v>
      </c>
      <c r="AZ40" s="190"/>
      <c r="BA40" s="190"/>
      <c r="BB40" s="190"/>
      <c r="BC40" s="185"/>
      <c r="BD40" s="185"/>
      <c r="BE40" s="185"/>
      <c r="BF40" s="192">
        <f t="shared" si="4"/>
        <v>1105000000</v>
      </c>
      <c r="BG40" s="192">
        <f t="shared" si="5"/>
        <v>837433696</v>
      </c>
      <c r="BH40" s="192">
        <f t="shared" si="6"/>
        <v>94257000</v>
      </c>
      <c r="BI40" s="393" t="s">
        <v>10</v>
      </c>
    </row>
    <row r="41" spans="1:66" s="394" customFormat="1" ht="66.75" customHeight="1">
      <c r="A41" s="423">
        <v>308</v>
      </c>
      <c r="B41" s="392" t="s">
        <v>147</v>
      </c>
      <c r="C41" s="423">
        <v>3</v>
      </c>
      <c r="D41" s="392" t="s">
        <v>212</v>
      </c>
      <c r="E41" s="423">
        <v>40</v>
      </c>
      <c r="F41" s="392" t="s">
        <v>241</v>
      </c>
      <c r="G41" s="423">
        <v>4001</v>
      </c>
      <c r="H41" s="392" t="s">
        <v>242</v>
      </c>
      <c r="I41" s="423">
        <v>4001</v>
      </c>
      <c r="J41" s="392" t="s">
        <v>243</v>
      </c>
      <c r="K41" s="392" t="s">
        <v>244</v>
      </c>
      <c r="L41" s="290">
        <v>4001015</v>
      </c>
      <c r="M41" s="397" t="s">
        <v>245</v>
      </c>
      <c r="N41" s="290">
        <v>4001015</v>
      </c>
      <c r="O41" s="392" t="s">
        <v>245</v>
      </c>
      <c r="P41" s="388" t="s">
        <v>246</v>
      </c>
      <c r="Q41" s="397" t="s">
        <v>247</v>
      </c>
      <c r="R41" s="388" t="s">
        <v>246</v>
      </c>
      <c r="S41" s="397" t="s">
        <v>247</v>
      </c>
      <c r="T41" s="401" t="s">
        <v>157</v>
      </c>
      <c r="U41" s="388">
        <v>120</v>
      </c>
      <c r="V41" s="388">
        <v>166</v>
      </c>
      <c r="W41" s="388">
        <f>U41+V41</f>
        <v>286</v>
      </c>
      <c r="X41" s="388">
        <v>271</v>
      </c>
      <c r="Y41" s="389">
        <v>2020003630057</v>
      </c>
      <c r="Z41" s="397" t="s">
        <v>248</v>
      </c>
      <c r="AA41" s="547" t="s">
        <v>249</v>
      </c>
      <c r="AB41" s="185">
        <f>250000000+80000000</f>
        <v>330000000</v>
      </c>
      <c r="AC41" s="185">
        <v>330000000</v>
      </c>
      <c r="AD41" s="185">
        <v>330000000</v>
      </c>
      <c r="AE41" s="185"/>
      <c r="AF41" s="185"/>
      <c r="AG41" s="185"/>
      <c r="AH41" s="185"/>
      <c r="AI41" s="185"/>
      <c r="AJ41" s="185"/>
      <c r="AK41" s="185"/>
      <c r="AL41" s="185"/>
      <c r="AM41" s="185"/>
      <c r="AN41" s="185"/>
      <c r="AO41" s="185"/>
      <c r="AP41" s="185"/>
      <c r="AQ41" s="185"/>
      <c r="AR41" s="185"/>
      <c r="AS41" s="185"/>
      <c r="AT41" s="189">
        <v>20000000</v>
      </c>
      <c r="AU41" s="189">
        <v>20000000</v>
      </c>
      <c r="AV41" s="189">
        <v>20000000</v>
      </c>
      <c r="AW41" s="190"/>
      <c r="AX41" s="190"/>
      <c r="AY41" s="190"/>
      <c r="AZ41" s="190"/>
      <c r="BA41" s="190"/>
      <c r="BB41" s="190"/>
      <c r="BC41" s="185"/>
      <c r="BD41" s="185"/>
      <c r="BE41" s="185"/>
      <c r="BF41" s="192">
        <f t="shared" si="4"/>
        <v>350000000</v>
      </c>
      <c r="BG41" s="192">
        <f t="shared" si="5"/>
        <v>350000000</v>
      </c>
      <c r="BH41" s="192">
        <f t="shared" si="6"/>
        <v>350000000</v>
      </c>
      <c r="BI41" s="393" t="s">
        <v>10</v>
      </c>
    </row>
    <row r="42" spans="1:66" s="394" customFormat="1" ht="66.75" customHeight="1">
      <c r="A42" s="423">
        <v>308</v>
      </c>
      <c r="B42" s="392" t="s">
        <v>147</v>
      </c>
      <c r="C42" s="423">
        <v>3</v>
      </c>
      <c r="D42" s="392" t="s">
        <v>212</v>
      </c>
      <c r="E42" s="423">
        <v>40</v>
      </c>
      <c r="F42" s="392" t="s">
        <v>241</v>
      </c>
      <c r="G42" s="423">
        <v>4003</v>
      </c>
      <c r="H42" s="392" t="s">
        <v>250</v>
      </c>
      <c r="I42" s="423">
        <v>4003</v>
      </c>
      <c r="J42" s="392" t="s">
        <v>251</v>
      </c>
      <c r="K42" s="188" t="s">
        <v>252</v>
      </c>
      <c r="L42" s="191" t="s">
        <v>61</v>
      </c>
      <c r="M42" s="397" t="s">
        <v>253</v>
      </c>
      <c r="N42" s="423">
        <v>4003006</v>
      </c>
      <c r="O42" s="392" t="s">
        <v>254</v>
      </c>
      <c r="P42" s="191" t="s">
        <v>61</v>
      </c>
      <c r="Q42" s="397" t="s">
        <v>255</v>
      </c>
      <c r="R42" s="423">
        <v>400300600</v>
      </c>
      <c r="S42" s="397" t="s">
        <v>256</v>
      </c>
      <c r="T42" s="401" t="s">
        <v>69</v>
      </c>
      <c r="U42" s="186" t="s">
        <v>257</v>
      </c>
      <c r="V42" s="186">
        <v>1</v>
      </c>
      <c r="W42" s="388">
        <f>V42</f>
        <v>1</v>
      </c>
      <c r="X42" s="388">
        <v>1</v>
      </c>
      <c r="Y42" s="389">
        <v>2020003630014</v>
      </c>
      <c r="Z42" s="397" t="s">
        <v>258</v>
      </c>
      <c r="AA42" s="546" t="s">
        <v>259</v>
      </c>
      <c r="AB42" s="185"/>
      <c r="AC42" s="185"/>
      <c r="AD42" s="185"/>
      <c r="AE42" s="185"/>
      <c r="AF42" s="185"/>
      <c r="AG42" s="185"/>
      <c r="AH42" s="185"/>
      <c r="AI42" s="185"/>
      <c r="AJ42" s="185"/>
      <c r="AK42" s="185"/>
      <c r="AL42" s="185"/>
      <c r="AM42" s="185"/>
      <c r="AN42" s="185"/>
      <c r="AO42" s="185"/>
      <c r="AP42" s="185"/>
      <c r="AQ42" s="185">
        <v>100000000</v>
      </c>
      <c r="AR42" s="185">
        <v>100000000</v>
      </c>
      <c r="AS42" s="185">
        <v>100000000</v>
      </c>
      <c r="AT42" s="189"/>
      <c r="AU42" s="189"/>
      <c r="AV42" s="189">
        <v>0</v>
      </c>
      <c r="AW42" s="190"/>
      <c r="AX42" s="190"/>
      <c r="AY42" s="190"/>
      <c r="AZ42" s="190"/>
      <c r="BA42" s="190"/>
      <c r="BB42" s="190"/>
      <c r="BC42" s="185"/>
      <c r="BD42" s="185"/>
      <c r="BE42" s="185"/>
      <c r="BF42" s="192">
        <f t="shared" si="4"/>
        <v>100000000</v>
      </c>
      <c r="BG42" s="192">
        <f t="shared" si="5"/>
        <v>100000000</v>
      </c>
      <c r="BH42" s="192">
        <f t="shared" si="6"/>
        <v>100000000</v>
      </c>
      <c r="BI42" s="393" t="s">
        <v>10</v>
      </c>
    </row>
    <row r="43" spans="1:66" s="394" customFormat="1" ht="66.75" customHeight="1">
      <c r="A43" s="423">
        <v>308</v>
      </c>
      <c r="B43" s="392" t="s">
        <v>147</v>
      </c>
      <c r="C43" s="423">
        <v>3</v>
      </c>
      <c r="D43" s="392" t="s">
        <v>212</v>
      </c>
      <c r="E43" s="423">
        <v>40</v>
      </c>
      <c r="F43" s="392" t="s">
        <v>241</v>
      </c>
      <c r="G43" s="423">
        <v>4003</v>
      </c>
      <c r="H43" s="392" t="s">
        <v>250</v>
      </c>
      <c r="I43" s="423">
        <v>4003</v>
      </c>
      <c r="J43" s="392" t="s">
        <v>251</v>
      </c>
      <c r="K43" s="188" t="s">
        <v>260</v>
      </c>
      <c r="L43" s="191">
        <v>4003018</v>
      </c>
      <c r="M43" s="397" t="s">
        <v>261</v>
      </c>
      <c r="N43" s="191">
        <v>4003018</v>
      </c>
      <c r="O43" s="188" t="s">
        <v>261</v>
      </c>
      <c r="P43" s="191">
        <v>400301802</v>
      </c>
      <c r="Q43" s="397" t="s">
        <v>262</v>
      </c>
      <c r="R43" s="191">
        <v>400301802</v>
      </c>
      <c r="S43" s="397" t="s">
        <v>262</v>
      </c>
      <c r="T43" s="401" t="s">
        <v>157</v>
      </c>
      <c r="U43" s="186" t="s">
        <v>257</v>
      </c>
      <c r="V43" s="186">
        <v>1</v>
      </c>
      <c r="W43" s="388">
        <f>V43</f>
        <v>1</v>
      </c>
      <c r="X43" s="388">
        <v>1</v>
      </c>
      <c r="Y43" s="389">
        <v>2020003630014</v>
      </c>
      <c r="Z43" s="397" t="s">
        <v>258</v>
      </c>
      <c r="AA43" s="546" t="s">
        <v>259</v>
      </c>
      <c r="AB43" s="185"/>
      <c r="AC43" s="185"/>
      <c r="AD43" s="185"/>
      <c r="AE43" s="185"/>
      <c r="AF43" s="185"/>
      <c r="AG43" s="185"/>
      <c r="AH43" s="185"/>
      <c r="AI43" s="185"/>
      <c r="AJ43" s="185"/>
      <c r="AK43" s="185"/>
      <c r="AL43" s="185"/>
      <c r="AM43" s="185"/>
      <c r="AN43" s="185"/>
      <c r="AO43" s="185"/>
      <c r="AP43" s="185"/>
      <c r="AQ43" s="185">
        <f>700000000+748115568</f>
        <v>1448115568</v>
      </c>
      <c r="AR43" s="185">
        <v>1448115568</v>
      </c>
      <c r="AS43" s="185">
        <v>1448115568</v>
      </c>
      <c r="AT43" s="189"/>
      <c r="AU43" s="189"/>
      <c r="AV43" s="189">
        <v>0</v>
      </c>
      <c r="AW43" s="190"/>
      <c r="AX43" s="190"/>
      <c r="AY43" s="190"/>
      <c r="AZ43" s="190"/>
      <c r="BA43" s="190"/>
      <c r="BB43" s="190"/>
      <c r="BC43" s="185"/>
      <c r="BD43" s="185"/>
      <c r="BE43" s="185"/>
      <c r="BF43" s="192">
        <f t="shared" si="4"/>
        <v>1448115568</v>
      </c>
      <c r="BG43" s="192">
        <f t="shared" si="5"/>
        <v>1448115568</v>
      </c>
      <c r="BH43" s="192">
        <f t="shared" si="6"/>
        <v>1448115568</v>
      </c>
      <c r="BI43" s="393" t="s">
        <v>10</v>
      </c>
    </row>
    <row r="44" spans="1:66" s="394" customFormat="1" ht="66.75" customHeight="1">
      <c r="A44" s="423">
        <v>308</v>
      </c>
      <c r="B44" s="392" t="s">
        <v>147</v>
      </c>
      <c r="C44" s="423">
        <v>3</v>
      </c>
      <c r="D44" s="392" t="s">
        <v>212</v>
      </c>
      <c r="E44" s="423">
        <v>40</v>
      </c>
      <c r="F44" s="392" t="s">
        <v>241</v>
      </c>
      <c r="G44" s="423">
        <v>4003</v>
      </c>
      <c r="H44" s="392" t="s">
        <v>250</v>
      </c>
      <c r="I44" s="423">
        <v>4003</v>
      </c>
      <c r="J44" s="392" t="s">
        <v>251</v>
      </c>
      <c r="K44" s="188" t="s">
        <v>252</v>
      </c>
      <c r="L44" s="191">
        <v>4003025</v>
      </c>
      <c r="M44" s="397" t="s">
        <v>263</v>
      </c>
      <c r="N44" s="191">
        <v>4003025</v>
      </c>
      <c r="O44" s="188" t="s">
        <v>263</v>
      </c>
      <c r="P44" s="186">
        <v>400302500</v>
      </c>
      <c r="Q44" s="288" t="s">
        <v>264</v>
      </c>
      <c r="R44" s="186">
        <v>400302500</v>
      </c>
      <c r="S44" s="288" t="s">
        <v>264</v>
      </c>
      <c r="T44" s="401" t="s">
        <v>157</v>
      </c>
      <c r="U44" s="186">
        <v>3</v>
      </c>
      <c r="V44" s="188"/>
      <c r="W44" s="388">
        <f t="shared" ref="W44:W52" si="7">U44+V44</f>
        <v>3</v>
      </c>
      <c r="X44" s="388">
        <v>3</v>
      </c>
      <c r="Y44" s="389">
        <v>2020003630014</v>
      </c>
      <c r="Z44" s="397" t="s">
        <v>258</v>
      </c>
      <c r="AA44" s="546" t="s">
        <v>259</v>
      </c>
      <c r="AB44" s="185">
        <f>1000000000+172154353+324265291</f>
        <v>1496419644</v>
      </c>
      <c r="AC44" s="185">
        <v>1068047284.25</v>
      </c>
      <c r="AD44" s="185">
        <v>1068047284.25</v>
      </c>
      <c r="AE44" s="185"/>
      <c r="AF44" s="185"/>
      <c r="AG44" s="185"/>
      <c r="AH44" s="185"/>
      <c r="AI44" s="185"/>
      <c r="AJ44" s="185"/>
      <c r="AK44" s="185"/>
      <c r="AL44" s="185"/>
      <c r="AM44" s="185"/>
      <c r="AN44" s="185"/>
      <c r="AO44" s="185"/>
      <c r="AP44" s="185"/>
      <c r="AQ44" s="185">
        <f>500000000+311522</f>
        <v>500311522</v>
      </c>
      <c r="AR44" s="185">
        <v>500311522</v>
      </c>
      <c r="AS44" s="185">
        <v>500311522</v>
      </c>
      <c r="AT44" s="189"/>
      <c r="AU44" s="189"/>
      <c r="AV44" s="189">
        <v>0</v>
      </c>
      <c r="AW44" s="190"/>
      <c r="AX44" s="190"/>
      <c r="AY44" s="190"/>
      <c r="AZ44" s="190"/>
      <c r="BA44" s="190"/>
      <c r="BB44" s="190"/>
      <c r="BC44" s="185"/>
      <c r="BD44" s="185"/>
      <c r="BE44" s="185"/>
      <c r="BF44" s="192">
        <f t="shared" si="4"/>
        <v>1996731166</v>
      </c>
      <c r="BG44" s="192">
        <f t="shared" si="5"/>
        <v>1568358806.25</v>
      </c>
      <c r="BH44" s="192">
        <f t="shared" si="6"/>
        <v>1568358806.25</v>
      </c>
      <c r="BI44" s="393" t="s">
        <v>10</v>
      </c>
    </row>
    <row r="45" spans="1:66" s="394" customFormat="1" ht="66.75" customHeight="1">
      <c r="A45" s="423">
        <v>308</v>
      </c>
      <c r="B45" s="392" t="s">
        <v>147</v>
      </c>
      <c r="C45" s="423">
        <v>3</v>
      </c>
      <c r="D45" s="392" t="s">
        <v>212</v>
      </c>
      <c r="E45" s="423">
        <v>40</v>
      </c>
      <c r="F45" s="392" t="s">
        <v>241</v>
      </c>
      <c r="G45" s="423">
        <v>4003</v>
      </c>
      <c r="H45" s="392" t="s">
        <v>250</v>
      </c>
      <c r="I45" s="423">
        <v>4003</v>
      </c>
      <c r="J45" s="392" t="s">
        <v>251</v>
      </c>
      <c r="K45" s="188" t="s">
        <v>252</v>
      </c>
      <c r="L45" s="191">
        <v>4003028</v>
      </c>
      <c r="M45" s="397" t="s">
        <v>265</v>
      </c>
      <c r="N45" s="191">
        <v>4003028</v>
      </c>
      <c r="O45" s="188" t="s">
        <v>265</v>
      </c>
      <c r="P45" s="191">
        <v>400302801</v>
      </c>
      <c r="Q45" s="397" t="s">
        <v>266</v>
      </c>
      <c r="R45" s="191">
        <v>400302801</v>
      </c>
      <c r="S45" s="397" t="s">
        <v>266</v>
      </c>
      <c r="T45" s="401" t="s">
        <v>69</v>
      </c>
      <c r="U45" s="186">
        <v>4</v>
      </c>
      <c r="V45" s="186"/>
      <c r="W45" s="388">
        <f t="shared" si="7"/>
        <v>4</v>
      </c>
      <c r="X45" s="388">
        <v>4</v>
      </c>
      <c r="Y45" s="389">
        <v>2020003630014</v>
      </c>
      <c r="Z45" s="397" t="s">
        <v>258</v>
      </c>
      <c r="AA45" s="546" t="s">
        <v>259</v>
      </c>
      <c r="AB45" s="185"/>
      <c r="AC45" s="185"/>
      <c r="AD45" s="185"/>
      <c r="AE45" s="185"/>
      <c r="AF45" s="185"/>
      <c r="AG45" s="185"/>
      <c r="AH45" s="185"/>
      <c r="AI45" s="185"/>
      <c r="AJ45" s="185"/>
      <c r="AK45" s="185"/>
      <c r="AL45" s="185"/>
      <c r="AM45" s="185"/>
      <c r="AN45" s="185"/>
      <c r="AO45" s="185"/>
      <c r="AP45" s="185"/>
      <c r="AQ45" s="185">
        <v>300000000</v>
      </c>
      <c r="AR45" s="185">
        <v>300000000</v>
      </c>
      <c r="AS45" s="185">
        <v>300000000</v>
      </c>
      <c r="AT45" s="189"/>
      <c r="AU45" s="189"/>
      <c r="AV45" s="189">
        <v>0</v>
      </c>
      <c r="AW45" s="190"/>
      <c r="AX45" s="190"/>
      <c r="AY45" s="190"/>
      <c r="AZ45" s="190"/>
      <c r="BA45" s="190"/>
      <c r="BB45" s="190"/>
      <c r="BC45" s="185"/>
      <c r="BD45" s="185"/>
      <c r="BE45" s="185"/>
      <c r="BF45" s="192">
        <f t="shared" si="4"/>
        <v>300000000</v>
      </c>
      <c r="BG45" s="192">
        <f t="shared" si="5"/>
        <v>300000000</v>
      </c>
      <c r="BH45" s="192">
        <f t="shared" si="6"/>
        <v>300000000</v>
      </c>
      <c r="BI45" s="393" t="s">
        <v>10</v>
      </c>
    </row>
    <row r="46" spans="1:66" s="394" customFormat="1" ht="66.75" customHeight="1">
      <c r="A46" s="423">
        <v>308</v>
      </c>
      <c r="B46" s="392" t="s">
        <v>147</v>
      </c>
      <c r="C46" s="423">
        <v>3</v>
      </c>
      <c r="D46" s="392" t="s">
        <v>212</v>
      </c>
      <c r="E46" s="423">
        <v>40</v>
      </c>
      <c r="F46" s="392" t="s">
        <v>241</v>
      </c>
      <c r="G46" s="423">
        <v>4003</v>
      </c>
      <c r="H46" s="392" t="s">
        <v>250</v>
      </c>
      <c r="I46" s="423">
        <v>4003</v>
      </c>
      <c r="J46" s="392" t="s">
        <v>251</v>
      </c>
      <c r="K46" s="188" t="s">
        <v>252</v>
      </c>
      <c r="L46" s="191">
        <v>4003042</v>
      </c>
      <c r="M46" s="397" t="s">
        <v>267</v>
      </c>
      <c r="N46" s="191">
        <v>4003042</v>
      </c>
      <c r="O46" s="188" t="s">
        <v>267</v>
      </c>
      <c r="P46" s="191">
        <v>400304200</v>
      </c>
      <c r="Q46" s="397" t="s">
        <v>268</v>
      </c>
      <c r="R46" s="191">
        <v>400304200</v>
      </c>
      <c r="S46" s="291" t="s">
        <v>268</v>
      </c>
      <c r="T46" s="401" t="s">
        <v>157</v>
      </c>
      <c r="U46" s="186">
        <v>2</v>
      </c>
      <c r="V46" s="186"/>
      <c r="W46" s="388">
        <f t="shared" si="7"/>
        <v>2</v>
      </c>
      <c r="X46" s="388">
        <v>2</v>
      </c>
      <c r="Y46" s="389">
        <v>2020003630014</v>
      </c>
      <c r="Z46" s="397" t="s">
        <v>258</v>
      </c>
      <c r="AA46" s="546" t="s">
        <v>259</v>
      </c>
      <c r="AB46" s="185"/>
      <c r="AC46" s="185"/>
      <c r="AD46" s="185"/>
      <c r="AE46" s="185"/>
      <c r="AF46" s="185"/>
      <c r="AG46" s="185"/>
      <c r="AH46" s="185"/>
      <c r="AI46" s="185"/>
      <c r="AJ46" s="185"/>
      <c r="AK46" s="185"/>
      <c r="AL46" s="185"/>
      <c r="AM46" s="185"/>
      <c r="AN46" s="185"/>
      <c r="AO46" s="185"/>
      <c r="AP46" s="185"/>
      <c r="AQ46" s="185">
        <v>200000000</v>
      </c>
      <c r="AR46" s="185">
        <v>200000000</v>
      </c>
      <c r="AS46" s="185">
        <v>200000000</v>
      </c>
      <c r="AT46" s="189"/>
      <c r="AU46" s="189"/>
      <c r="AV46" s="189">
        <v>0</v>
      </c>
      <c r="AW46" s="190"/>
      <c r="AX46" s="190"/>
      <c r="AY46" s="190"/>
      <c r="AZ46" s="190"/>
      <c r="BA46" s="190"/>
      <c r="BB46" s="190"/>
      <c r="BC46" s="185"/>
      <c r="BD46" s="185"/>
      <c r="BE46" s="185"/>
      <c r="BF46" s="192">
        <f t="shared" si="4"/>
        <v>200000000</v>
      </c>
      <c r="BG46" s="192">
        <f t="shared" si="5"/>
        <v>200000000</v>
      </c>
      <c r="BH46" s="192">
        <f t="shared" si="6"/>
        <v>200000000</v>
      </c>
      <c r="BI46" s="393" t="s">
        <v>10</v>
      </c>
    </row>
    <row r="47" spans="1:66" s="394" customFormat="1" ht="66.75" customHeight="1">
      <c r="A47" s="423">
        <v>308</v>
      </c>
      <c r="B47" s="392" t="s">
        <v>147</v>
      </c>
      <c r="C47" s="423">
        <v>3</v>
      </c>
      <c r="D47" s="392" t="s">
        <v>212</v>
      </c>
      <c r="E47" s="423">
        <v>40</v>
      </c>
      <c r="F47" s="392" t="s">
        <v>241</v>
      </c>
      <c r="G47" s="423">
        <v>4003</v>
      </c>
      <c r="H47" s="392" t="s">
        <v>250</v>
      </c>
      <c r="I47" s="423">
        <v>4003</v>
      </c>
      <c r="J47" s="392" t="s">
        <v>251</v>
      </c>
      <c r="K47" s="188" t="s">
        <v>252</v>
      </c>
      <c r="L47" s="191" t="s">
        <v>269</v>
      </c>
      <c r="M47" s="397" t="s">
        <v>270</v>
      </c>
      <c r="N47" s="191" t="s">
        <v>269</v>
      </c>
      <c r="O47" s="188" t="s">
        <v>270</v>
      </c>
      <c r="P47" s="186">
        <v>400302600</v>
      </c>
      <c r="Q47" s="288" t="s">
        <v>271</v>
      </c>
      <c r="R47" s="186">
        <v>400302600</v>
      </c>
      <c r="S47" s="288" t="s">
        <v>271</v>
      </c>
      <c r="T47" s="401" t="s">
        <v>157</v>
      </c>
      <c r="U47" s="186">
        <v>0.4</v>
      </c>
      <c r="V47" s="186">
        <v>1.1000000000000001</v>
      </c>
      <c r="W47" s="388">
        <f t="shared" si="7"/>
        <v>1.5</v>
      </c>
      <c r="X47" s="388">
        <v>1.5</v>
      </c>
      <c r="Y47" s="389">
        <v>2020003630014</v>
      </c>
      <c r="Z47" s="397" t="s">
        <v>258</v>
      </c>
      <c r="AA47" s="546" t="s">
        <v>272</v>
      </c>
      <c r="AB47" s="185"/>
      <c r="AC47" s="185"/>
      <c r="AD47" s="185"/>
      <c r="AE47" s="185"/>
      <c r="AF47" s="185"/>
      <c r="AG47" s="185"/>
      <c r="AH47" s="185"/>
      <c r="AI47" s="185"/>
      <c r="AJ47" s="185"/>
      <c r="AK47" s="185"/>
      <c r="AL47" s="185"/>
      <c r="AM47" s="185"/>
      <c r="AN47" s="185"/>
      <c r="AO47" s="185"/>
      <c r="AP47" s="185"/>
      <c r="AQ47" s="185">
        <f>1152931316+19052645.84</f>
        <v>1171983961.8399999</v>
      </c>
      <c r="AR47" s="185">
        <v>1152931316</v>
      </c>
      <c r="AS47" s="185">
        <v>1152931316</v>
      </c>
      <c r="AT47" s="189"/>
      <c r="AU47" s="189"/>
      <c r="AV47" s="189">
        <v>0</v>
      </c>
      <c r="AW47" s="190"/>
      <c r="AX47" s="190"/>
      <c r="AY47" s="190"/>
      <c r="AZ47" s="190"/>
      <c r="BA47" s="190"/>
      <c r="BB47" s="190"/>
      <c r="BC47" s="185"/>
      <c r="BD47" s="185"/>
      <c r="BE47" s="185"/>
      <c r="BF47" s="192">
        <f t="shared" si="4"/>
        <v>1171983961.8399999</v>
      </c>
      <c r="BG47" s="192">
        <f t="shared" si="5"/>
        <v>1152931316</v>
      </c>
      <c r="BH47" s="192">
        <f t="shared" si="6"/>
        <v>1152931316</v>
      </c>
      <c r="BI47" s="393" t="s">
        <v>10</v>
      </c>
    </row>
    <row r="48" spans="1:66" s="394" customFormat="1" ht="66.75" customHeight="1">
      <c r="A48" s="423">
        <v>308</v>
      </c>
      <c r="B48" s="392" t="s">
        <v>147</v>
      </c>
      <c r="C48" s="423">
        <v>4</v>
      </c>
      <c r="D48" s="392" t="s">
        <v>59</v>
      </c>
      <c r="E48" s="423">
        <v>45</v>
      </c>
      <c r="F48" s="392" t="s">
        <v>60</v>
      </c>
      <c r="G48" s="423" t="s">
        <v>61</v>
      </c>
      <c r="H48" s="392" t="s">
        <v>62</v>
      </c>
      <c r="I48" s="423">
        <v>4599</v>
      </c>
      <c r="J48" s="392" t="s">
        <v>63</v>
      </c>
      <c r="K48" s="392" t="s">
        <v>64</v>
      </c>
      <c r="L48" s="423" t="s">
        <v>61</v>
      </c>
      <c r="M48" s="397" t="s">
        <v>273</v>
      </c>
      <c r="N48" s="191" t="s">
        <v>274</v>
      </c>
      <c r="O48" s="392" t="s">
        <v>167</v>
      </c>
      <c r="P48" s="423" t="s">
        <v>61</v>
      </c>
      <c r="Q48" s="397" t="s">
        <v>275</v>
      </c>
      <c r="R48" s="191">
        <v>459901600</v>
      </c>
      <c r="S48" s="393" t="s">
        <v>167</v>
      </c>
      <c r="T48" s="401" t="s">
        <v>69</v>
      </c>
      <c r="U48" s="388">
        <v>4</v>
      </c>
      <c r="V48" s="388"/>
      <c r="W48" s="388">
        <f t="shared" si="7"/>
        <v>4</v>
      </c>
      <c r="X48" s="388">
        <v>5</v>
      </c>
      <c r="Y48" s="287">
        <v>2021003630003</v>
      </c>
      <c r="Z48" s="397" t="s">
        <v>276</v>
      </c>
      <c r="AA48" s="550" t="s">
        <v>277</v>
      </c>
      <c r="AB48" s="192"/>
      <c r="AC48" s="192"/>
      <c r="AD48" s="192"/>
      <c r="AE48" s="185"/>
      <c r="AF48" s="185"/>
      <c r="AG48" s="185"/>
      <c r="AH48" s="185"/>
      <c r="AI48" s="185"/>
      <c r="AJ48" s="185"/>
      <c r="AK48" s="185"/>
      <c r="AL48" s="185"/>
      <c r="AM48" s="185"/>
      <c r="AN48" s="185"/>
      <c r="AO48" s="185"/>
      <c r="AP48" s="185"/>
      <c r="AQ48" s="185"/>
      <c r="AR48" s="185"/>
      <c r="AS48" s="185"/>
      <c r="AT48" s="189">
        <f>50000000+263000000+250000000+10000000</f>
        <v>573000000</v>
      </c>
      <c r="AU48" s="189">
        <v>313487078</v>
      </c>
      <c r="AV48" s="189">
        <v>262759995.80000001</v>
      </c>
      <c r="AW48" s="185"/>
      <c r="AX48" s="185"/>
      <c r="AY48" s="185"/>
      <c r="AZ48" s="185"/>
      <c r="BA48" s="185"/>
      <c r="BB48" s="185"/>
      <c r="BC48" s="185"/>
      <c r="BD48" s="185"/>
      <c r="BE48" s="185"/>
      <c r="BF48" s="192">
        <f t="shared" si="4"/>
        <v>573000000</v>
      </c>
      <c r="BG48" s="192">
        <f t="shared" si="5"/>
        <v>313487078</v>
      </c>
      <c r="BH48" s="192">
        <f t="shared" si="6"/>
        <v>262759995.80000001</v>
      </c>
      <c r="BI48" s="393" t="s">
        <v>10</v>
      </c>
    </row>
    <row r="49" spans="1:61" s="394" customFormat="1" ht="66.75" customHeight="1">
      <c r="A49" s="389">
        <v>308</v>
      </c>
      <c r="B49" s="393" t="s">
        <v>147</v>
      </c>
      <c r="C49" s="423">
        <v>4</v>
      </c>
      <c r="D49" s="393" t="s">
        <v>59</v>
      </c>
      <c r="E49" s="389">
        <v>45</v>
      </c>
      <c r="F49" s="393" t="s">
        <v>60</v>
      </c>
      <c r="G49" s="401" t="s">
        <v>61</v>
      </c>
      <c r="H49" s="393" t="s">
        <v>62</v>
      </c>
      <c r="I49" s="389">
        <v>4599</v>
      </c>
      <c r="J49" s="393" t="s">
        <v>63</v>
      </c>
      <c r="K49" s="393" t="s">
        <v>64</v>
      </c>
      <c r="L49" s="401" t="s">
        <v>61</v>
      </c>
      <c r="M49" s="397" t="s">
        <v>273</v>
      </c>
      <c r="N49" s="191" t="s">
        <v>274</v>
      </c>
      <c r="O49" s="393" t="s">
        <v>167</v>
      </c>
      <c r="P49" s="401" t="s">
        <v>61</v>
      </c>
      <c r="Q49" s="397" t="s">
        <v>275</v>
      </c>
      <c r="R49" s="191">
        <v>459901600</v>
      </c>
      <c r="S49" s="393" t="s">
        <v>167</v>
      </c>
      <c r="T49" s="401" t="s">
        <v>69</v>
      </c>
      <c r="U49" s="461">
        <v>1</v>
      </c>
      <c r="V49" s="460"/>
      <c r="W49" s="388">
        <f t="shared" si="7"/>
        <v>1</v>
      </c>
      <c r="X49" s="184">
        <v>1</v>
      </c>
      <c r="Y49" s="287">
        <v>2022003630008</v>
      </c>
      <c r="Z49" s="403" t="s">
        <v>1445</v>
      </c>
      <c r="AA49" s="550" t="s">
        <v>1446</v>
      </c>
      <c r="AB49" s="192"/>
      <c r="AC49" s="192"/>
      <c r="AD49" s="192"/>
      <c r="AE49" s="185"/>
      <c r="AF49" s="185"/>
      <c r="AG49" s="185"/>
      <c r="AH49" s="185"/>
      <c r="AI49" s="185"/>
      <c r="AJ49" s="185"/>
      <c r="AK49" s="185"/>
      <c r="AL49" s="185"/>
      <c r="AM49" s="185"/>
      <c r="AN49" s="185"/>
      <c r="AO49" s="185"/>
      <c r="AP49" s="185"/>
      <c r="AQ49" s="185"/>
      <c r="AR49" s="185"/>
      <c r="AS49" s="185"/>
      <c r="AT49" s="189"/>
      <c r="AU49" s="189"/>
      <c r="AV49" s="189">
        <v>0</v>
      </c>
      <c r="AW49" s="189"/>
      <c r="AX49" s="189"/>
      <c r="AY49" s="189"/>
      <c r="AZ49" s="189">
        <v>499979386</v>
      </c>
      <c r="BA49" s="189">
        <v>458696637</v>
      </c>
      <c r="BB49" s="189">
        <v>458696637</v>
      </c>
      <c r="BC49" s="400"/>
      <c r="BD49" s="400"/>
      <c r="BE49" s="400"/>
      <c r="BF49" s="192">
        <f t="shared" si="4"/>
        <v>499979386</v>
      </c>
      <c r="BG49" s="192">
        <f t="shared" si="5"/>
        <v>458696637</v>
      </c>
      <c r="BH49" s="192">
        <f t="shared" si="6"/>
        <v>458696637</v>
      </c>
      <c r="BI49" s="393" t="s">
        <v>10</v>
      </c>
    </row>
    <row r="50" spans="1:61" s="394" customFormat="1" ht="66.75" customHeight="1">
      <c r="A50" s="423">
        <v>308</v>
      </c>
      <c r="B50" s="392" t="s">
        <v>147</v>
      </c>
      <c r="C50" s="423">
        <v>4</v>
      </c>
      <c r="D50" s="392" t="s">
        <v>59</v>
      </c>
      <c r="E50" s="423">
        <v>45</v>
      </c>
      <c r="F50" s="392" t="s">
        <v>60</v>
      </c>
      <c r="G50" s="423">
        <v>4502</v>
      </c>
      <c r="H50" s="392" t="s">
        <v>78</v>
      </c>
      <c r="I50" s="423">
        <v>4502</v>
      </c>
      <c r="J50" s="392" t="s">
        <v>79</v>
      </c>
      <c r="K50" s="392" t="s">
        <v>88</v>
      </c>
      <c r="L50" s="191">
        <v>4502003</v>
      </c>
      <c r="M50" s="397" t="s">
        <v>278</v>
      </c>
      <c r="N50" s="191">
        <v>4502003</v>
      </c>
      <c r="O50" s="188" t="s">
        <v>279</v>
      </c>
      <c r="P50" s="191">
        <v>450200300</v>
      </c>
      <c r="Q50" s="397" t="s">
        <v>278</v>
      </c>
      <c r="R50" s="191">
        <v>450200300</v>
      </c>
      <c r="S50" s="397" t="s">
        <v>278</v>
      </c>
      <c r="T50" s="401" t="s">
        <v>157</v>
      </c>
      <c r="U50" s="388">
        <v>2</v>
      </c>
      <c r="V50" s="388"/>
      <c r="W50" s="388">
        <f t="shared" si="7"/>
        <v>2</v>
      </c>
      <c r="X50" s="388">
        <v>7</v>
      </c>
      <c r="Y50" s="287">
        <v>2021003630006</v>
      </c>
      <c r="Z50" s="397" t="s">
        <v>280</v>
      </c>
      <c r="AA50" s="550" t="s">
        <v>281</v>
      </c>
      <c r="AB50" s="192"/>
      <c r="AC50" s="192"/>
      <c r="AD50" s="192"/>
      <c r="AE50" s="185"/>
      <c r="AF50" s="185"/>
      <c r="AG50" s="185"/>
      <c r="AH50" s="185"/>
      <c r="AI50" s="185"/>
      <c r="AJ50" s="185"/>
      <c r="AK50" s="185"/>
      <c r="AL50" s="185"/>
      <c r="AM50" s="185"/>
      <c r="AN50" s="185"/>
      <c r="AO50" s="185"/>
      <c r="AP50" s="185"/>
      <c r="AQ50" s="185"/>
      <c r="AR50" s="185"/>
      <c r="AS50" s="185"/>
      <c r="AT50" s="189">
        <f>40000000+10000000</f>
        <v>50000000</v>
      </c>
      <c r="AU50" s="189">
        <v>47900000</v>
      </c>
      <c r="AV50" s="189">
        <v>47900000</v>
      </c>
      <c r="AW50" s="185">
        <v>74640634</v>
      </c>
      <c r="AX50" s="185">
        <v>67818203</v>
      </c>
      <c r="AY50" s="185">
        <v>64427293</v>
      </c>
      <c r="AZ50" s="185"/>
      <c r="BA50" s="185"/>
      <c r="BB50" s="185"/>
      <c r="BC50" s="185"/>
      <c r="BD50" s="185"/>
      <c r="BE50" s="185"/>
      <c r="BF50" s="192">
        <f t="shared" si="4"/>
        <v>124640634</v>
      </c>
      <c r="BG50" s="192">
        <f t="shared" si="5"/>
        <v>115718203</v>
      </c>
      <c r="BH50" s="192">
        <f t="shared" si="6"/>
        <v>112327293</v>
      </c>
      <c r="BI50" s="393" t="s">
        <v>10</v>
      </c>
    </row>
    <row r="51" spans="1:61" s="394" customFormat="1" ht="66.75" customHeight="1">
      <c r="A51" s="423">
        <v>308</v>
      </c>
      <c r="B51" s="392" t="s">
        <v>147</v>
      </c>
      <c r="C51" s="423">
        <v>1</v>
      </c>
      <c r="D51" s="392" t="s">
        <v>148</v>
      </c>
      <c r="E51" s="423">
        <v>19</v>
      </c>
      <c r="F51" s="392" t="s">
        <v>756</v>
      </c>
      <c r="G51" s="423" t="s">
        <v>61</v>
      </c>
      <c r="H51" s="392" t="s">
        <v>62</v>
      </c>
      <c r="I51" s="423">
        <v>1903</v>
      </c>
      <c r="J51" s="393" t="s">
        <v>935</v>
      </c>
      <c r="K51" s="393" t="s">
        <v>1450</v>
      </c>
      <c r="L51" s="191" t="s">
        <v>61</v>
      </c>
      <c r="M51" s="397" t="s">
        <v>273</v>
      </c>
      <c r="N51" s="191">
        <v>1903043</v>
      </c>
      <c r="O51" s="188" t="s">
        <v>1447</v>
      </c>
      <c r="P51" s="423" t="s">
        <v>61</v>
      </c>
      <c r="Q51" s="397" t="s">
        <v>275</v>
      </c>
      <c r="R51" s="191">
        <v>190304300</v>
      </c>
      <c r="S51" s="397" t="s">
        <v>1451</v>
      </c>
      <c r="T51" s="401" t="s">
        <v>1452</v>
      </c>
      <c r="U51" s="455">
        <v>1</v>
      </c>
      <c r="V51" s="455"/>
      <c r="W51" s="184">
        <f t="shared" si="7"/>
        <v>1</v>
      </c>
      <c r="X51" s="184">
        <v>0</v>
      </c>
      <c r="Y51" s="287">
        <v>2022000040007</v>
      </c>
      <c r="Z51" s="403" t="s">
        <v>1448</v>
      </c>
      <c r="AA51" s="550" t="s">
        <v>1449</v>
      </c>
      <c r="AB51" s="192"/>
      <c r="AC51" s="192"/>
      <c r="AD51" s="192"/>
      <c r="AE51" s="185"/>
      <c r="AF51" s="185"/>
      <c r="AG51" s="185"/>
      <c r="AH51" s="185"/>
      <c r="AI51" s="185"/>
      <c r="AJ51" s="185"/>
      <c r="AK51" s="185"/>
      <c r="AL51" s="185"/>
      <c r="AM51" s="185"/>
      <c r="AN51" s="185"/>
      <c r="AO51" s="185"/>
      <c r="AP51" s="185"/>
      <c r="AQ51" s="185"/>
      <c r="AR51" s="185"/>
      <c r="AS51" s="185"/>
      <c r="AT51" s="189"/>
      <c r="AU51" s="189"/>
      <c r="AV51" s="189">
        <v>0</v>
      </c>
      <c r="AW51" s="404"/>
      <c r="AX51" s="404"/>
      <c r="AY51" s="404"/>
      <c r="AZ51" s="194">
        <f>6000000000-6000000000</f>
        <v>0</v>
      </c>
      <c r="BA51" s="194"/>
      <c r="BB51" s="194"/>
      <c r="BC51" s="185">
        <f>15612200000-15612200000</f>
        <v>0</v>
      </c>
      <c r="BD51" s="185"/>
      <c r="BE51" s="185"/>
      <c r="BF51" s="192">
        <f t="shared" si="4"/>
        <v>0</v>
      </c>
      <c r="BG51" s="192">
        <f t="shared" si="5"/>
        <v>0</v>
      </c>
      <c r="BH51" s="192">
        <f t="shared" si="6"/>
        <v>0</v>
      </c>
      <c r="BI51" s="393" t="s">
        <v>10</v>
      </c>
    </row>
    <row r="52" spans="1:61" s="394" customFormat="1" ht="66.75" customHeight="1">
      <c r="A52" s="423">
        <v>308</v>
      </c>
      <c r="B52" s="392" t="s">
        <v>147</v>
      </c>
      <c r="C52" s="423">
        <v>1</v>
      </c>
      <c r="D52" s="392" t="s">
        <v>148</v>
      </c>
      <c r="E52" s="423">
        <v>19</v>
      </c>
      <c r="F52" s="392" t="s">
        <v>756</v>
      </c>
      <c r="G52" s="423" t="s">
        <v>61</v>
      </c>
      <c r="H52" s="392" t="s">
        <v>62</v>
      </c>
      <c r="I52" s="423">
        <v>1903</v>
      </c>
      <c r="J52" s="393" t="s">
        <v>935</v>
      </c>
      <c r="K52" s="393" t="s">
        <v>1450</v>
      </c>
      <c r="L52" s="191" t="s">
        <v>61</v>
      </c>
      <c r="M52" s="397" t="s">
        <v>273</v>
      </c>
      <c r="N52" s="191">
        <v>1903043</v>
      </c>
      <c r="O52" s="188" t="s">
        <v>1447</v>
      </c>
      <c r="P52" s="423" t="s">
        <v>61</v>
      </c>
      <c r="Q52" s="397" t="s">
        <v>275</v>
      </c>
      <c r="R52" s="191">
        <v>190304300</v>
      </c>
      <c r="S52" s="397" t="s">
        <v>1451</v>
      </c>
      <c r="T52" s="401" t="s">
        <v>1452</v>
      </c>
      <c r="U52" s="455">
        <v>1</v>
      </c>
      <c r="V52" s="455"/>
      <c r="W52" s="184">
        <f t="shared" si="7"/>
        <v>1</v>
      </c>
      <c r="X52" s="184">
        <v>0</v>
      </c>
      <c r="Y52" s="287">
        <v>2023003630002</v>
      </c>
      <c r="Z52" s="403" t="s">
        <v>1448</v>
      </c>
      <c r="AA52" s="550" t="s">
        <v>1449</v>
      </c>
      <c r="AB52" s="192"/>
      <c r="AC52" s="192"/>
      <c r="AD52" s="192"/>
      <c r="AE52" s="185"/>
      <c r="AF52" s="185"/>
      <c r="AG52" s="185"/>
      <c r="AH52" s="185"/>
      <c r="AI52" s="185"/>
      <c r="AJ52" s="185"/>
      <c r="AK52" s="185"/>
      <c r="AL52" s="185"/>
      <c r="AM52" s="185"/>
      <c r="AN52" s="185"/>
      <c r="AO52" s="185"/>
      <c r="AP52" s="185"/>
      <c r="AQ52" s="185"/>
      <c r="AR52" s="185"/>
      <c r="AS52" s="185"/>
      <c r="AT52" s="189"/>
      <c r="AU52" s="189"/>
      <c r="AV52" s="189">
        <v>0</v>
      </c>
      <c r="AW52" s="404"/>
      <c r="AX52" s="404"/>
      <c r="AY52" s="404"/>
      <c r="AZ52" s="194">
        <v>6000000000</v>
      </c>
      <c r="BA52" s="194">
        <v>473399260</v>
      </c>
      <c r="BB52" s="194">
        <v>0</v>
      </c>
      <c r="BC52" s="185">
        <f>15612200000</f>
        <v>15612200000</v>
      </c>
      <c r="BD52" s="185">
        <v>15612200000</v>
      </c>
      <c r="BE52" s="185">
        <v>0</v>
      </c>
      <c r="BF52" s="192">
        <f t="shared" si="4"/>
        <v>21612200000</v>
      </c>
      <c r="BG52" s="192">
        <f t="shared" si="5"/>
        <v>16085599260</v>
      </c>
      <c r="BH52" s="192">
        <f t="shared" si="6"/>
        <v>0</v>
      </c>
      <c r="BI52" s="393" t="s">
        <v>10</v>
      </c>
    </row>
    <row r="53" spans="1:61" s="394" customFormat="1" ht="66.75" customHeight="1">
      <c r="A53" s="423">
        <v>308</v>
      </c>
      <c r="B53" s="393" t="s">
        <v>147</v>
      </c>
      <c r="C53" s="423">
        <v>3</v>
      </c>
      <c r="D53" s="393" t="s">
        <v>212</v>
      </c>
      <c r="E53" s="423">
        <v>24</v>
      </c>
      <c r="F53" s="393" t="s">
        <v>213</v>
      </c>
      <c r="G53" s="423">
        <v>2402</v>
      </c>
      <c r="H53" s="393" t="s">
        <v>214</v>
      </c>
      <c r="I53" s="423">
        <v>2402</v>
      </c>
      <c r="J53" s="393" t="s">
        <v>215</v>
      </c>
      <c r="K53" s="188" t="s">
        <v>216</v>
      </c>
      <c r="L53" s="401" t="s">
        <v>61</v>
      </c>
      <c r="M53" s="397" t="s">
        <v>1431</v>
      </c>
      <c r="N53" s="423">
        <v>2402118</v>
      </c>
      <c r="O53" s="393" t="s">
        <v>1432</v>
      </c>
      <c r="P53" s="401" t="s">
        <v>61</v>
      </c>
      <c r="Q53" s="397" t="s">
        <v>1433</v>
      </c>
      <c r="R53" s="423">
        <v>240211800</v>
      </c>
      <c r="S53" s="397" t="s">
        <v>1434</v>
      </c>
      <c r="T53" s="401" t="s">
        <v>157</v>
      </c>
      <c r="U53" s="388" t="s">
        <v>257</v>
      </c>
      <c r="V53" s="455">
        <v>1</v>
      </c>
      <c r="W53" s="184">
        <f>SUM(U53:V53)</f>
        <v>1</v>
      </c>
      <c r="X53" s="184">
        <v>0</v>
      </c>
      <c r="Y53" s="287">
        <v>2022003630009</v>
      </c>
      <c r="Z53" s="405" t="s">
        <v>1510</v>
      </c>
      <c r="AA53" s="550" t="s">
        <v>1511</v>
      </c>
      <c r="AB53" s="192"/>
      <c r="AC53" s="192"/>
      <c r="AD53" s="192"/>
      <c r="AE53" s="185"/>
      <c r="AF53" s="185"/>
      <c r="AG53" s="185"/>
      <c r="AH53" s="185"/>
      <c r="AI53" s="185"/>
      <c r="AJ53" s="185"/>
      <c r="AK53" s="185"/>
      <c r="AL53" s="185"/>
      <c r="AM53" s="185"/>
      <c r="AN53" s="185"/>
      <c r="AO53" s="185"/>
      <c r="AP53" s="185"/>
      <c r="AQ53" s="185"/>
      <c r="AR53" s="185"/>
      <c r="AS53" s="185"/>
      <c r="AT53" s="189"/>
      <c r="AU53" s="189"/>
      <c r="AV53" s="189">
        <v>0</v>
      </c>
      <c r="AW53" s="194">
        <v>290000000</v>
      </c>
      <c r="AX53" s="194">
        <v>287944845</v>
      </c>
      <c r="AY53" s="194">
        <v>287944845</v>
      </c>
      <c r="AZ53" s="194"/>
      <c r="BA53" s="194"/>
      <c r="BB53" s="194"/>
      <c r="BC53" s="185"/>
      <c r="BD53" s="185"/>
      <c r="BE53" s="185"/>
      <c r="BF53" s="192">
        <f t="shared" si="4"/>
        <v>290000000</v>
      </c>
      <c r="BG53" s="192">
        <f t="shared" si="5"/>
        <v>287944845</v>
      </c>
      <c r="BH53" s="192">
        <v>0</v>
      </c>
      <c r="BI53" s="393" t="s">
        <v>10</v>
      </c>
    </row>
    <row r="54" spans="1:61" s="394" customFormat="1" ht="66.75" customHeight="1">
      <c r="A54" s="423">
        <v>308</v>
      </c>
      <c r="B54" s="462" t="s">
        <v>147</v>
      </c>
      <c r="C54" s="423">
        <v>2</v>
      </c>
      <c r="D54" s="392" t="s">
        <v>200</v>
      </c>
      <c r="E54" s="423">
        <v>35</v>
      </c>
      <c r="F54" s="393" t="s">
        <v>418</v>
      </c>
      <c r="G54" s="423">
        <v>3502</v>
      </c>
      <c r="H54" s="393" t="s">
        <v>419</v>
      </c>
      <c r="I54" s="423">
        <v>3502</v>
      </c>
      <c r="J54" s="393" t="s">
        <v>420</v>
      </c>
      <c r="K54" s="188" t="s">
        <v>1514</v>
      </c>
      <c r="L54" s="423">
        <v>3502039</v>
      </c>
      <c r="M54" s="397" t="s">
        <v>436</v>
      </c>
      <c r="N54" s="423">
        <v>3502039</v>
      </c>
      <c r="O54" s="393" t="s">
        <v>436</v>
      </c>
      <c r="P54" s="191">
        <v>350203910</v>
      </c>
      <c r="Q54" s="397" t="s">
        <v>440</v>
      </c>
      <c r="R54" s="423">
        <v>350203910</v>
      </c>
      <c r="S54" s="397" t="s">
        <v>440</v>
      </c>
      <c r="T54" s="401" t="s">
        <v>157</v>
      </c>
      <c r="U54" s="388">
        <v>2</v>
      </c>
      <c r="V54" s="455">
        <v>1</v>
      </c>
      <c r="W54" s="388">
        <f t="shared" ref="W54:W85" si="8">U54+V54</f>
        <v>3</v>
      </c>
      <c r="X54" s="388">
        <v>0.2</v>
      </c>
      <c r="Y54" s="287">
        <v>2023003630004</v>
      </c>
      <c r="Z54" s="405" t="s">
        <v>1515</v>
      </c>
      <c r="AA54" s="550" t="s">
        <v>1516</v>
      </c>
      <c r="AB54" s="192"/>
      <c r="AC54" s="192"/>
      <c r="AD54" s="192"/>
      <c r="AE54" s="185"/>
      <c r="AF54" s="185"/>
      <c r="AG54" s="185"/>
      <c r="AH54" s="185"/>
      <c r="AI54" s="185"/>
      <c r="AJ54" s="185"/>
      <c r="AK54" s="185"/>
      <c r="AL54" s="185"/>
      <c r="AM54" s="185"/>
      <c r="AN54" s="185"/>
      <c r="AO54" s="185"/>
      <c r="AP54" s="185"/>
      <c r="AQ54" s="185"/>
      <c r="AR54" s="185"/>
      <c r="AS54" s="185"/>
      <c r="AT54" s="189">
        <v>400000000</v>
      </c>
      <c r="AU54" s="189">
        <v>400000000</v>
      </c>
      <c r="AV54" s="189">
        <v>400000000</v>
      </c>
      <c r="AW54" s="194"/>
      <c r="AX54" s="194"/>
      <c r="AY54" s="194"/>
      <c r="AZ54" s="194"/>
      <c r="BA54" s="194"/>
      <c r="BB54" s="194"/>
      <c r="BC54" s="185"/>
      <c r="BD54" s="185"/>
      <c r="BE54" s="185"/>
      <c r="BF54" s="192">
        <f t="shared" si="4"/>
        <v>400000000</v>
      </c>
      <c r="BG54" s="192">
        <f t="shared" si="5"/>
        <v>400000000</v>
      </c>
      <c r="BH54" s="192">
        <f t="shared" si="6"/>
        <v>400000000</v>
      </c>
      <c r="BI54" s="393" t="s">
        <v>10</v>
      </c>
    </row>
    <row r="55" spans="1:61" s="396" customFormat="1" ht="66.75" customHeight="1">
      <c r="A55" s="423">
        <v>309</v>
      </c>
      <c r="B55" s="392" t="s">
        <v>282</v>
      </c>
      <c r="C55" s="423">
        <v>1</v>
      </c>
      <c r="D55" s="392" t="s">
        <v>148</v>
      </c>
      <c r="E55" s="423">
        <v>12</v>
      </c>
      <c r="F55" s="392" t="s">
        <v>149</v>
      </c>
      <c r="G55" s="423">
        <v>1202</v>
      </c>
      <c r="H55" s="392" t="s">
        <v>150</v>
      </c>
      <c r="I55" s="423">
        <v>1202</v>
      </c>
      <c r="J55" s="392" t="s">
        <v>151</v>
      </c>
      <c r="K55" s="392" t="s">
        <v>152</v>
      </c>
      <c r="L55" s="423">
        <v>1202004</v>
      </c>
      <c r="M55" s="397" t="s">
        <v>283</v>
      </c>
      <c r="N55" s="423">
        <v>1202004</v>
      </c>
      <c r="O55" s="392" t="s">
        <v>283</v>
      </c>
      <c r="P55" s="191">
        <v>120200400</v>
      </c>
      <c r="Q55" s="397" t="s">
        <v>121</v>
      </c>
      <c r="R55" s="191">
        <v>120200400</v>
      </c>
      <c r="S55" s="397" t="s">
        <v>121</v>
      </c>
      <c r="T55" s="401" t="s">
        <v>69</v>
      </c>
      <c r="U55" s="388">
        <v>12</v>
      </c>
      <c r="V55" s="388"/>
      <c r="W55" s="388">
        <f t="shared" si="8"/>
        <v>12</v>
      </c>
      <c r="X55" s="388">
        <v>12</v>
      </c>
      <c r="Y55" s="389">
        <v>2020003630060</v>
      </c>
      <c r="Z55" s="397" t="s">
        <v>284</v>
      </c>
      <c r="AA55" s="550" t="s">
        <v>285</v>
      </c>
      <c r="AB55" s="185"/>
      <c r="AC55" s="185"/>
      <c r="AD55" s="185"/>
      <c r="AE55" s="185"/>
      <c r="AF55" s="185"/>
      <c r="AG55" s="185"/>
      <c r="AH55" s="185"/>
      <c r="AI55" s="185"/>
      <c r="AJ55" s="185"/>
      <c r="AK55" s="185"/>
      <c r="AL55" s="185"/>
      <c r="AM55" s="185"/>
      <c r="AN55" s="185"/>
      <c r="AO55" s="185"/>
      <c r="AP55" s="185"/>
      <c r="AQ55" s="185"/>
      <c r="AR55" s="185"/>
      <c r="AS55" s="185"/>
      <c r="AT55" s="189">
        <f>74000000+20000000+45000000+30255000</f>
        <v>169255000</v>
      </c>
      <c r="AU55" s="189">
        <v>167514499</v>
      </c>
      <c r="AV55" s="189">
        <v>167514499</v>
      </c>
      <c r="AW55" s="185"/>
      <c r="AX55" s="185"/>
      <c r="AY55" s="185"/>
      <c r="AZ55" s="185"/>
      <c r="BA55" s="185"/>
      <c r="BB55" s="185"/>
      <c r="BC55" s="185"/>
      <c r="BD55" s="185"/>
      <c r="BE55" s="185"/>
      <c r="BF55" s="192">
        <f t="shared" si="4"/>
        <v>169255000</v>
      </c>
      <c r="BG55" s="192">
        <f t="shared" si="5"/>
        <v>167514499</v>
      </c>
      <c r="BH55" s="192">
        <f t="shared" si="6"/>
        <v>167514499</v>
      </c>
      <c r="BI55" s="393" t="s">
        <v>8</v>
      </c>
    </row>
    <row r="56" spans="1:61" s="396" customFormat="1" ht="66.75" customHeight="1">
      <c r="A56" s="423">
        <v>309</v>
      </c>
      <c r="B56" s="392" t="s">
        <v>282</v>
      </c>
      <c r="C56" s="423">
        <v>1</v>
      </c>
      <c r="D56" s="392" t="s">
        <v>148</v>
      </c>
      <c r="E56" s="423">
        <v>12</v>
      </c>
      <c r="F56" s="392" t="s">
        <v>149</v>
      </c>
      <c r="G56" s="423">
        <v>1203</v>
      </c>
      <c r="H56" s="392" t="s">
        <v>286</v>
      </c>
      <c r="I56" s="423">
        <v>1203</v>
      </c>
      <c r="J56" s="392" t="s">
        <v>287</v>
      </c>
      <c r="K56" s="392" t="s">
        <v>152</v>
      </c>
      <c r="L56" s="423">
        <v>1203002</v>
      </c>
      <c r="M56" s="397" t="s">
        <v>288</v>
      </c>
      <c r="N56" s="423">
        <v>1203002</v>
      </c>
      <c r="O56" s="392" t="s">
        <v>288</v>
      </c>
      <c r="P56" s="423">
        <v>120300200</v>
      </c>
      <c r="Q56" s="397" t="s">
        <v>289</v>
      </c>
      <c r="R56" s="423">
        <v>120300200</v>
      </c>
      <c r="S56" s="397" t="s">
        <v>289</v>
      </c>
      <c r="T56" s="426" t="s">
        <v>157</v>
      </c>
      <c r="U56" s="388">
        <v>50</v>
      </c>
      <c r="V56" s="388"/>
      <c r="W56" s="388">
        <f t="shared" si="8"/>
        <v>50</v>
      </c>
      <c r="X56" s="388">
        <v>50</v>
      </c>
      <c r="Y56" s="389">
        <v>2020003630061</v>
      </c>
      <c r="Z56" s="397" t="s">
        <v>290</v>
      </c>
      <c r="AA56" s="550" t="s">
        <v>291</v>
      </c>
      <c r="AB56" s="185"/>
      <c r="AC56" s="185"/>
      <c r="AD56" s="185"/>
      <c r="AE56" s="185"/>
      <c r="AF56" s="185"/>
      <c r="AG56" s="185"/>
      <c r="AH56" s="185"/>
      <c r="AI56" s="185"/>
      <c r="AJ56" s="185"/>
      <c r="AK56" s="185"/>
      <c r="AL56" s="185"/>
      <c r="AM56" s="185"/>
      <c r="AN56" s="185"/>
      <c r="AO56" s="185"/>
      <c r="AP56" s="185"/>
      <c r="AQ56" s="185"/>
      <c r="AR56" s="185"/>
      <c r="AS56" s="185"/>
      <c r="AT56" s="189">
        <f>34000000+15000000+18000000</f>
        <v>67000000</v>
      </c>
      <c r="AU56" s="189">
        <v>67000000</v>
      </c>
      <c r="AV56" s="189">
        <v>67000000</v>
      </c>
      <c r="AW56" s="185"/>
      <c r="AX56" s="185"/>
      <c r="AY56" s="185"/>
      <c r="AZ56" s="185"/>
      <c r="BA56" s="185"/>
      <c r="BB56" s="185"/>
      <c r="BC56" s="192"/>
      <c r="BD56" s="192"/>
      <c r="BE56" s="192"/>
      <c r="BF56" s="192">
        <f t="shared" si="4"/>
        <v>67000000</v>
      </c>
      <c r="BG56" s="192">
        <f t="shared" si="5"/>
        <v>67000000</v>
      </c>
      <c r="BH56" s="192">
        <f t="shared" si="6"/>
        <v>67000000</v>
      </c>
      <c r="BI56" s="393" t="s">
        <v>8</v>
      </c>
    </row>
    <row r="57" spans="1:61" s="396" customFormat="1" ht="66.75" customHeight="1">
      <c r="A57" s="423">
        <v>309</v>
      </c>
      <c r="B57" s="392" t="s">
        <v>282</v>
      </c>
      <c r="C57" s="423">
        <v>1</v>
      </c>
      <c r="D57" s="392" t="s">
        <v>148</v>
      </c>
      <c r="E57" s="423">
        <v>12</v>
      </c>
      <c r="F57" s="392" t="s">
        <v>149</v>
      </c>
      <c r="G57" s="423">
        <v>1206</v>
      </c>
      <c r="H57" s="392" t="s">
        <v>292</v>
      </c>
      <c r="I57" s="423">
        <v>1206</v>
      </c>
      <c r="J57" s="392" t="s">
        <v>293</v>
      </c>
      <c r="K57" s="392" t="s">
        <v>152</v>
      </c>
      <c r="L57" s="423">
        <v>1206005</v>
      </c>
      <c r="M57" s="397" t="s">
        <v>294</v>
      </c>
      <c r="N57" s="423">
        <v>1206005</v>
      </c>
      <c r="O57" s="392" t="s">
        <v>294</v>
      </c>
      <c r="P57" s="191">
        <v>120600500</v>
      </c>
      <c r="Q57" s="393" t="s">
        <v>295</v>
      </c>
      <c r="R57" s="191">
        <v>120600500</v>
      </c>
      <c r="S57" s="397" t="s">
        <v>295</v>
      </c>
      <c r="T57" s="426" t="s">
        <v>157</v>
      </c>
      <c r="U57" s="388">
        <v>35</v>
      </c>
      <c r="V57" s="388"/>
      <c r="W57" s="388">
        <f t="shared" si="8"/>
        <v>35</v>
      </c>
      <c r="X57" s="388">
        <v>35</v>
      </c>
      <c r="Y57" s="389">
        <v>2020003630062</v>
      </c>
      <c r="Z57" s="397" t="s">
        <v>296</v>
      </c>
      <c r="AA57" s="547" t="s">
        <v>297</v>
      </c>
      <c r="AB57" s="185"/>
      <c r="AC57" s="185"/>
      <c r="AD57" s="185"/>
      <c r="AE57" s="185"/>
      <c r="AF57" s="185"/>
      <c r="AG57" s="185"/>
      <c r="AH57" s="185"/>
      <c r="AI57" s="185"/>
      <c r="AJ57" s="185"/>
      <c r="AK57" s="185"/>
      <c r="AL57" s="185"/>
      <c r="AM57" s="185"/>
      <c r="AN57" s="185"/>
      <c r="AO57" s="185"/>
      <c r="AP57" s="185"/>
      <c r="AQ57" s="185"/>
      <c r="AR57" s="185"/>
      <c r="AS57" s="185"/>
      <c r="AT57" s="189">
        <f>34000000+33000000</f>
        <v>67000000</v>
      </c>
      <c r="AU57" s="189">
        <v>66893333</v>
      </c>
      <c r="AV57" s="189">
        <v>66893333</v>
      </c>
      <c r="AW57" s="185"/>
      <c r="AX57" s="185"/>
      <c r="AY57" s="185"/>
      <c r="AZ57" s="185"/>
      <c r="BA57" s="185"/>
      <c r="BB57" s="185"/>
      <c r="BC57" s="185"/>
      <c r="BD57" s="185"/>
      <c r="BE57" s="185"/>
      <c r="BF57" s="192">
        <f t="shared" si="4"/>
        <v>67000000</v>
      </c>
      <c r="BG57" s="192">
        <f t="shared" si="5"/>
        <v>66893333</v>
      </c>
      <c r="BH57" s="192">
        <f t="shared" si="6"/>
        <v>66893333</v>
      </c>
      <c r="BI57" s="393" t="s">
        <v>8</v>
      </c>
    </row>
    <row r="58" spans="1:61" s="396" customFormat="1" ht="66.75" customHeight="1">
      <c r="A58" s="423">
        <v>309</v>
      </c>
      <c r="B58" s="392" t="s">
        <v>282</v>
      </c>
      <c r="C58" s="423">
        <v>1</v>
      </c>
      <c r="D58" s="392" t="s">
        <v>148</v>
      </c>
      <c r="E58" s="423">
        <v>22</v>
      </c>
      <c r="F58" s="392" t="s">
        <v>160</v>
      </c>
      <c r="G58" s="423">
        <v>2201</v>
      </c>
      <c r="H58" s="392" t="s">
        <v>298</v>
      </c>
      <c r="I58" s="423">
        <v>2201</v>
      </c>
      <c r="J58" s="392" t="s">
        <v>162</v>
      </c>
      <c r="K58" s="392" t="s">
        <v>299</v>
      </c>
      <c r="L58" s="290">
        <v>2201068</v>
      </c>
      <c r="M58" s="397" t="s">
        <v>300</v>
      </c>
      <c r="N58" s="290">
        <v>2201068</v>
      </c>
      <c r="O58" s="392" t="s">
        <v>300</v>
      </c>
      <c r="P58" s="191">
        <v>220106800</v>
      </c>
      <c r="Q58" s="397" t="s">
        <v>301</v>
      </c>
      <c r="R58" s="191">
        <v>220106800</v>
      </c>
      <c r="S58" s="397" t="s">
        <v>301</v>
      </c>
      <c r="T58" s="426" t="s">
        <v>157</v>
      </c>
      <c r="U58" s="388">
        <v>72</v>
      </c>
      <c r="V58" s="388"/>
      <c r="W58" s="388">
        <f t="shared" si="8"/>
        <v>72</v>
      </c>
      <c r="X58" s="388">
        <v>72</v>
      </c>
      <c r="Y58" s="389">
        <v>2020003630063</v>
      </c>
      <c r="Z58" s="397" t="s">
        <v>302</v>
      </c>
      <c r="AA58" s="547" t="s">
        <v>303</v>
      </c>
      <c r="AB58" s="185"/>
      <c r="AC58" s="185"/>
      <c r="AD58" s="185"/>
      <c r="AE58" s="185"/>
      <c r="AF58" s="185"/>
      <c r="AG58" s="185"/>
      <c r="AH58" s="185"/>
      <c r="AI58" s="185"/>
      <c r="AJ58" s="185"/>
      <c r="AK58" s="185"/>
      <c r="AL58" s="185"/>
      <c r="AM58" s="185"/>
      <c r="AN58" s="185"/>
      <c r="AO58" s="185"/>
      <c r="AP58" s="185"/>
      <c r="AQ58" s="185"/>
      <c r="AR58" s="185"/>
      <c r="AS58" s="185"/>
      <c r="AT58" s="189">
        <f>30000000+10000000+30000000+6720000+41369677</f>
        <v>118089677</v>
      </c>
      <c r="AU58" s="189">
        <v>117874677</v>
      </c>
      <c r="AV58" s="189">
        <v>117874677</v>
      </c>
      <c r="AW58" s="185"/>
      <c r="AX58" s="185"/>
      <c r="AY58" s="185"/>
      <c r="AZ58" s="185"/>
      <c r="BA58" s="185"/>
      <c r="BB58" s="185"/>
      <c r="BC58" s="185"/>
      <c r="BD58" s="185"/>
      <c r="BE58" s="185"/>
      <c r="BF58" s="192">
        <f t="shared" si="4"/>
        <v>118089677</v>
      </c>
      <c r="BG58" s="192">
        <f t="shared" si="5"/>
        <v>117874677</v>
      </c>
      <c r="BH58" s="192">
        <f t="shared" si="6"/>
        <v>117874677</v>
      </c>
      <c r="BI58" s="393" t="s">
        <v>8</v>
      </c>
    </row>
    <row r="59" spans="1:61" s="396" customFormat="1" ht="66.75" customHeight="1">
      <c r="A59" s="423">
        <v>309</v>
      </c>
      <c r="B59" s="392" t="s">
        <v>282</v>
      </c>
      <c r="C59" s="423">
        <v>1</v>
      </c>
      <c r="D59" s="392" t="s">
        <v>148</v>
      </c>
      <c r="E59" s="423">
        <v>41</v>
      </c>
      <c r="F59" s="392" t="s">
        <v>304</v>
      </c>
      <c r="G59" s="423">
        <v>4101</v>
      </c>
      <c r="H59" s="392" t="s">
        <v>305</v>
      </c>
      <c r="I59" s="423">
        <v>4101</v>
      </c>
      <c r="J59" s="392" t="s">
        <v>306</v>
      </c>
      <c r="K59" s="392" t="s">
        <v>307</v>
      </c>
      <c r="L59" s="191">
        <v>4101023</v>
      </c>
      <c r="M59" s="397" t="s">
        <v>308</v>
      </c>
      <c r="N59" s="191">
        <v>4101023</v>
      </c>
      <c r="O59" s="392" t="s">
        <v>308</v>
      </c>
      <c r="P59" s="191">
        <v>410102300</v>
      </c>
      <c r="Q59" s="397" t="s">
        <v>309</v>
      </c>
      <c r="R59" s="191">
        <v>410102300</v>
      </c>
      <c r="S59" s="397" t="s">
        <v>309</v>
      </c>
      <c r="T59" s="426" t="s">
        <v>157</v>
      </c>
      <c r="U59" s="388">
        <v>900</v>
      </c>
      <c r="V59" s="388"/>
      <c r="W59" s="388">
        <f t="shared" si="8"/>
        <v>900</v>
      </c>
      <c r="X59" s="388">
        <v>900</v>
      </c>
      <c r="Y59" s="389">
        <v>2020003630064</v>
      </c>
      <c r="Z59" s="397" t="s">
        <v>310</v>
      </c>
      <c r="AA59" s="546" t="s">
        <v>311</v>
      </c>
      <c r="AB59" s="185"/>
      <c r="AC59" s="185"/>
      <c r="AD59" s="185"/>
      <c r="AE59" s="185"/>
      <c r="AF59" s="185"/>
      <c r="AG59" s="185"/>
      <c r="AH59" s="185"/>
      <c r="AI59" s="185"/>
      <c r="AJ59" s="185"/>
      <c r="AK59" s="185"/>
      <c r="AL59" s="185"/>
      <c r="AM59" s="185"/>
      <c r="AN59" s="185"/>
      <c r="AO59" s="185"/>
      <c r="AP59" s="185"/>
      <c r="AQ59" s="185"/>
      <c r="AR59" s="185"/>
      <c r="AS59" s="185"/>
      <c r="AT59" s="189">
        <f>67000000+40000000+34000000+9750000+132243164+55490000+16800000</f>
        <v>355283164</v>
      </c>
      <c r="AU59" s="189">
        <v>349550329</v>
      </c>
      <c r="AV59" s="189">
        <v>349550329</v>
      </c>
      <c r="AW59" s="185"/>
      <c r="AX59" s="185"/>
      <c r="AY59" s="185"/>
      <c r="AZ59" s="185"/>
      <c r="BA59" s="185"/>
      <c r="BB59" s="185"/>
      <c r="BC59" s="185"/>
      <c r="BD59" s="185"/>
      <c r="BE59" s="185"/>
      <c r="BF59" s="192">
        <f t="shared" si="4"/>
        <v>355283164</v>
      </c>
      <c r="BG59" s="192">
        <f t="shared" si="5"/>
        <v>349550329</v>
      </c>
      <c r="BH59" s="192">
        <f t="shared" si="6"/>
        <v>349550329</v>
      </c>
      <c r="BI59" s="393" t="s">
        <v>8</v>
      </c>
    </row>
    <row r="60" spans="1:61" s="396" customFormat="1" ht="66.75" customHeight="1">
      <c r="A60" s="423">
        <v>309</v>
      </c>
      <c r="B60" s="392" t="s">
        <v>282</v>
      </c>
      <c r="C60" s="423">
        <v>1</v>
      </c>
      <c r="D60" s="392" t="s">
        <v>148</v>
      </c>
      <c r="E60" s="423">
        <v>41</v>
      </c>
      <c r="F60" s="392" t="s">
        <v>304</v>
      </c>
      <c r="G60" s="423">
        <v>4101</v>
      </c>
      <c r="H60" s="392" t="s">
        <v>305</v>
      </c>
      <c r="I60" s="423">
        <v>4101</v>
      </c>
      <c r="J60" s="392" t="s">
        <v>306</v>
      </c>
      <c r="K60" s="392" t="s">
        <v>307</v>
      </c>
      <c r="L60" s="186">
        <v>4101025</v>
      </c>
      <c r="M60" s="397" t="s">
        <v>312</v>
      </c>
      <c r="N60" s="191">
        <v>4101025</v>
      </c>
      <c r="O60" s="392" t="s">
        <v>312</v>
      </c>
      <c r="P60" s="191">
        <v>410102511</v>
      </c>
      <c r="Q60" s="397" t="s">
        <v>313</v>
      </c>
      <c r="R60" s="191">
        <v>410102511</v>
      </c>
      <c r="S60" s="397" t="s">
        <v>313</v>
      </c>
      <c r="T60" s="426" t="s">
        <v>157</v>
      </c>
      <c r="U60" s="388">
        <v>50</v>
      </c>
      <c r="V60" s="388"/>
      <c r="W60" s="388">
        <f t="shared" si="8"/>
        <v>50</v>
      </c>
      <c r="X60" s="388">
        <v>50</v>
      </c>
      <c r="Y60" s="389">
        <v>2020003630064</v>
      </c>
      <c r="Z60" s="397" t="s">
        <v>310</v>
      </c>
      <c r="AA60" s="546" t="s">
        <v>311</v>
      </c>
      <c r="AB60" s="185"/>
      <c r="AC60" s="185"/>
      <c r="AD60" s="185"/>
      <c r="AE60" s="185"/>
      <c r="AF60" s="185"/>
      <c r="AG60" s="185"/>
      <c r="AH60" s="185"/>
      <c r="AI60" s="185"/>
      <c r="AJ60" s="185"/>
      <c r="AK60" s="185"/>
      <c r="AL60" s="185"/>
      <c r="AM60" s="185"/>
      <c r="AN60" s="185"/>
      <c r="AO60" s="185"/>
      <c r="AP60" s="185"/>
      <c r="AQ60" s="185"/>
      <c r="AR60" s="185"/>
      <c r="AS60" s="185"/>
      <c r="AT60" s="189">
        <f>38000000-15000000</f>
        <v>23000000</v>
      </c>
      <c r="AU60" s="189">
        <v>18657439</v>
      </c>
      <c r="AV60" s="189">
        <v>18657439</v>
      </c>
      <c r="AW60" s="185"/>
      <c r="AX60" s="185"/>
      <c r="AY60" s="185"/>
      <c r="AZ60" s="185"/>
      <c r="BA60" s="185"/>
      <c r="BB60" s="185"/>
      <c r="BC60" s="185"/>
      <c r="BD60" s="185"/>
      <c r="BE60" s="185"/>
      <c r="BF60" s="192">
        <f t="shared" si="4"/>
        <v>23000000</v>
      </c>
      <c r="BG60" s="192">
        <f t="shared" si="5"/>
        <v>18657439</v>
      </c>
      <c r="BH60" s="192">
        <f t="shared" si="6"/>
        <v>18657439</v>
      </c>
      <c r="BI60" s="393" t="s">
        <v>8</v>
      </c>
    </row>
    <row r="61" spans="1:61" s="396" customFormat="1" ht="66.75" customHeight="1">
      <c r="A61" s="423">
        <v>309</v>
      </c>
      <c r="B61" s="392" t="s">
        <v>282</v>
      </c>
      <c r="C61" s="423">
        <v>1</v>
      </c>
      <c r="D61" s="392" t="s">
        <v>148</v>
      </c>
      <c r="E61" s="423">
        <v>41</v>
      </c>
      <c r="F61" s="392" t="s">
        <v>304</v>
      </c>
      <c r="G61" s="423">
        <v>4101</v>
      </c>
      <c r="H61" s="392" t="s">
        <v>305</v>
      </c>
      <c r="I61" s="423">
        <v>4101</v>
      </c>
      <c r="J61" s="392" t="s">
        <v>306</v>
      </c>
      <c r="K61" s="392" t="s">
        <v>307</v>
      </c>
      <c r="L61" s="191">
        <v>4101038</v>
      </c>
      <c r="M61" s="397" t="s">
        <v>314</v>
      </c>
      <c r="N61" s="191">
        <v>4101038</v>
      </c>
      <c r="O61" s="392" t="s">
        <v>314</v>
      </c>
      <c r="P61" s="191">
        <v>410103800</v>
      </c>
      <c r="Q61" s="397" t="s">
        <v>315</v>
      </c>
      <c r="R61" s="191">
        <v>410103800</v>
      </c>
      <c r="S61" s="397" t="s">
        <v>315</v>
      </c>
      <c r="T61" s="426" t="s">
        <v>157</v>
      </c>
      <c r="U61" s="388">
        <v>12</v>
      </c>
      <c r="V61" s="388"/>
      <c r="W61" s="388">
        <f t="shared" si="8"/>
        <v>12</v>
      </c>
      <c r="X61" s="388">
        <v>12</v>
      </c>
      <c r="Y61" s="389">
        <v>2020003630064</v>
      </c>
      <c r="Z61" s="397" t="s">
        <v>310</v>
      </c>
      <c r="AA61" s="546" t="s">
        <v>311</v>
      </c>
      <c r="AB61" s="185"/>
      <c r="AC61" s="185"/>
      <c r="AD61" s="185"/>
      <c r="AE61" s="185"/>
      <c r="AF61" s="185"/>
      <c r="AG61" s="185"/>
      <c r="AH61" s="185"/>
      <c r="AI61" s="185"/>
      <c r="AJ61" s="185"/>
      <c r="AK61" s="185"/>
      <c r="AL61" s="185"/>
      <c r="AM61" s="185"/>
      <c r="AN61" s="185"/>
      <c r="AO61" s="185"/>
      <c r="AP61" s="185"/>
      <c r="AQ61" s="185"/>
      <c r="AR61" s="185"/>
      <c r="AS61" s="185"/>
      <c r="AT61" s="189">
        <f>39000000+4000000+5633333-1800000</f>
        <v>46833333</v>
      </c>
      <c r="AU61" s="189">
        <v>41110098</v>
      </c>
      <c r="AV61" s="189">
        <v>41110098</v>
      </c>
      <c r="AW61" s="185"/>
      <c r="AX61" s="185"/>
      <c r="AY61" s="185"/>
      <c r="AZ61" s="185"/>
      <c r="BA61" s="185"/>
      <c r="BB61" s="185"/>
      <c r="BC61" s="185"/>
      <c r="BD61" s="185"/>
      <c r="BE61" s="185"/>
      <c r="BF61" s="192">
        <f t="shared" si="4"/>
        <v>46833333</v>
      </c>
      <c r="BG61" s="192">
        <f t="shared" si="5"/>
        <v>41110098</v>
      </c>
      <c r="BH61" s="192">
        <f t="shared" si="6"/>
        <v>41110098</v>
      </c>
      <c r="BI61" s="393" t="s">
        <v>8</v>
      </c>
    </row>
    <row r="62" spans="1:61" s="396" customFormat="1" ht="66.75" customHeight="1">
      <c r="A62" s="423">
        <v>309</v>
      </c>
      <c r="B62" s="392" t="s">
        <v>282</v>
      </c>
      <c r="C62" s="423">
        <v>1</v>
      </c>
      <c r="D62" s="392" t="s">
        <v>148</v>
      </c>
      <c r="E62" s="423">
        <v>41</v>
      </c>
      <c r="F62" s="392" t="s">
        <v>304</v>
      </c>
      <c r="G62" s="423">
        <v>4101</v>
      </c>
      <c r="H62" s="392" t="s">
        <v>305</v>
      </c>
      <c r="I62" s="423">
        <v>4101</v>
      </c>
      <c r="J62" s="392" t="s">
        <v>306</v>
      </c>
      <c r="K62" s="392" t="s">
        <v>316</v>
      </c>
      <c r="L62" s="191">
        <v>4101073</v>
      </c>
      <c r="M62" s="397" t="s">
        <v>317</v>
      </c>
      <c r="N62" s="191">
        <v>4101073</v>
      </c>
      <c r="O62" s="392" t="s">
        <v>317</v>
      </c>
      <c r="P62" s="191">
        <v>410107300</v>
      </c>
      <c r="Q62" s="397" t="s">
        <v>318</v>
      </c>
      <c r="R62" s="191">
        <v>410107300</v>
      </c>
      <c r="S62" s="397" t="s">
        <v>318</v>
      </c>
      <c r="T62" s="426" t="s">
        <v>157</v>
      </c>
      <c r="U62" s="388">
        <v>75</v>
      </c>
      <c r="V62" s="388"/>
      <c r="W62" s="388">
        <f t="shared" si="8"/>
        <v>75</v>
      </c>
      <c r="X62" s="388">
        <v>75</v>
      </c>
      <c r="Y62" s="389">
        <v>2020003630064</v>
      </c>
      <c r="Z62" s="397" t="s">
        <v>310</v>
      </c>
      <c r="AA62" s="546" t="s">
        <v>311</v>
      </c>
      <c r="AB62" s="185"/>
      <c r="AC62" s="185"/>
      <c r="AD62" s="185"/>
      <c r="AE62" s="185"/>
      <c r="AF62" s="185"/>
      <c r="AG62" s="185"/>
      <c r="AH62" s="185"/>
      <c r="AI62" s="185"/>
      <c r="AJ62" s="185"/>
      <c r="AK62" s="185"/>
      <c r="AL62" s="185"/>
      <c r="AM62" s="185"/>
      <c r="AN62" s="185"/>
      <c r="AO62" s="185"/>
      <c r="AP62" s="185"/>
      <c r="AQ62" s="185"/>
      <c r="AR62" s="185"/>
      <c r="AS62" s="185"/>
      <c r="AT62" s="189">
        <v>38000000</v>
      </c>
      <c r="AU62" s="189">
        <v>38000000</v>
      </c>
      <c r="AV62" s="189">
        <v>38000000</v>
      </c>
      <c r="AW62" s="185"/>
      <c r="AX62" s="185"/>
      <c r="AY62" s="185"/>
      <c r="AZ62" s="185"/>
      <c r="BA62" s="185"/>
      <c r="BB62" s="185"/>
      <c r="BC62" s="185"/>
      <c r="BD62" s="185"/>
      <c r="BE62" s="185"/>
      <c r="BF62" s="192">
        <f t="shared" si="4"/>
        <v>38000000</v>
      </c>
      <c r="BG62" s="192">
        <f t="shared" si="5"/>
        <v>38000000</v>
      </c>
      <c r="BH62" s="192">
        <f t="shared" si="6"/>
        <v>38000000</v>
      </c>
      <c r="BI62" s="393" t="s">
        <v>8</v>
      </c>
    </row>
    <row r="63" spans="1:61" s="394" customFormat="1" ht="66.75" customHeight="1">
      <c r="A63" s="423">
        <v>309</v>
      </c>
      <c r="B63" s="392" t="s">
        <v>282</v>
      </c>
      <c r="C63" s="423">
        <v>1</v>
      </c>
      <c r="D63" s="392" t="s">
        <v>148</v>
      </c>
      <c r="E63" s="423">
        <v>41</v>
      </c>
      <c r="F63" s="392" t="s">
        <v>304</v>
      </c>
      <c r="G63" s="423">
        <v>4101</v>
      </c>
      <c r="H63" s="392" t="s">
        <v>305</v>
      </c>
      <c r="I63" s="423">
        <v>4101</v>
      </c>
      <c r="J63" s="392" t="s">
        <v>306</v>
      </c>
      <c r="K63" s="392" t="s">
        <v>319</v>
      </c>
      <c r="L63" s="191">
        <v>4101011</v>
      </c>
      <c r="M63" s="397" t="s">
        <v>320</v>
      </c>
      <c r="N63" s="191">
        <v>4101011</v>
      </c>
      <c r="O63" s="392" t="s">
        <v>320</v>
      </c>
      <c r="P63" s="191">
        <v>410101100</v>
      </c>
      <c r="Q63" s="397" t="s">
        <v>321</v>
      </c>
      <c r="R63" s="191">
        <v>410101100</v>
      </c>
      <c r="S63" s="397" t="s">
        <v>321</v>
      </c>
      <c r="T63" s="426" t="s">
        <v>157</v>
      </c>
      <c r="U63" s="388">
        <v>3</v>
      </c>
      <c r="V63" s="388"/>
      <c r="W63" s="388">
        <f t="shared" si="8"/>
        <v>3</v>
      </c>
      <c r="X63" s="388">
        <v>3</v>
      </c>
      <c r="Y63" s="389">
        <v>2020003630064</v>
      </c>
      <c r="Z63" s="397" t="s">
        <v>310</v>
      </c>
      <c r="AA63" s="546" t="s">
        <v>311</v>
      </c>
      <c r="AB63" s="185"/>
      <c r="AC63" s="185"/>
      <c r="AD63" s="185"/>
      <c r="AE63" s="185"/>
      <c r="AF63" s="185"/>
      <c r="AG63" s="185"/>
      <c r="AH63" s="185"/>
      <c r="AI63" s="185"/>
      <c r="AJ63" s="185"/>
      <c r="AK63" s="185"/>
      <c r="AL63" s="185"/>
      <c r="AM63" s="185"/>
      <c r="AN63" s="185"/>
      <c r="AO63" s="185"/>
      <c r="AP63" s="185"/>
      <c r="AQ63" s="185"/>
      <c r="AR63" s="185"/>
      <c r="AS63" s="185"/>
      <c r="AT63" s="189">
        <f>13000000+10000000+5000000+6000000</f>
        <v>34000000</v>
      </c>
      <c r="AU63" s="189">
        <v>34000000</v>
      </c>
      <c r="AV63" s="189">
        <v>34000000</v>
      </c>
      <c r="AW63" s="185"/>
      <c r="AX63" s="185"/>
      <c r="AY63" s="185"/>
      <c r="AZ63" s="185"/>
      <c r="BA63" s="185"/>
      <c r="BB63" s="185"/>
      <c r="BC63" s="185"/>
      <c r="BD63" s="185"/>
      <c r="BE63" s="185"/>
      <c r="BF63" s="192">
        <f t="shared" si="4"/>
        <v>34000000</v>
      </c>
      <c r="BG63" s="192">
        <f t="shared" si="5"/>
        <v>34000000</v>
      </c>
      <c r="BH63" s="192">
        <f t="shared" si="6"/>
        <v>34000000</v>
      </c>
      <c r="BI63" s="393" t="s">
        <v>8</v>
      </c>
    </row>
    <row r="64" spans="1:61" s="394" customFormat="1" ht="66.75" customHeight="1">
      <c r="A64" s="423">
        <v>309</v>
      </c>
      <c r="B64" s="392" t="s">
        <v>282</v>
      </c>
      <c r="C64" s="423">
        <v>1</v>
      </c>
      <c r="D64" s="392" t="s">
        <v>148</v>
      </c>
      <c r="E64" s="423">
        <v>41</v>
      </c>
      <c r="F64" s="392" t="s">
        <v>304</v>
      </c>
      <c r="G64" s="423">
        <v>4103</v>
      </c>
      <c r="H64" s="392" t="s">
        <v>322</v>
      </c>
      <c r="I64" s="423">
        <v>4103</v>
      </c>
      <c r="J64" s="392" t="s">
        <v>323</v>
      </c>
      <c r="K64" s="392" t="s">
        <v>324</v>
      </c>
      <c r="L64" s="423" t="s">
        <v>61</v>
      </c>
      <c r="M64" s="397" t="s">
        <v>325</v>
      </c>
      <c r="N64" s="191">
        <v>4103052</v>
      </c>
      <c r="O64" s="392" t="s">
        <v>326</v>
      </c>
      <c r="P64" s="423" t="s">
        <v>61</v>
      </c>
      <c r="Q64" s="397" t="s">
        <v>327</v>
      </c>
      <c r="R64" s="191">
        <v>410305201</v>
      </c>
      <c r="S64" s="397" t="s">
        <v>328</v>
      </c>
      <c r="T64" s="426" t="s">
        <v>157</v>
      </c>
      <c r="U64" s="388">
        <v>25</v>
      </c>
      <c r="V64" s="388"/>
      <c r="W64" s="388">
        <f t="shared" si="8"/>
        <v>25</v>
      </c>
      <c r="X64" s="388">
        <v>25</v>
      </c>
      <c r="Y64" s="389">
        <v>2020003630065</v>
      </c>
      <c r="Z64" s="397" t="s">
        <v>329</v>
      </c>
      <c r="AA64" s="546" t="s">
        <v>330</v>
      </c>
      <c r="AB64" s="185"/>
      <c r="AC64" s="185"/>
      <c r="AD64" s="185"/>
      <c r="AE64" s="185"/>
      <c r="AF64" s="185"/>
      <c r="AG64" s="185"/>
      <c r="AH64" s="185"/>
      <c r="AI64" s="185"/>
      <c r="AJ64" s="185"/>
      <c r="AK64" s="185"/>
      <c r="AL64" s="185"/>
      <c r="AM64" s="185"/>
      <c r="AN64" s="185"/>
      <c r="AO64" s="185"/>
      <c r="AP64" s="185"/>
      <c r="AQ64" s="185"/>
      <c r="AR64" s="185"/>
      <c r="AS64" s="185"/>
      <c r="AT64" s="189">
        <f>18000000+14000000+3500000</f>
        <v>35500000</v>
      </c>
      <c r="AU64" s="189">
        <v>34983333</v>
      </c>
      <c r="AV64" s="189">
        <v>34983333</v>
      </c>
      <c r="AW64" s="185"/>
      <c r="AX64" s="185"/>
      <c r="AY64" s="185"/>
      <c r="AZ64" s="185"/>
      <c r="BA64" s="185"/>
      <c r="BB64" s="185"/>
      <c r="BC64" s="185"/>
      <c r="BD64" s="185"/>
      <c r="BE64" s="185"/>
      <c r="BF64" s="192">
        <f t="shared" si="4"/>
        <v>35500000</v>
      </c>
      <c r="BG64" s="192">
        <f t="shared" si="5"/>
        <v>34983333</v>
      </c>
      <c r="BH64" s="192">
        <f t="shared" si="6"/>
        <v>34983333</v>
      </c>
      <c r="BI64" s="393" t="s">
        <v>8</v>
      </c>
    </row>
    <row r="65" spans="1:61" s="394" customFormat="1" ht="66.75" customHeight="1">
      <c r="A65" s="423">
        <v>309</v>
      </c>
      <c r="B65" s="392" t="s">
        <v>282</v>
      </c>
      <c r="C65" s="423">
        <v>1</v>
      </c>
      <c r="D65" s="392" t="s">
        <v>148</v>
      </c>
      <c r="E65" s="423">
        <v>45</v>
      </c>
      <c r="F65" s="392" t="s">
        <v>60</v>
      </c>
      <c r="G65" s="423">
        <v>4501</v>
      </c>
      <c r="H65" s="392" t="s">
        <v>331</v>
      </c>
      <c r="I65" s="423">
        <v>4501</v>
      </c>
      <c r="J65" s="392" t="s">
        <v>332</v>
      </c>
      <c r="K65" s="392" t="s">
        <v>152</v>
      </c>
      <c r="L65" s="423" t="s">
        <v>61</v>
      </c>
      <c r="M65" s="397" t="s">
        <v>333</v>
      </c>
      <c r="N65" s="191">
        <v>4501029</v>
      </c>
      <c r="O65" s="392" t="s">
        <v>334</v>
      </c>
      <c r="P65" s="423" t="s">
        <v>61</v>
      </c>
      <c r="Q65" s="397" t="s">
        <v>335</v>
      </c>
      <c r="R65" s="191">
        <v>450102900</v>
      </c>
      <c r="S65" s="397" t="s">
        <v>336</v>
      </c>
      <c r="T65" s="426" t="s">
        <v>69</v>
      </c>
      <c r="U65" s="388">
        <v>5</v>
      </c>
      <c r="V65" s="388"/>
      <c r="W65" s="388">
        <f t="shared" si="8"/>
        <v>5</v>
      </c>
      <c r="X65" s="388">
        <v>5</v>
      </c>
      <c r="Y65" s="389">
        <v>2020003630066</v>
      </c>
      <c r="Z65" s="397" t="s">
        <v>337</v>
      </c>
      <c r="AA65" s="546" t="s">
        <v>338</v>
      </c>
      <c r="AB65" s="185"/>
      <c r="AC65" s="185"/>
      <c r="AD65" s="185"/>
      <c r="AE65" s="185"/>
      <c r="AF65" s="185"/>
      <c r="AG65" s="185"/>
      <c r="AH65" s="185"/>
      <c r="AI65" s="185"/>
      <c r="AJ65" s="185"/>
      <c r="AK65" s="185"/>
      <c r="AL65" s="185"/>
      <c r="AM65" s="185"/>
      <c r="AN65" s="185"/>
      <c r="AO65" s="185"/>
      <c r="AP65" s="185"/>
      <c r="AQ65" s="185"/>
      <c r="AR65" s="185"/>
      <c r="AS65" s="185"/>
      <c r="AT65" s="189"/>
      <c r="AU65" s="189"/>
      <c r="AV65" s="189">
        <v>0</v>
      </c>
      <c r="AW65" s="185">
        <f>2314305+3159539006+4131423250.14</f>
        <v>7293276561.1399994</v>
      </c>
      <c r="AX65" s="185">
        <v>3130446746.3499999</v>
      </c>
      <c r="AY65" s="185">
        <v>3130446746.3499999</v>
      </c>
      <c r="AZ65" s="185"/>
      <c r="BA65" s="185"/>
      <c r="BB65" s="185"/>
      <c r="BC65" s="185"/>
      <c r="BD65" s="185"/>
      <c r="BE65" s="185"/>
      <c r="BF65" s="192">
        <f t="shared" si="4"/>
        <v>7293276561.1399994</v>
      </c>
      <c r="BG65" s="192">
        <f t="shared" si="5"/>
        <v>3130446746.3499999</v>
      </c>
      <c r="BH65" s="192">
        <f t="shared" si="6"/>
        <v>3130446746.3499999</v>
      </c>
      <c r="BI65" s="393" t="s">
        <v>8</v>
      </c>
    </row>
    <row r="66" spans="1:61" s="394" customFormat="1" ht="66.75" customHeight="1">
      <c r="A66" s="423">
        <v>309</v>
      </c>
      <c r="B66" s="392" t="s">
        <v>282</v>
      </c>
      <c r="C66" s="423">
        <v>1</v>
      </c>
      <c r="D66" s="392" t="s">
        <v>148</v>
      </c>
      <c r="E66" s="423">
        <v>45</v>
      </c>
      <c r="F66" s="392" t="s">
        <v>60</v>
      </c>
      <c r="G66" s="423">
        <v>4501</v>
      </c>
      <c r="H66" s="392" t="s">
        <v>331</v>
      </c>
      <c r="I66" s="423">
        <v>4501</v>
      </c>
      <c r="J66" s="392" t="s">
        <v>332</v>
      </c>
      <c r="K66" s="392" t="s">
        <v>152</v>
      </c>
      <c r="L66" s="423">
        <v>4501001</v>
      </c>
      <c r="M66" s="397" t="s">
        <v>119</v>
      </c>
      <c r="N66" s="423">
        <v>4501001</v>
      </c>
      <c r="O66" s="392" t="s">
        <v>119</v>
      </c>
      <c r="P66" s="423">
        <v>450100100</v>
      </c>
      <c r="Q66" s="397" t="s">
        <v>339</v>
      </c>
      <c r="R66" s="423">
        <v>450100100</v>
      </c>
      <c r="S66" s="397" t="s">
        <v>339</v>
      </c>
      <c r="T66" s="426" t="s">
        <v>69</v>
      </c>
      <c r="U66" s="388">
        <v>12</v>
      </c>
      <c r="V66" s="388"/>
      <c r="W66" s="388">
        <f t="shared" si="8"/>
        <v>12</v>
      </c>
      <c r="X66" s="388">
        <v>12</v>
      </c>
      <c r="Y66" s="389">
        <v>2020003630068</v>
      </c>
      <c r="Z66" s="397" t="s">
        <v>340</v>
      </c>
      <c r="AA66" s="546" t="s">
        <v>341</v>
      </c>
      <c r="AB66" s="185"/>
      <c r="AC66" s="292"/>
      <c r="AD66" s="292"/>
      <c r="AE66" s="185"/>
      <c r="AF66" s="185"/>
      <c r="AG66" s="185"/>
      <c r="AH66" s="185"/>
      <c r="AI66" s="185"/>
      <c r="AJ66" s="185"/>
      <c r="AK66" s="185"/>
      <c r="AL66" s="185"/>
      <c r="AM66" s="185"/>
      <c r="AN66" s="185"/>
      <c r="AO66" s="185"/>
      <c r="AP66" s="185"/>
      <c r="AQ66" s="185"/>
      <c r="AR66" s="185"/>
      <c r="AS66" s="185"/>
      <c r="AT66" s="189">
        <f>34000000+20000000+23000000+8000000</f>
        <v>85000000</v>
      </c>
      <c r="AU66" s="189">
        <v>84093333</v>
      </c>
      <c r="AV66" s="189">
        <v>84093333</v>
      </c>
      <c r="AW66" s="185"/>
      <c r="AX66" s="185"/>
      <c r="AY66" s="185"/>
      <c r="AZ66" s="185"/>
      <c r="BA66" s="185"/>
      <c r="BB66" s="185"/>
      <c r="BC66" s="185"/>
      <c r="BD66" s="185"/>
      <c r="BE66" s="185"/>
      <c r="BF66" s="192">
        <f t="shared" si="4"/>
        <v>85000000</v>
      </c>
      <c r="BG66" s="192">
        <f t="shared" si="5"/>
        <v>84093333</v>
      </c>
      <c r="BH66" s="192">
        <f t="shared" si="6"/>
        <v>84093333</v>
      </c>
      <c r="BI66" s="393" t="s">
        <v>8</v>
      </c>
    </row>
    <row r="67" spans="1:61" s="394" customFormat="1" ht="66.75" customHeight="1">
      <c r="A67" s="423">
        <v>309</v>
      </c>
      <c r="B67" s="392" t="s">
        <v>282</v>
      </c>
      <c r="C67" s="423">
        <v>3</v>
      </c>
      <c r="D67" s="392" t="s">
        <v>212</v>
      </c>
      <c r="E67" s="423">
        <v>32</v>
      </c>
      <c r="F67" s="392" t="s">
        <v>227</v>
      </c>
      <c r="G67" s="423">
        <v>3205</v>
      </c>
      <c r="H67" s="392" t="s">
        <v>228</v>
      </c>
      <c r="I67" s="423">
        <v>3205</v>
      </c>
      <c r="J67" s="392" t="s">
        <v>229</v>
      </c>
      <c r="K67" s="392" t="s">
        <v>342</v>
      </c>
      <c r="L67" s="423">
        <v>3205002</v>
      </c>
      <c r="M67" s="397" t="s">
        <v>343</v>
      </c>
      <c r="N67" s="423">
        <v>3205002</v>
      </c>
      <c r="O67" s="392" t="s">
        <v>343</v>
      </c>
      <c r="P67" s="423">
        <v>320500200</v>
      </c>
      <c r="Q67" s="397" t="s">
        <v>344</v>
      </c>
      <c r="R67" s="423">
        <v>320500200</v>
      </c>
      <c r="S67" s="397" t="s">
        <v>344</v>
      </c>
      <c r="T67" s="426" t="s">
        <v>157</v>
      </c>
      <c r="U67" s="388">
        <v>3</v>
      </c>
      <c r="V67" s="388">
        <v>2</v>
      </c>
      <c r="W67" s="388">
        <f t="shared" si="8"/>
        <v>5</v>
      </c>
      <c r="X67" s="388">
        <v>4</v>
      </c>
      <c r="Y67" s="389">
        <v>2020003630069</v>
      </c>
      <c r="Z67" s="397" t="s">
        <v>345</v>
      </c>
      <c r="AA67" s="546" t="s">
        <v>346</v>
      </c>
      <c r="AB67" s="185"/>
      <c r="AC67" s="185"/>
      <c r="AD67" s="185"/>
      <c r="AE67" s="185"/>
      <c r="AF67" s="185"/>
      <c r="AG67" s="185"/>
      <c r="AH67" s="185"/>
      <c r="AI67" s="185"/>
      <c r="AJ67" s="185"/>
      <c r="AK67" s="185"/>
      <c r="AL67" s="185"/>
      <c r="AM67" s="185"/>
      <c r="AN67" s="185"/>
      <c r="AO67" s="185"/>
      <c r="AP67" s="185"/>
      <c r="AQ67" s="185"/>
      <c r="AR67" s="185"/>
      <c r="AS67" s="185"/>
      <c r="AT67" s="335">
        <f>45000000+10000000+19373333+61602499+8655000</f>
        <v>144630832</v>
      </c>
      <c r="AU67" s="335">
        <v>143829165</v>
      </c>
      <c r="AV67" s="189">
        <v>143829165</v>
      </c>
      <c r="AW67" s="185"/>
      <c r="AX67" s="185"/>
      <c r="AY67" s="185"/>
      <c r="AZ67" s="185"/>
      <c r="BA67" s="185"/>
      <c r="BB67" s="185"/>
      <c r="BC67" s="185"/>
      <c r="BD67" s="185"/>
      <c r="BE67" s="185"/>
      <c r="BF67" s="192">
        <f t="shared" si="4"/>
        <v>144630832</v>
      </c>
      <c r="BG67" s="192">
        <f t="shared" si="5"/>
        <v>143829165</v>
      </c>
      <c r="BH67" s="192">
        <f t="shared" si="6"/>
        <v>143829165</v>
      </c>
      <c r="BI67" s="393" t="s">
        <v>8</v>
      </c>
    </row>
    <row r="68" spans="1:61" s="394" customFormat="1" ht="66.75" customHeight="1">
      <c r="A68" s="423">
        <v>309</v>
      </c>
      <c r="B68" s="392" t="s">
        <v>282</v>
      </c>
      <c r="C68" s="423">
        <v>3</v>
      </c>
      <c r="D68" s="392" t="s">
        <v>212</v>
      </c>
      <c r="E68" s="423">
        <v>45</v>
      </c>
      <c r="F68" s="392" t="s">
        <v>60</v>
      </c>
      <c r="G68" s="423">
        <v>4503</v>
      </c>
      <c r="H68" s="392" t="s">
        <v>347</v>
      </c>
      <c r="I68" s="423">
        <v>4503</v>
      </c>
      <c r="J68" s="392" t="s">
        <v>348</v>
      </c>
      <c r="K68" s="392" t="s">
        <v>349</v>
      </c>
      <c r="L68" s="423">
        <v>4503002</v>
      </c>
      <c r="M68" s="397" t="s">
        <v>350</v>
      </c>
      <c r="N68" s="423">
        <v>4503002</v>
      </c>
      <c r="O68" s="392" t="s">
        <v>350</v>
      </c>
      <c r="P68" s="423">
        <v>450300200</v>
      </c>
      <c r="Q68" s="393" t="s">
        <v>351</v>
      </c>
      <c r="R68" s="423">
        <v>450300200</v>
      </c>
      <c r="S68" s="397" t="s">
        <v>351</v>
      </c>
      <c r="T68" s="426" t="s">
        <v>157</v>
      </c>
      <c r="U68" s="388">
        <v>5000</v>
      </c>
      <c r="V68" s="388"/>
      <c r="W68" s="388">
        <f t="shared" si="8"/>
        <v>5000</v>
      </c>
      <c r="X68" s="388">
        <v>5000</v>
      </c>
      <c r="Y68" s="389">
        <v>2020003630070</v>
      </c>
      <c r="Z68" s="395" t="s">
        <v>352</v>
      </c>
      <c r="AA68" s="546" t="s">
        <v>353</v>
      </c>
      <c r="AB68" s="185"/>
      <c r="AC68" s="185"/>
      <c r="AD68" s="185"/>
      <c r="AE68" s="185"/>
      <c r="AF68" s="185"/>
      <c r="AG68" s="185"/>
      <c r="AH68" s="185"/>
      <c r="AI68" s="185"/>
      <c r="AJ68" s="185"/>
      <c r="AK68" s="185"/>
      <c r="AL68" s="185"/>
      <c r="AM68" s="185"/>
      <c r="AN68" s="185"/>
      <c r="AO68" s="185"/>
      <c r="AP68" s="185"/>
      <c r="AQ68" s="185"/>
      <c r="AR68" s="185"/>
      <c r="AS68" s="185"/>
      <c r="AT68" s="189">
        <f>18000000+12000000+10000000+20344499</f>
        <v>60344499</v>
      </c>
      <c r="AU68" s="189">
        <v>60227832</v>
      </c>
      <c r="AV68" s="189">
        <v>60227832</v>
      </c>
      <c r="AW68" s="185"/>
      <c r="AX68" s="185"/>
      <c r="AY68" s="185"/>
      <c r="AZ68" s="185"/>
      <c r="BA68" s="185"/>
      <c r="BB68" s="185"/>
      <c r="BC68" s="185"/>
      <c r="BD68" s="185"/>
      <c r="BE68" s="185"/>
      <c r="BF68" s="192">
        <f t="shared" si="4"/>
        <v>60344499</v>
      </c>
      <c r="BG68" s="192">
        <f t="shared" si="5"/>
        <v>60227832</v>
      </c>
      <c r="BH68" s="192">
        <f t="shared" si="6"/>
        <v>60227832</v>
      </c>
      <c r="BI68" s="393" t="s">
        <v>8</v>
      </c>
    </row>
    <row r="69" spans="1:61" s="394" customFormat="1" ht="66.75" customHeight="1">
      <c r="A69" s="423">
        <v>309</v>
      </c>
      <c r="B69" s="392" t="s">
        <v>282</v>
      </c>
      <c r="C69" s="423">
        <v>3</v>
      </c>
      <c r="D69" s="392" t="s">
        <v>212</v>
      </c>
      <c r="E69" s="423">
        <v>45</v>
      </c>
      <c r="F69" s="392" t="s">
        <v>60</v>
      </c>
      <c r="G69" s="423">
        <v>4503</v>
      </c>
      <c r="H69" s="392" t="s">
        <v>347</v>
      </c>
      <c r="I69" s="423">
        <v>4503</v>
      </c>
      <c r="J69" s="392" t="s">
        <v>348</v>
      </c>
      <c r="K69" s="392" t="s">
        <v>354</v>
      </c>
      <c r="L69" s="423">
        <v>4503003</v>
      </c>
      <c r="M69" s="397" t="s">
        <v>119</v>
      </c>
      <c r="N69" s="423">
        <v>4503003</v>
      </c>
      <c r="O69" s="392" t="s">
        <v>119</v>
      </c>
      <c r="P69" s="423">
        <v>450300300</v>
      </c>
      <c r="Q69" s="397" t="s">
        <v>355</v>
      </c>
      <c r="R69" s="423">
        <v>450300300</v>
      </c>
      <c r="S69" s="397" t="s">
        <v>355</v>
      </c>
      <c r="T69" s="401" t="s">
        <v>69</v>
      </c>
      <c r="U69" s="388">
        <v>12</v>
      </c>
      <c r="V69" s="388"/>
      <c r="W69" s="388">
        <f t="shared" si="8"/>
        <v>12</v>
      </c>
      <c r="X69" s="388">
        <v>12</v>
      </c>
      <c r="Y69" s="389">
        <v>2020003630070</v>
      </c>
      <c r="Z69" s="395" t="s">
        <v>352</v>
      </c>
      <c r="AA69" s="549" t="s">
        <v>353</v>
      </c>
      <c r="AB69" s="185"/>
      <c r="AC69" s="185"/>
      <c r="AD69" s="185"/>
      <c r="AE69" s="185"/>
      <c r="AF69" s="185"/>
      <c r="AG69" s="185"/>
      <c r="AH69" s="185"/>
      <c r="AI69" s="185"/>
      <c r="AJ69" s="185"/>
      <c r="AK69" s="185"/>
      <c r="AL69" s="185"/>
      <c r="AM69" s="185"/>
      <c r="AN69" s="185"/>
      <c r="AO69" s="185"/>
      <c r="AP69" s="185"/>
      <c r="AQ69" s="185"/>
      <c r="AR69" s="185"/>
      <c r="AS69" s="185"/>
      <c r="AT69" s="189">
        <f>100000000-6610512+60000000+80000000-10000000+21656667+218584996-20000000+100000000+43055000</f>
        <v>586686151</v>
      </c>
      <c r="AU69" s="189">
        <v>471119350</v>
      </c>
      <c r="AV69" s="189">
        <v>471119350</v>
      </c>
      <c r="AW69" s="185"/>
      <c r="AX69" s="185"/>
      <c r="AY69" s="185"/>
      <c r="AZ69" s="185"/>
      <c r="BA69" s="185"/>
      <c r="BB69" s="185"/>
      <c r="BC69" s="185"/>
      <c r="BD69" s="185"/>
      <c r="BE69" s="185"/>
      <c r="BF69" s="192">
        <f t="shared" si="4"/>
        <v>586686151</v>
      </c>
      <c r="BG69" s="192">
        <f t="shared" si="5"/>
        <v>471119350</v>
      </c>
      <c r="BH69" s="192">
        <f t="shared" si="6"/>
        <v>471119350</v>
      </c>
      <c r="BI69" s="393" t="s">
        <v>8</v>
      </c>
    </row>
    <row r="70" spans="1:61" s="394" customFormat="1" ht="66.75" customHeight="1">
      <c r="A70" s="423">
        <v>309</v>
      </c>
      <c r="B70" s="392" t="s">
        <v>282</v>
      </c>
      <c r="C70" s="423">
        <v>3</v>
      </c>
      <c r="D70" s="392" t="s">
        <v>212</v>
      </c>
      <c r="E70" s="423">
        <v>45</v>
      </c>
      <c r="F70" s="392" t="s">
        <v>60</v>
      </c>
      <c r="G70" s="423">
        <v>4503</v>
      </c>
      <c r="H70" s="392" t="s">
        <v>347</v>
      </c>
      <c r="I70" s="423">
        <v>4503</v>
      </c>
      <c r="J70" s="392" t="s">
        <v>348</v>
      </c>
      <c r="K70" s="392" t="s">
        <v>354</v>
      </c>
      <c r="L70" s="423">
        <v>4503004</v>
      </c>
      <c r="M70" s="397" t="s">
        <v>356</v>
      </c>
      <c r="N70" s="423">
        <v>4503016</v>
      </c>
      <c r="O70" s="392" t="s">
        <v>357</v>
      </c>
      <c r="P70" s="423" t="s">
        <v>61</v>
      </c>
      <c r="Q70" s="397" t="s">
        <v>358</v>
      </c>
      <c r="R70" s="423">
        <v>450301600</v>
      </c>
      <c r="S70" s="397" t="s">
        <v>359</v>
      </c>
      <c r="T70" s="401" t="s">
        <v>69</v>
      </c>
      <c r="U70" s="388">
        <v>1</v>
      </c>
      <c r="V70" s="388"/>
      <c r="W70" s="388">
        <f t="shared" si="8"/>
        <v>1</v>
      </c>
      <c r="X70" s="388">
        <v>1</v>
      </c>
      <c r="Y70" s="389">
        <v>2020003630070</v>
      </c>
      <c r="Z70" s="395" t="s">
        <v>352</v>
      </c>
      <c r="AA70" s="549" t="s">
        <v>353</v>
      </c>
      <c r="AB70" s="185"/>
      <c r="AC70" s="185"/>
      <c r="AD70" s="185"/>
      <c r="AE70" s="185"/>
      <c r="AF70" s="185"/>
      <c r="AG70" s="185"/>
      <c r="AH70" s="185"/>
      <c r="AI70" s="185"/>
      <c r="AJ70" s="185"/>
      <c r="AK70" s="185"/>
      <c r="AL70" s="185"/>
      <c r="AM70" s="185"/>
      <c r="AN70" s="185"/>
      <c r="AO70" s="185"/>
      <c r="AP70" s="185"/>
      <c r="AQ70" s="185"/>
      <c r="AR70" s="185"/>
      <c r="AS70" s="185"/>
      <c r="AT70" s="189">
        <f>30000000-3000000+20000000</f>
        <v>47000000</v>
      </c>
      <c r="AU70" s="189">
        <v>19229686</v>
      </c>
      <c r="AV70" s="189">
        <v>19229686</v>
      </c>
      <c r="AW70" s="185"/>
      <c r="AX70" s="185"/>
      <c r="AY70" s="185"/>
      <c r="AZ70" s="185"/>
      <c r="BA70" s="185"/>
      <c r="BB70" s="185"/>
      <c r="BC70" s="185"/>
      <c r="BD70" s="185"/>
      <c r="BE70" s="185"/>
      <c r="BF70" s="192">
        <f t="shared" si="4"/>
        <v>47000000</v>
      </c>
      <c r="BG70" s="192">
        <f t="shared" si="5"/>
        <v>19229686</v>
      </c>
      <c r="BH70" s="192">
        <f t="shared" si="6"/>
        <v>19229686</v>
      </c>
      <c r="BI70" s="393" t="s">
        <v>8</v>
      </c>
    </row>
    <row r="71" spans="1:61" s="394" customFormat="1" ht="66.75" customHeight="1">
      <c r="A71" s="423">
        <v>309</v>
      </c>
      <c r="B71" s="392" t="s">
        <v>282</v>
      </c>
      <c r="C71" s="423">
        <v>4</v>
      </c>
      <c r="D71" s="392" t="s">
        <v>59</v>
      </c>
      <c r="E71" s="423">
        <v>45</v>
      </c>
      <c r="F71" s="392" t="s">
        <v>60</v>
      </c>
      <c r="G71" s="423">
        <v>4502</v>
      </c>
      <c r="H71" s="392" t="s">
        <v>78</v>
      </c>
      <c r="I71" s="423">
        <v>4502</v>
      </c>
      <c r="J71" s="392" t="s">
        <v>79</v>
      </c>
      <c r="K71" s="392" t="s">
        <v>360</v>
      </c>
      <c r="L71" s="423">
        <v>4502024</v>
      </c>
      <c r="M71" s="397" t="s">
        <v>361</v>
      </c>
      <c r="N71" s="423">
        <v>4502024</v>
      </c>
      <c r="O71" s="392" t="s">
        <v>361</v>
      </c>
      <c r="P71" s="388">
        <v>450202400</v>
      </c>
      <c r="Q71" s="397" t="s">
        <v>362</v>
      </c>
      <c r="R71" s="388">
        <v>450202400</v>
      </c>
      <c r="S71" s="397" t="s">
        <v>362</v>
      </c>
      <c r="T71" s="401" t="s">
        <v>69</v>
      </c>
      <c r="U71" s="388">
        <v>10</v>
      </c>
      <c r="V71" s="388"/>
      <c r="W71" s="388">
        <f t="shared" si="8"/>
        <v>10</v>
      </c>
      <c r="X71" s="388">
        <v>10</v>
      </c>
      <c r="Y71" s="389">
        <v>2020003630067</v>
      </c>
      <c r="Z71" s="395" t="s">
        <v>363</v>
      </c>
      <c r="AA71" s="546" t="s">
        <v>364</v>
      </c>
      <c r="AB71" s="185"/>
      <c r="AC71" s="185"/>
      <c r="AD71" s="185"/>
      <c r="AE71" s="185"/>
      <c r="AF71" s="185"/>
      <c r="AG71" s="185"/>
      <c r="AH71" s="185"/>
      <c r="AI71" s="185"/>
      <c r="AJ71" s="185"/>
      <c r="AK71" s="185"/>
      <c r="AL71" s="185"/>
      <c r="AM71" s="185"/>
      <c r="AN71" s="185"/>
      <c r="AO71" s="185"/>
      <c r="AP71" s="185"/>
      <c r="AQ71" s="185"/>
      <c r="AR71" s="185"/>
      <c r="AS71" s="185"/>
      <c r="AT71" s="189">
        <f>50000000+20000000+35000000+26735499+16195000</f>
        <v>147930499</v>
      </c>
      <c r="AU71" s="189">
        <v>141805665</v>
      </c>
      <c r="AV71" s="189">
        <v>141805665</v>
      </c>
      <c r="AW71" s="185"/>
      <c r="AX71" s="185"/>
      <c r="AY71" s="185"/>
      <c r="AZ71" s="185"/>
      <c r="BA71" s="185"/>
      <c r="BB71" s="185"/>
      <c r="BC71" s="185"/>
      <c r="BD71" s="185"/>
      <c r="BE71" s="185"/>
      <c r="BF71" s="192">
        <f t="shared" si="4"/>
        <v>147930499</v>
      </c>
      <c r="BG71" s="192">
        <f t="shared" si="5"/>
        <v>141805665</v>
      </c>
      <c r="BH71" s="192">
        <f t="shared" si="6"/>
        <v>141805665</v>
      </c>
      <c r="BI71" s="393" t="s">
        <v>8</v>
      </c>
    </row>
    <row r="72" spans="1:61" s="394" customFormat="1" ht="66.75" customHeight="1">
      <c r="A72" s="423">
        <v>309</v>
      </c>
      <c r="B72" s="392" t="s">
        <v>282</v>
      </c>
      <c r="C72" s="423">
        <v>4</v>
      </c>
      <c r="D72" s="392" t="s">
        <v>59</v>
      </c>
      <c r="E72" s="423">
        <v>45</v>
      </c>
      <c r="F72" s="392" t="s">
        <v>60</v>
      </c>
      <c r="G72" s="423">
        <v>4502</v>
      </c>
      <c r="H72" s="392" t="s">
        <v>78</v>
      </c>
      <c r="I72" s="423">
        <v>4502</v>
      </c>
      <c r="J72" s="392" t="s">
        <v>79</v>
      </c>
      <c r="K72" s="392" t="s">
        <v>80</v>
      </c>
      <c r="L72" s="423">
        <v>4502001</v>
      </c>
      <c r="M72" s="397" t="s">
        <v>90</v>
      </c>
      <c r="N72" s="425">
        <v>4502001</v>
      </c>
      <c r="O72" s="392" t="s">
        <v>90</v>
      </c>
      <c r="P72" s="423">
        <v>450200100</v>
      </c>
      <c r="Q72" s="397" t="s">
        <v>365</v>
      </c>
      <c r="R72" s="423">
        <v>450200100</v>
      </c>
      <c r="S72" s="397" t="s">
        <v>92</v>
      </c>
      <c r="T72" s="426" t="s">
        <v>69</v>
      </c>
      <c r="U72" s="388">
        <v>3</v>
      </c>
      <c r="V72" s="388"/>
      <c r="W72" s="388">
        <f t="shared" si="8"/>
        <v>3</v>
      </c>
      <c r="X72" s="388">
        <v>3</v>
      </c>
      <c r="Y72" s="389">
        <v>2020003630071</v>
      </c>
      <c r="Z72" s="395" t="s">
        <v>366</v>
      </c>
      <c r="AA72" s="546" t="s">
        <v>367</v>
      </c>
      <c r="AB72" s="185"/>
      <c r="AC72" s="185"/>
      <c r="AD72" s="185"/>
      <c r="AE72" s="185"/>
      <c r="AF72" s="185"/>
      <c r="AG72" s="185"/>
      <c r="AH72" s="185"/>
      <c r="AI72" s="185"/>
      <c r="AJ72" s="185"/>
      <c r="AK72" s="185"/>
      <c r="AL72" s="185"/>
      <c r="AM72" s="185"/>
      <c r="AN72" s="185"/>
      <c r="AO72" s="185"/>
      <c r="AP72" s="185"/>
      <c r="AQ72" s="185"/>
      <c r="AR72" s="185"/>
      <c r="AS72" s="185"/>
      <c r="AT72" s="189">
        <f>128000000+35000000+47000000+1000000+73453000-1000000+38350000-3675000</f>
        <v>318128000</v>
      </c>
      <c r="AU72" s="189">
        <v>300157166</v>
      </c>
      <c r="AV72" s="189">
        <v>300157166</v>
      </c>
      <c r="AW72" s="185"/>
      <c r="AX72" s="185"/>
      <c r="AY72" s="185"/>
      <c r="AZ72" s="185"/>
      <c r="BA72" s="185"/>
      <c r="BB72" s="185"/>
      <c r="BC72" s="185"/>
      <c r="BD72" s="185"/>
      <c r="BE72" s="185"/>
      <c r="BF72" s="192">
        <f t="shared" si="4"/>
        <v>318128000</v>
      </c>
      <c r="BG72" s="192">
        <f t="shared" si="5"/>
        <v>300157166</v>
      </c>
      <c r="BH72" s="192">
        <f t="shared" si="6"/>
        <v>300157166</v>
      </c>
      <c r="BI72" s="393" t="s">
        <v>8</v>
      </c>
    </row>
    <row r="73" spans="1:61" s="394" customFormat="1" ht="66.75" customHeight="1">
      <c r="A73" s="423">
        <v>309</v>
      </c>
      <c r="B73" s="392" t="s">
        <v>282</v>
      </c>
      <c r="C73" s="423">
        <v>4</v>
      </c>
      <c r="D73" s="392" t="s">
        <v>59</v>
      </c>
      <c r="E73" s="423">
        <v>45</v>
      </c>
      <c r="F73" s="392" t="s">
        <v>60</v>
      </c>
      <c r="G73" s="423">
        <v>4502</v>
      </c>
      <c r="H73" s="392" t="s">
        <v>78</v>
      </c>
      <c r="I73" s="423">
        <v>4502</v>
      </c>
      <c r="J73" s="392" t="s">
        <v>79</v>
      </c>
      <c r="K73" s="392" t="s">
        <v>80</v>
      </c>
      <c r="L73" s="423" t="s">
        <v>61</v>
      </c>
      <c r="M73" s="397" t="s">
        <v>368</v>
      </c>
      <c r="N73" s="425">
        <v>4502001</v>
      </c>
      <c r="O73" s="392" t="s">
        <v>90</v>
      </c>
      <c r="P73" s="423" t="s">
        <v>61</v>
      </c>
      <c r="Q73" s="397" t="s">
        <v>369</v>
      </c>
      <c r="R73" s="425">
        <v>450200111</v>
      </c>
      <c r="S73" s="397" t="s">
        <v>370</v>
      </c>
      <c r="T73" s="426" t="s">
        <v>69</v>
      </c>
      <c r="U73" s="293">
        <v>1</v>
      </c>
      <c r="V73" s="293"/>
      <c r="W73" s="388">
        <f t="shared" si="8"/>
        <v>1</v>
      </c>
      <c r="X73" s="388">
        <v>1</v>
      </c>
      <c r="Y73" s="389">
        <v>2020003630071</v>
      </c>
      <c r="Z73" s="395" t="s">
        <v>366</v>
      </c>
      <c r="AA73" s="546" t="s">
        <v>367</v>
      </c>
      <c r="AB73" s="185"/>
      <c r="AC73" s="185"/>
      <c r="AD73" s="185"/>
      <c r="AE73" s="185"/>
      <c r="AF73" s="185"/>
      <c r="AG73" s="185"/>
      <c r="AH73" s="185"/>
      <c r="AI73" s="185"/>
      <c r="AJ73" s="185"/>
      <c r="AK73" s="185"/>
      <c r="AL73" s="185"/>
      <c r="AM73" s="185"/>
      <c r="AN73" s="185"/>
      <c r="AO73" s="185"/>
      <c r="AP73" s="185"/>
      <c r="AQ73" s="185"/>
      <c r="AR73" s="185"/>
      <c r="AS73" s="185"/>
      <c r="AT73" s="189">
        <f>72000000+25000000+10000000+6675000</f>
        <v>113675000</v>
      </c>
      <c r="AU73" s="189">
        <v>113568334</v>
      </c>
      <c r="AV73" s="189">
        <v>113568334</v>
      </c>
      <c r="AW73" s="185"/>
      <c r="AX73" s="185"/>
      <c r="AY73" s="185"/>
      <c r="AZ73" s="185"/>
      <c r="BA73" s="185"/>
      <c r="BB73" s="185"/>
      <c r="BC73" s="185"/>
      <c r="BD73" s="185"/>
      <c r="BE73" s="185"/>
      <c r="BF73" s="192">
        <f t="shared" si="4"/>
        <v>113675000</v>
      </c>
      <c r="BG73" s="192">
        <f t="shared" si="5"/>
        <v>113568334</v>
      </c>
      <c r="BH73" s="192">
        <f t="shared" si="6"/>
        <v>113568334</v>
      </c>
      <c r="BI73" s="393" t="s">
        <v>8</v>
      </c>
    </row>
    <row r="74" spans="1:61" s="394" customFormat="1" ht="66.75" customHeight="1">
      <c r="A74" s="423">
        <v>309</v>
      </c>
      <c r="B74" s="392" t="s">
        <v>282</v>
      </c>
      <c r="C74" s="423">
        <v>4</v>
      </c>
      <c r="D74" s="392" t="s">
        <v>59</v>
      </c>
      <c r="E74" s="423">
        <v>45</v>
      </c>
      <c r="F74" s="392" t="s">
        <v>60</v>
      </c>
      <c r="G74" s="423">
        <v>4502</v>
      </c>
      <c r="H74" s="392" t="s">
        <v>78</v>
      </c>
      <c r="I74" s="423">
        <v>4502</v>
      </c>
      <c r="J74" s="392" t="s">
        <v>79</v>
      </c>
      <c r="K74" s="392" t="s">
        <v>80</v>
      </c>
      <c r="L74" s="423" t="s">
        <v>61</v>
      </c>
      <c r="M74" s="397" t="s">
        <v>371</v>
      </c>
      <c r="N74" s="423">
        <v>4502001</v>
      </c>
      <c r="O74" s="392" t="s">
        <v>90</v>
      </c>
      <c r="P74" s="423" t="s">
        <v>61</v>
      </c>
      <c r="Q74" s="397" t="s">
        <v>372</v>
      </c>
      <c r="R74" s="423">
        <v>450200109</v>
      </c>
      <c r="S74" s="397" t="s">
        <v>373</v>
      </c>
      <c r="T74" s="426" t="s">
        <v>69</v>
      </c>
      <c r="U74" s="388">
        <v>12</v>
      </c>
      <c r="V74" s="388"/>
      <c r="W74" s="388">
        <f t="shared" si="8"/>
        <v>12</v>
      </c>
      <c r="X74" s="388">
        <v>12</v>
      </c>
      <c r="Y74" s="389">
        <v>2020003630071</v>
      </c>
      <c r="Z74" s="395" t="s">
        <v>366</v>
      </c>
      <c r="AA74" s="546" t="s">
        <v>367</v>
      </c>
      <c r="AB74" s="185"/>
      <c r="AC74" s="185"/>
      <c r="AD74" s="185"/>
      <c r="AE74" s="185"/>
      <c r="AF74" s="185"/>
      <c r="AG74" s="185"/>
      <c r="AH74" s="185"/>
      <c r="AI74" s="185"/>
      <c r="AJ74" s="185"/>
      <c r="AK74" s="185"/>
      <c r="AL74" s="185"/>
      <c r="AM74" s="185"/>
      <c r="AN74" s="185"/>
      <c r="AO74" s="185"/>
      <c r="AP74" s="185"/>
      <c r="AQ74" s="185"/>
      <c r="AR74" s="185"/>
      <c r="AS74" s="185"/>
      <c r="AT74" s="189">
        <f>35000000+20000000+100000000-3000000</f>
        <v>152000000</v>
      </c>
      <c r="AU74" s="189">
        <v>149565386</v>
      </c>
      <c r="AV74" s="189">
        <v>149565386</v>
      </c>
      <c r="AW74" s="185"/>
      <c r="AX74" s="185"/>
      <c r="AY74" s="185"/>
      <c r="AZ74" s="185"/>
      <c r="BA74" s="185"/>
      <c r="BB74" s="185"/>
      <c r="BC74" s="185"/>
      <c r="BD74" s="185"/>
      <c r="BE74" s="185"/>
      <c r="BF74" s="192">
        <f t="shared" si="4"/>
        <v>152000000</v>
      </c>
      <c r="BG74" s="192">
        <f t="shared" si="5"/>
        <v>149565386</v>
      </c>
      <c r="BH74" s="192">
        <f t="shared" si="6"/>
        <v>149565386</v>
      </c>
      <c r="BI74" s="393" t="s">
        <v>8</v>
      </c>
    </row>
    <row r="75" spans="1:61" s="394" customFormat="1" ht="66.75" customHeight="1">
      <c r="A75" s="423">
        <v>309</v>
      </c>
      <c r="B75" s="392" t="s">
        <v>282</v>
      </c>
      <c r="C75" s="423">
        <v>4</v>
      </c>
      <c r="D75" s="392" t="s">
        <v>59</v>
      </c>
      <c r="E75" s="423">
        <v>45</v>
      </c>
      <c r="F75" s="392" t="s">
        <v>60</v>
      </c>
      <c r="G75" s="423">
        <v>4502</v>
      </c>
      <c r="H75" s="392" t="s">
        <v>78</v>
      </c>
      <c r="I75" s="423">
        <v>4502</v>
      </c>
      <c r="J75" s="392" t="s">
        <v>79</v>
      </c>
      <c r="K75" s="392" t="s">
        <v>80</v>
      </c>
      <c r="L75" s="423" t="s">
        <v>61</v>
      </c>
      <c r="M75" s="397" t="s">
        <v>374</v>
      </c>
      <c r="N75" s="425">
        <v>4502035</v>
      </c>
      <c r="O75" s="392" t="s">
        <v>375</v>
      </c>
      <c r="P75" s="423" t="s">
        <v>61</v>
      </c>
      <c r="Q75" s="397" t="s">
        <v>376</v>
      </c>
      <c r="R75" s="425">
        <v>450203501</v>
      </c>
      <c r="S75" s="397" t="s">
        <v>377</v>
      </c>
      <c r="T75" s="426" t="s">
        <v>157</v>
      </c>
      <c r="U75" s="388">
        <v>0.2</v>
      </c>
      <c r="V75" s="388"/>
      <c r="W75" s="388">
        <f t="shared" si="8"/>
        <v>0.2</v>
      </c>
      <c r="X75" s="388">
        <v>0.17</v>
      </c>
      <c r="Y75" s="389">
        <v>2020003630071</v>
      </c>
      <c r="Z75" s="395" t="s">
        <v>366</v>
      </c>
      <c r="AA75" s="546" t="s">
        <v>367</v>
      </c>
      <c r="AB75" s="185"/>
      <c r="AC75" s="185"/>
      <c r="AD75" s="185"/>
      <c r="AE75" s="185"/>
      <c r="AF75" s="185"/>
      <c r="AG75" s="185"/>
      <c r="AH75" s="185"/>
      <c r="AI75" s="185"/>
      <c r="AJ75" s="185"/>
      <c r="AK75" s="185"/>
      <c r="AL75" s="185"/>
      <c r="AM75" s="185"/>
      <c r="AN75" s="185"/>
      <c r="AO75" s="185"/>
      <c r="AP75" s="185"/>
      <c r="AQ75" s="185"/>
      <c r="AR75" s="185"/>
      <c r="AS75" s="185"/>
      <c r="AT75" s="189">
        <f>25000000+25000000+5533333+1000000</f>
        <v>56533333</v>
      </c>
      <c r="AU75" s="189">
        <v>56533333</v>
      </c>
      <c r="AV75" s="189">
        <v>56533333</v>
      </c>
      <c r="AW75" s="185"/>
      <c r="AX75" s="185"/>
      <c r="AY75" s="185"/>
      <c r="AZ75" s="185"/>
      <c r="BA75" s="185"/>
      <c r="BB75" s="185"/>
      <c r="BC75" s="185"/>
      <c r="BD75" s="185"/>
      <c r="BE75" s="185"/>
      <c r="BF75" s="192">
        <f t="shared" si="4"/>
        <v>56533333</v>
      </c>
      <c r="BG75" s="192">
        <f t="shared" si="5"/>
        <v>56533333</v>
      </c>
      <c r="BH75" s="192">
        <f t="shared" si="6"/>
        <v>56533333</v>
      </c>
      <c r="BI75" s="393" t="s">
        <v>8</v>
      </c>
    </row>
    <row r="76" spans="1:61" s="394" customFormat="1" ht="66.75" customHeight="1">
      <c r="A76" s="423">
        <v>310</v>
      </c>
      <c r="B76" s="392" t="s">
        <v>378</v>
      </c>
      <c r="C76" s="423">
        <v>1</v>
      </c>
      <c r="D76" s="392" t="s">
        <v>148</v>
      </c>
      <c r="E76" s="423">
        <v>33</v>
      </c>
      <c r="F76" s="392" t="s">
        <v>170</v>
      </c>
      <c r="G76" s="423">
        <v>3301</v>
      </c>
      <c r="H76" s="392" t="s">
        <v>171</v>
      </c>
      <c r="I76" s="423">
        <v>3301</v>
      </c>
      <c r="J76" s="392" t="s">
        <v>172</v>
      </c>
      <c r="K76" s="392" t="s">
        <v>379</v>
      </c>
      <c r="L76" s="423">
        <v>3301087</v>
      </c>
      <c r="M76" s="397" t="s">
        <v>380</v>
      </c>
      <c r="N76" s="423">
        <v>3301087</v>
      </c>
      <c r="O76" s="392" t="s">
        <v>380</v>
      </c>
      <c r="P76" s="423">
        <v>330108701</v>
      </c>
      <c r="Q76" s="393" t="s">
        <v>351</v>
      </c>
      <c r="R76" s="423">
        <v>330108701</v>
      </c>
      <c r="S76" s="397" t="s">
        <v>351</v>
      </c>
      <c r="T76" s="401" t="s">
        <v>157</v>
      </c>
      <c r="U76" s="388">
        <v>5750</v>
      </c>
      <c r="V76" s="388"/>
      <c r="W76" s="388">
        <f t="shared" si="8"/>
        <v>5750</v>
      </c>
      <c r="X76" s="388">
        <v>5750</v>
      </c>
      <c r="Y76" s="389">
        <v>2020003630021</v>
      </c>
      <c r="Z76" s="395" t="s">
        <v>381</v>
      </c>
      <c r="AA76" s="546" t="s">
        <v>382</v>
      </c>
      <c r="AB76" s="284"/>
      <c r="AC76" s="284"/>
      <c r="AD76" s="284"/>
      <c r="AE76" s="185"/>
      <c r="AF76" s="185"/>
      <c r="AG76" s="185"/>
      <c r="AH76" s="185"/>
      <c r="AI76" s="185"/>
      <c r="AJ76" s="185"/>
      <c r="AK76" s="185"/>
      <c r="AL76" s="185"/>
      <c r="AM76" s="185"/>
      <c r="AN76" s="185"/>
      <c r="AO76" s="185"/>
      <c r="AP76" s="185"/>
      <c r="AQ76" s="185"/>
      <c r="AR76" s="185"/>
      <c r="AS76" s="185"/>
      <c r="AT76" s="190">
        <f>336838679+100000000+80000000</f>
        <v>516838679</v>
      </c>
      <c r="AU76" s="190">
        <v>500938001</v>
      </c>
      <c r="AV76" s="190">
        <v>500938001</v>
      </c>
      <c r="AW76" s="185"/>
      <c r="AX76" s="185"/>
      <c r="AY76" s="185"/>
      <c r="AZ76" s="185"/>
      <c r="BA76" s="185"/>
      <c r="BB76" s="185"/>
      <c r="BC76" s="185"/>
      <c r="BD76" s="185"/>
      <c r="BE76" s="185"/>
      <c r="BF76" s="192">
        <f t="shared" si="4"/>
        <v>516838679</v>
      </c>
      <c r="BG76" s="192">
        <f t="shared" si="5"/>
        <v>500938001</v>
      </c>
      <c r="BH76" s="192">
        <f t="shared" si="6"/>
        <v>500938001</v>
      </c>
      <c r="BI76" s="393" t="s">
        <v>11</v>
      </c>
    </row>
    <row r="77" spans="1:61" s="394" customFormat="1" ht="66.75" customHeight="1">
      <c r="A77" s="423">
        <v>310</v>
      </c>
      <c r="B77" s="392" t="s">
        <v>378</v>
      </c>
      <c r="C77" s="423">
        <v>1</v>
      </c>
      <c r="D77" s="392" t="s">
        <v>148</v>
      </c>
      <c r="E77" s="423">
        <v>33</v>
      </c>
      <c r="F77" s="392" t="s">
        <v>170</v>
      </c>
      <c r="G77" s="423">
        <v>3301</v>
      </c>
      <c r="H77" s="392" t="s">
        <v>171</v>
      </c>
      <c r="I77" s="423">
        <v>3301</v>
      </c>
      <c r="J77" s="392" t="s">
        <v>172</v>
      </c>
      <c r="K77" s="392" t="s">
        <v>383</v>
      </c>
      <c r="L77" s="423">
        <v>3301073</v>
      </c>
      <c r="M77" s="397" t="s">
        <v>384</v>
      </c>
      <c r="N77" s="423">
        <v>3301073</v>
      </c>
      <c r="O77" s="392" t="s">
        <v>384</v>
      </c>
      <c r="P77" s="423">
        <v>330107301</v>
      </c>
      <c r="Q77" s="397" t="s">
        <v>385</v>
      </c>
      <c r="R77" s="423">
        <v>330107301</v>
      </c>
      <c r="S77" s="397" t="s">
        <v>385</v>
      </c>
      <c r="T77" s="401" t="s">
        <v>157</v>
      </c>
      <c r="U77" s="388">
        <v>550</v>
      </c>
      <c r="V77" s="388"/>
      <c r="W77" s="388">
        <f t="shared" si="8"/>
        <v>550</v>
      </c>
      <c r="X77" s="388">
        <v>637</v>
      </c>
      <c r="Y77" s="389">
        <v>2020003630021</v>
      </c>
      <c r="Z77" s="395" t="s">
        <v>381</v>
      </c>
      <c r="AA77" s="546" t="s">
        <v>382</v>
      </c>
      <c r="AB77" s="185">
        <f>1498231249+405865979.33+71938618.98</f>
        <v>1976035847.3099999</v>
      </c>
      <c r="AC77" s="185">
        <v>1898809511.96</v>
      </c>
      <c r="AD77" s="185">
        <v>1855381855.8299999</v>
      </c>
      <c r="AE77" s="185"/>
      <c r="AF77" s="185"/>
      <c r="AG77" s="185"/>
      <c r="AH77" s="185"/>
      <c r="AI77" s="185"/>
      <c r="AJ77" s="185"/>
      <c r="AK77" s="185"/>
      <c r="AL77" s="185"/>
      <c r="AM77" s="185"/>
      <c r="AN77" s="185"/>
      <c r="AO77" s="185"/>
      <c r="AP77" s="185"/>
      <c r="AQ77" s="185"/>
      <c r="AR77" s="185"/>
      <c r="AS77" s="185"/>
      <c r="AT77" s="189">
        <f>150000000+320000000+100000000+170000000+90000000+70000000-64000000</f>
        <v>836000000</v>
      </c>
      <c r="AU77" s="189">
        <v>822357000.33999991</v>
      </c>
      <c r="AV77" s="190">
        <v>822357000.33999991</v>
      </c>
      <c r="AW77" s="185"/>
      <c r="AX77" s="185"/>
      <c r="AY77" s="185"/>
      <c r="AZ77" s="185"/>
      <c r="BA77" s="185"/>
      <c r="BB77" s="185"/>
      <c r="BC77" s="185"/>
      <c r="BD77" s="185"/>
      <c r="BE77" s="185"/>
      <c r="BF77" s="192">
        <f t="shared" si="4"/>
        <v>2812035847.3099999</v>
      </c>
      <c r="BG77" s="192">
        <f t="shared" si="5"/>
        <v>2721166512.3000002</v>
      </c>
      <c r="BH77" s="192">
        <f t="shared" si="6"/>
        <v>2677738856.1700001</v>
      </c>
      <c r="BI77" s="393" t="s">
        <v>11</v>
      </c>
    </row>
    <row r="78" spans="1:61" s="396" customFormat="1" ht="66.75" customHeight="1">
      <c r="A78" s="423">
        <v>310</v>
      </c>
      <c r="B78" s="392" t="s">
        <v>378</v>
      </c>
      <c r="C78" s="423">
        <v>1</v>
      </c>
      <c r="D78" s="392" t="s">
        <v>148</v>
      </c>
      <c r="E78" s="423">
        <v>33</v>
      </c>
      <c r="F78" s="392" t="s">
        <v>170</v>
      </c>
      <c r="G78" s="423">
        <v>3301</v>
      </c>
      <c r="H78" s="392" t="s">
        <v>171</v>
      </c>
      <c r="I78" s="423">
        <v>3301</v>
      </c>
      <c r="J78" s="392" t="s">
        <v>172</v>
      </c>
      <c r="K78" s="397" t="s">
        <v>173</v>
      </c>
      <c r="L78" s="423" t="s">
        <v>61</v>
      </c>
      <c r="M78" s="397" t="s">
        <v>386</v>
      </c>
      <c r="N78" s="423">
        <v>3301070</v>
      </c>
      <c r="O78" s="392" t="s">
        <v>387</v>
      </c>
      <c r="P78" s="423" t="s">
        <v>61</v>
      </c>
      <c r="Q78" s="397" t="s">
        <v>388</v>
      </c>
      <c r="R78" s="423">
        <v>330107000</v>
      </c>
      <c r="S78" s="397" t="s">
        <v>103</v>
      </c>
      <c r="T78" s="401" t="s">
        <v>157</v>
      </c>
      <c r="U78" s="388">
        <v>0.3</v>
      </c>
      <c r="V78" s="388">
        <v>0.05</v>
      </c>
      <c r="W78" s="388">
        <f t="shared" si="8"/>
        <v>0.35</v>
      </c>
      <c r="X78" s="388">
        <v>0.35</v>
      </c>
      <c r="Y78" s="389">
        <v>2020003630021</v>
      </c>
      <c r="Z78" s="395" t="s">
        <v>381</v>
      </c>
      <c r="AA78" s="546" t="s">
        <v>382</v>
      </c>
      <c r="AB78" s="294"/>
      <c r="AC78" s="294"/>
      <c r="AD78" s="294"/>
      <c r="AE78" s="185"/>
      <c r="AF78" s="185"/>
      <c r="AG78" s="185"/>
      <c r="AH78" s="185"/>
      <c r="AI78" s="185"/>
      <c r="AJ78" s="185"/>
      <c r="AK78" s="185"/>
      <c r="AL78" s="185"/>
      <c r="AM78" s="185"/>
      <c r="AN78" s="185"/>
      <c r="AO78" s="185"/>
      <c r="AP78" s="185"/>
      <c r="AQ78" s="185"/>
      <c r="AR78" s="185"/>
      <c r="AS78" s="185"/>
      <c r="AT78" s="190">
        <f>36000000+15000000</f>
        <v>51000000</v>
      </c>
      <c r="AU78" s="190">
        <v>45013333</v>
      </c>
      <c r="AV78" s="190">
        <v>45013333</v>
      </c>
      <c r="AW78" s="185"/>
      <c r="AX78" s="185"/>
      <c r="AY78" s="185"/>
      <c r="AZ78" s="185"/>
      <c r="BA78" s="185"/>
      <c r="BB78" s="185"/>
      <c r="BC78" s="185"/>
      <c r="BD78" s="185"/>
      <c r="BE78" s="185"/>
      <c r="BF78" s="192">
        <f t="shared" si="4"/>
        <v>51000000</v>
      </c>
      <c r="BG78" s="192">
        <f t="shared" si="5"/>
        <v>45013333</v>
      </c>
      <c r="BH78" s="192">
        <f t="shared" si="6"/>
        <v>45013333</v>
      </c>
      <c r="BI78" s="393" t="s">
        <v>11</v>
      </c>
    </row>
    <row r="79" spans="1:61" s="396" customFormat="1" ht="66.75" customHeight="1">
      <c r="A79" s="423">
        <v>310</v>
      </c>
      <c r="B79" s="392" t="s">
        <v>378</v>
      </c>
      <c r="C79" s="423">
        <v>1</v>
      </c>
      <c r="D79" s="392" t="s">
        <v>148</v>
      </c>
      <c r="E79" s="423">
        <v>33</v>
      </c>
      <c r="F79" s="392" t="s">
        <v>170</v>
      </c>
      <c r="G79" s="423">
        <v>3301</v>
      </c>
      <c r="H79" s="392" t="s">
        <v>171</v>
      </c>
      <c r="I79" s="423">
        <v>3301</v>
      </c>
      <c r="J79" s="392" t="s">
        <v>172</v>
      </c>
      <c r="K79" s="392" t="s">
        <v>383</v>
      </c>
      <c r="L79" s="423">
        <v>3301099</v>
      </c>
      <c r="M79" s="397" t="s">
        <v>389</v>
      </c>
      <c r="N79" s="423">
        <v>3301099</v>
      </c>
      <c r="O79" s="392" t="s">
        <v>389</v>
      </c>
      <c r="P79" s="423">
        <v>330109900</v>
      </c>
      <c r="Q79" s="397" t="s">
        <v>390</v>
      </c>
      <c r="R79" s="423">
        <v>330109900</v>
      </c>
      <c r="S79" s="397" t="s">
        <v>390</v>
      </c>
      <c r="T79" s="388" t="s">
        <v>69</v>
      </c>
      <c r="U79" s="388">
        <v>1</v>
      </c>
      <c r="V79" s="388"/>
      <c r="W79" s="388">
        <f t="shared" si="8"/>
        <v>1</v>
      </c>
      <c r="X79" s="388">
        <v>1</v>
      </c>
      <c r="Y79" s="389">
        <v>2020003630021</v>
      </c>
      <c r="Z79" s="395" t="s">
        <v>381</v>
      </c>
      <c r="AA79" s="546" t="s">
        <v>382</v>
      </c>
      <c r="AB79" s="294"/>
      <c r="AC79" s="294"/>
      <c r="AD79" s="294"/>
      <c r="AE79" s="185"/>
      <c r="AF79" s="185"/>
      <c r="AG79" s="185"/>
      <c r="AH79" s="185"/>
      <c r="AI79" s="185"/>
      <c r="AJ79" s="185"/>
      <c r="AK79" s="185"/>
      <c r="AL79" s="185"/>
      <c r="AM79" s="185"/>
      <c r="AN79" s="185"/>
      <c r="AO79" s="185"/>
      <c r="AP79" s="185"/>
      <c r="AQ79" s="185"/>
      <c r="AR79" s="185"/>
      <c r="AS79" s="185"/>
      <c r="AT79" s="190">
        <f>30000000+10000000</f>
        <v>40000000</v>
      </c>
      <c r="AU79" s="190">
        <v>40000000</v>
      </c>
      <c r="AV79" s="190">
        <v>40000000</v>
      </c>
      <c r="AW79" s="185"/>
      <c r="AX79" s="185"/>
      <c r="AY79" s="185"/>
      <c r="AZ79" s="185"/>
      <c r="BA79" s="185"/>
      <c r="BB79" s="185"/>
      <c r="BC79" s="185"/>
      <c r="BD79" s="185"/>
      <c r="BE79" s="185"/>
      <c r="BF79" s="192">
        <f t="shared" si="4"/>
        <v>40000000</v>
      </c>
      <c r="BG79" s="192">
        <f t="shared" si="5"/>
        <v>40000000</v>
      </c>
      <c r="BH79" s="192">
        <f t="shared" si="6"/>
        <v>40000000</v>
      </c>
      <c r="BI79" s="393" t="s">
        <v>11</v>
      </c>
    </row>
    <row r="80" spans="1:61" s="396" customFormat="1" ht="66.75" customHeight="1">
      <c r="A80" s="423">
        <v>310</v>
      </c>
      <c r="B80" s="392" t="s">
        <v>378</v>
      </c>
      <c r="C80" s="423">
        <v>1</v>
      </c>
      <c r="D80" s="392" t="s">
        <v>148</v>
      </c>
      <c r="E80" s="423">
        <v>33</v>
      </c>
      <c r="F80" s="392" t="s">
        <v>170</v>
      </c>
      <c r="G80" s="423">
        <v>3301</v>
      </c>
      <c r="H80" s="392" t="s">
        <v>171</v>
      </c>
      <c r="I80" s="423">
        <v>3301</v>
      </c>
      <c r="J80" s="392" t="s">
        <v>172</v>
      </c>
      <c r="K80" s="392" t="s">
        <v>379</v>
      </c>
      <c r="L80" s="423">
        <v>3301052</v>
      </c>
      <c r="M80" s="397" t="s">
        <v>391</v>
      </c>
      <c r="N80" s="423">
        <v>3301052</v>
      </c>
      <c r="O80" s="392" t="s">
        <v>391</v>
      </c>
      <c r="P80" s="295">
        <v>330105203</v>
      </c>
      <c r="Q80" s="397" t="s">
        <v>392</v>
      </c>
      <c r="R80" s="295">
        <v>330105203</v>
      </c>
      <c r="S80" s="397" t="s">
        <v>392</v>
      </c>
      <c r="T80" s="388" t="s">
        <v>69</v>
      </c>
      <c r="U80" s="388">
        <v>135</v>
      </c>
      <c r="V80" s="388"/>
      <c r="W80" s="388">
        <f t="shared" si="8"/>
        <v>135</v>
      </c>
      <c r="X80" s="388">
        <v>100</v>
      </c>
      <c r="Y80" s="389">
        <v>2020003630021</v>
      </c>
      <c r="Z80" s="395" t="s">
        <v>381</v>
      </c>
      <c r="AA80" s="546" t="s">
        <v>382</v>
      </c>
      <c r="AB80" s="294"/>
      <c r="AC80" s="294"/>
      <c r="AD80" s="294"/>
      <c r="AE80" s="185"/>
      <c r="AF80" s="185"/>
      <c r="AG80" s="185"/>
      <c r="AH80" s="185"/>
      <c r="AI80" s="185"/>
      <c r="AJ80" s="185"/>
      <c r="AK80" s="185"/>
      <c r="AL80" s="185"/>
      <c r="AM80" s="185"/>
      <c r="AN80" s="185"/>
      <c r="AO80" s="185"/>
      <c r="AP80" s="185"/>
      <c r="AQ80" s="185"/>
      <c r="AR80" s="185"/>
      <c r="AS80" s="185"/>
      <c r="AT80" s="190">
        <v>20000000</v>
      </c>
      <c r="AU80" s="190"/>
      <c r="AV80" s="190">
        <v>0</v>
      </c>
      <c r="AW80" s="185"/>
      <c r="AX80" s="185"/>
      <c r="AY80" s="185"/>
      <c r="AZ80" s="185"/>
      <c r="BA80" s="185"/>
      <c r="BB80" s="185"/>
      <c r="BC80" s="185"/>
      <c r="BD80" s="185"/>
      <c r="BE80" s="185"/>
      <c r="BF80" s="192">
        <f t="shared" si="4"/>
        <v>20000000</v>
      </c>
      <c r="BG80" s="192">
        <f t="shared" si="5"/>
        <v>0</v>
      </c>
      <c r="BH80" s="192">
        <f t="shared" si="6"/>
        <v>0</v>
      </c>
      <c r="BI80" s="393" t="s">
        <v>11</v>
      </c>
    </row>
    <row r="81" spans="1:61" s="396" customFormat="1" ht="66.75" customHeight="1">
      <c r="A81" s="423">
        <v>310</v>
      </c>
      <c r="B81" s="392" t="s">
        <v>378</v>
      </c>
      <c r="C81" s="423">
        <v>1</v>
      </c>
      <c r="D81" s="392" t="s">
        <v>148</v>
      </c>
      <c r="E81" s="423">
        <v>33</v>
      </c>
      <c r="F81" s="392" t="s">
        <v>170</v>
      </c>
      <c r="G81" s="423">
        <v>3301</v>
      </c>
      <c r="H81" s="392" t="s">
        <v>171</v>
      </c>
      <c r="I81" s="423">
        <v>3301</v>
      </c>
      <c r="J81" s="392" t="s">
        <v>172</v>
      </c>
      <c r="K81" s="392" t="s">
        <v>393</v>
      </c>
      <c r="L81" s="423">
        <v>3301085</v>
      </c>
      <c r="M81" s="397" t="s">
        <v>394</v>
      </c>
      <c r="N81" s="423">
        <v>3301085</v>
      </c>
      <c r="O81" s="392" t="s">
        <v>394</v>
      </c>
      <c r="P81" s="423" t="s">
        <v>395</v>
      </c>
      <c r="Q81" s="397" t="s">
        <v>396</v>
      </c>
      <c r="R81" s="423" t="s">
        <v>395</v>
      </c>
      <c r="S81" s="397" t="s">
        <v>396</v>
      </c>
      <c r="T81" s="401" t="s">
        <v>157</v>
      </c>
      <c r="U81" s="463">
        <v>115000</v>
      </c>
      <c r="V81" s="463"/>
      <c r="W81" s="296">
        <f t="shared" si="8"/>
        <v>115000</v>
      </c>
      <c r="X81" s="296">
        <v>115500</v>
      </c>
      <c r="Y81" s="389">
        <v>2020003630020</v>
      </c>
      <c r="Z81" s="395" t="s">
        <v>397</v>
      </c>
      <c r="AA81" s="549" t="s">
        <v>398</v>
      </c>
      <c r="AB81" s="190">
        <f>139705208+73048930.18</f>
        <v>212754138.18000001</v>
      </c>
      <c r="AC81" s="190">
        <v>157910834</v>
      </c>
      <c r="AD81" s="190">
        <v>157910834</v>
      </c>
      <c r="AE81" s="185"/>
      <c r="AF81" s="185"/>
      <c r="AG81" s="185"/>
      <c r="AH81" s="185"/>
      <c r="AI81" s="185"/>
      <c r="AJ81" s="185"/>
      <c r="AK81" s="185"/>
      <c r="AL81" s="185"/>
      <c r="AM81" s="185"/>
      <c r="AN81" s="185"/>
      <c r="AO81" s="185"/>
      <c r="AP81" s="185"/>
      <c r="AQ81" s="185"/>
      <c r="AR81" s="185"/>
      <c r="AS81" s="185"/>
      <c r="AT81" s="189">
        <f>20000000+35000000+160000000-5000000+69000000</f>
        <v>279000000</v>
      </c>
      <c r="AU81" s="189">
        <v>275293333</v>
      </c>
      <c r="AV81" s="190">
        <v>275293333</v>
      </c>
      <c r="AW81" s="185"/>
      <c r="AX81" s="185"/>
      <c r="AY81" s="185"/>
      <c r="AZ81" s="185"/>
      <c r="BA81" s="185"/>
      <c r="BB81" s="185"/>
      <c r="BC81" s="185"/>
      <c r="BD81" s="185"/>
      <c r="BE81" s="185"/>
      <c r="BF81" s="192">
        <f t="shared" si="4"/>
        <v>491754138.18000001</v>
      </c>
      <c r="BG81" s="192">
        <f t="shared" si="5"/>
        <v>433204167</v>
      </c>
      <c r="BH81" s="192">
        <f t="shared" si="6"/>
        <v>433204167</v>
      </c>
      <c r="BI81" s="393" t="s">
        <v>11</v>
      </c>
    </row>
    <row r="82" spans="1:61" s="396" customFormat="1" ht="66.75" customHeight="1">
      <c r="A82" s="423">
        <v>310</v>
      </c>
      <c r="B82" s="392" t="s">
        <v>378</v>
      </c>
      <c r="C82" s="423">
        <v>1</v>
      </c>
      <c r="D82" s="392" t="s">
        <v>148</v>
      </c>
      <c r="E82" s="423">
        <v>33</v>
      </c>
      <c r="F82" s="392" t="s">
        <v>170</v>
      </c>
      <c r="G82" s="423">
        <v>3301</v>
      </c>
      <c r="H82" s="392" t="s">
        <v>171</v>
      </c>
      <c r="I82" s="423">
        <v>3301</v>
      </c>
      <c r="J82" s="392" t="s">
        <v>172</v>
      </c>
      <c r="K82" s="392" t="s">
        <v>393</v>
      </c>
      <c r="L82" s="423">
        <v>3301100</v>
      </c>
      <c r="M82" s="397" t="s">
        <v>399</v>
      </c>
      <c r="N82" s="423">
        <v>3301100</v>
      </c>
      <c r="O82" s="392" t="s">
        <v>399</v>
      </c>
      <c r="P82" s="295" t="s">
        <v>400</v>
      </c>
      <c r="Q82" s="397" t="s">
        <v>401</v>
      </c>
      <c r="R82" s="295" t="s">
        <v>400</v>
      </c>
      <c r="S82" s="397" t="s">
        <v>401</v>
      </c>
      <c r="T82" s="401" t="s">
        <v>157</v>
      </c>
      <c r="U82" s="388">
        <v>10</v>
      </c>
      <c r="V82" s="388"/>
      <c r="W82" s="388">
        <f t="shared" si="8"/>
        <v>10</v>
      </c>
      <c r="X82" s="388">
        <v>10</v>
      </c>
      <c r="Y82" s="389">
        <v>2020003630020</v>
      </c>
      <c r="Z82" s="393" t="s">
        <v>397</v>
      </c>
      <c r="AA82" s="549" t="s">
        <v>398</v>
      </c>
      <c r="AB82" s="190">
        <v>110000000</v>
      </c>
      <c r="AC82" s="190">
        <v>54611000</v>
      </c>
      <c r="AD82" s="190">
        <v>54611000</v>
      </c>
      <c r="AE82" s="185"/>
      <c r="AF82" s="185"/>
      <c r="AG82" s="185"/>
      <c r="AH82" s="185"/>
      <c r="AI82" s="185"/>
      <c r="AJ82" s="185"/>
      <c r="AK82" s="185"/>
      <c r="AL82" s="185"/>
      <c r="AM82" s="185"/>
      <c r="AN82" s="185"/>
      <c r="AO82" s="185"/>
      <c r="AP82" s="185"/>
      <c r="AQ82" s="185"/>
      <c r="AR82" s="185"/>
      <c r="AS82" s="185"/>
      <c r="AT82" s="185">
        <f>18000000+100000000+15000000+40000000</f>
        <v>173000000</v>
      </c>
      <c r="AU82" s="185">
        <v>173000000</v>
      </c>
      <c r="AV82" s="190">
        <v>173000000</v>
      </c>
      <c r="AW82" s="185"/>
      <c r="AX82" s="185"/>
      <c r="AY82" s="185"/>
      <c r="AZ82" s="185"/>
      <c r="BA82" s="185"/>
      <c r="BB82" s="185"/>
      <c r="BC82" s="185"/>
      <c r="BD82" s="185"/>
      <c r="BE82" s="185"/>
      <c r="BF82" s="192">
        <f t="shared" si="4"/>
        <v>283000000</v>
      </c>
      <c r="BG82" s="192">
        <f t="shared" si="5"/>
        <v>227611000</v>
      </c>
      <c r="BH82" s="192">
        <f t="shared" si="6"/>
        <v>227611000</v>
      </c>
      <c r="BI82" s="393" t="s">
        <v>11</v>
      </c>
    </row>
    <row r="83" spans="1:61" s="396" customFormat="1" ht="66.75" customHeight="1">
      <c r="A83" s="423">
        <v>310</v>
      </c>
      <c r="B83" s="392" t="s">
        <v>378</v>
      </c>
      <c r="C83" s="423">
        <v>1</v>
      </c>
      <c r="D83" s="392" t="s">
        <v>148</v>
      </c>
      <c r="E83" s="423">
        <v>33</v>
      </c>
      <c r="F83" s="392" t="s">
        <v>170</v>
      </c>
      <c r="G83" s="423">
        <v>3301</v>
      </c>
      <c r="H83" s="392" t="s">
        <v>171</v>
      </c>
      <c r="I83" s="423">
        <v>3301</v>
      </c>
      <c r="J83" s="392" t="s">
        <v>172</v>
      </c>
      <c r="K83" s="392" t="s">
        <v>383</v>
      </c>
      <c r="L83" s="423">
        <v>3301095</v>
      </c>
      <c r="M83" s="397" t="s">
        <v>402</v>
      </c>
      <c r="N83" s="423">
        <v>3301095</v>
      </c>
      <c r="O83" s="392" t="s">
        <v>402</v>
      </c>
      <c r="P83" s="423" t="s">
        <v>403</v>
      </c>
      <c r="Q83" s="397" t="s">
        <v>404</v>
      </c>
      <c r="R83" s="423" t="s">
        <v>403</v>
      </c>
      <c r="S83" s="393" t="s">
        <v>404</v>
      </c>
      <c r="T83" s="401" t="s">
        <v>157</v>
      </c>
      <c r="U83" s="388">
        <v>150</v>
      </c>
      <c r="V83" s="388">
        <v>261</v>
      </c>
      <c r="W83" s="388">
        <f t="shared" si="8"/>
        <v>411</v>
      </c>
      <c r="X83" s="388">
        <v>15</v>
      </c>
      <c r="Y83" s="389">
        <v>2020003630072</v>
      </c>
      <c r="Z83" s="395" t="s">
        <v>405</v>
      </c>
      <c r="AA83" s="547" t="s">
        <v>406</v>
      </c>
      <c r="AB83" s="185">
        <f>249705208+99878270.55</f>
        <v>349583478.55000001</v>
      </c>
      <c r="AC83" s="185">
        <v>316465507</v>
      </c>
      <c r="AD83" s="185">
        <v>316465507</v>
      </c>
      <c r="AE83" s="185"/>
      <c r="AF83" s="185"/>
      <c r="AG83" s="185"/>
      <c r="AH83" s="185"/>
      <c r="AI83" s="185"/>
      <c r="AJ83" s="185"/>
      <c r="AK83" s="185"/>
      <c r="AL83" s="185"/>
      <c r="AM83" s="185"/>
      <c r="AN83" s="185"/>
      <c r="AO83" s="185"/>
      <c r="AP83" s="185"/>
      <c r="AQ83" s="185"/>
      <c r="AR83" s="185"/>
      <c r="AS83" s="185"/>
      <c r="AT83" s="190">
        <v>20000000</v>
      </c>
      <c r="AU83" s="190">
        <v>19670000</v>
      </c>
      <c r="AV83" s="190">
        <v>19670000</v>
      </c>
      <c r="AW83" s="185"/>
      <c r="AX83" s="185"/>
      <c r="AY83" s="185"/>
      <c r="AZ83" s="185"/>
      <c r="BA83" s="185"/>
      <c r="BB83" s="185"/>
      <c r="BC83" s="185"/>
      <c r="BD83" s="185"/>
      <c r="BE83" s="185"/>
      <c r="BF83" s="192">
        <f t="shared" si="4"/>
        <v>369583478.55000001</v>
      </c>
      <c r="BG83" s="192">
        <f t="shared" si="5"/>
        <v>336135507</v>
      </c>
      <c r="BH83" s="192">
        <f t="shared" si="6"/>
        <v>336135507</v>
      </c>
      <c r="BI83" s="393" t="s">
        <v>11</v>
      </c>
    </row>
    <row r="84" spans="1:61" s="396" customFormat="1" ht="66.75" customHeight="1">
      <c r="A84" s="423">
        <v>310</v>
      </c>
      <c r="B84" s="392" t="s">
        <v>378</v>
      </c>
      <c r="C84" s="423">
        <v>1</v>
      </c>
      <c r="D84" s="392" t="s">
        <v>148</v>
      </c>
      <c r="E84" s="423">
        <v>33</v>
      </c>
      <c r="F84" s="392" t="s">
        <v>170</v>
      </c>
      <c r="G84" s="423">
        <v>3302</v>
      </c>
      <c r="H84" s="392" t="s">
        <v>407</v>
      </c>
      <c r="I84" s="423">
        <v>3302</v>
      </c>
      <c r="J84" s="392" t="s">
        <v>408</v>
      </c>
      <c r="K84" s="392" t="s">
        <v>409</v>
      </c>
      <c r="L84" s="290">
        <v>3302042</v>
      </c>
      <c r="M84" s="397" t="s">
        <v>410</v>
      </c>
      <c r="N84" s="290">
        <v>3302042</v>
      </c>
      <c r="O84" s="392" t="s">
        <v>410</v>
      </c>
      <c r="P84" s="423" t="s">
        <v>411</v>
      </c>
      <c r="Q84" s="397" t="s">
        <v>412</v>
      </c>
      <c r="R84" s="423" t="s">
        <v>411</v>
      </c>
      <c r="S84" s="397" t="s">
        <v>412</v>
      </c>
      <c r="T84" s="401" t="s">
        <v>157</v>
      </c>
      <c r="U84" s="388">
        <v>12</v>
      </c>
      <c r="V84" s="388"/>
      <c r="W84" s="388">
        <f t="shared" si="8"/>
        <v>12</v>
      </c>
      <c r="X84" s="388">
        <v>12</v>
      </c>
      <c r="Y84" s="389">
        <v>2020003630073</v>
      </c>
      <c r="Z84" s="395" t="s">
        <v>413</v>
      </c>
      <c r="AA84" s="546" t="s">
        <v>414</v>
      </c>
      <c r="AB84" s="185"/>
      <c r="AC84" s="185"/>
      <c r="AD84" s="185"/>
      <c r="AE84" s="185"/>
      <c r="AF84" s="185"/>
      <c r="AG84" s="185"/>
      <c r="AH84" s="185"/>
      <c r="AI84" s="185"/>
      <c r="AJ84" s="185"/>
      <c r="AK84" s="185"/>
      <c r="AL84" s="185"/>
      <c r="AM84" s="185"/>
      <c r="AN84" s="185"/>
      <c r="AO84" s="185"/>
      <c r="AP84" s="185"/>
      <c r="AQ84" s="185"/>
      <c r="AR84" s="185"/>
      <c r="AS84" s="185"/>
      <c r="AT84" s="189">
        <f>66500000+40000000</f>
        <v>106500000</v>
      </c>
      <c r="AU84" s="189">
        <v>106155333</v>
      </c>
      <c r="AV84" s="190">
        <v>106155333</v>
      </c>
      <c r="AW84" s="284"/>
      <c r="AX84" s="284"/>
      <c r="AY84" s="284"/>
      <c r="AZ84" s="284"/>
      <c r="BA84" s="284"/>
      <c r="BB84" s="284"/>
      <c r="BC84" s="192"/>
      <c r="BD84" s="192"/>
      <c r="BE84" s="192"/>
      <c r="BF84" s="192">
        <f t="shared" si="4"/>
        <v>106500000</v>
      </c>
      <c r="BG84" s="192">
        <f t="shared" si="5"/>
        <v>106155333</v>
      </c>
      <c r="BH84" s="192">
        <f t="shared" si="6"/>
        <v>106155333</v>
      </c>
      <c r="BI84" s="393" t="s">
        <v>11</v>
      </c>
    </row>
    <row r="85" spans="1:61" s="396" customFormat="1" ht="66.75" customHeight="1">
      <c r="A85" s="423">
        <v>310</v>
      </c>
      <c r="B85" s="392" t="s">
        <v>378</v>
      </c>
      <c r="C85" s="423">
        <v>1</v>
      </c>
      <c r="D85" s="392" t="s">
        <v>148</v>
      </c>
      <c r="E85" s="423">
        <v>33</v>
      </c>
      <c r="F85" s="392" t="s">
        <v>170</v>
      </c>
      <c r="G85" s="423">
        <v>3302</v>
      </c>
      <c r="H85" s="392" t="s">
        <v>407</v>
      </c>
      <c r="I85" s="423">
        <v>3302</v>
      </c>
      <c r="J85" s="392" t="s">
        <v>408</v>
      </c>
      <c r="K85" s="392" t="s">
        <v>409</v>
      </c>
      <c r="L85" s="290">
        <v>3302070</v>
      </c>
      <c r="M85" s="397" t="s">
        <v>415</v>
      </c>
      <c r="N85" s="290">
        <v>3302070</v>
      </c>
      <c r="O85" s="392" t="s">
        <v>415</v>
      </c>
      <c r="P85" s="295" t="s">
        <v>416</v>
      </c>
      <c r="Q85" s="397" t="s">
        <v>401</v>
      </c>
      <c r="R85" s="295" t="s">
        <v>416</v>
      </c>
      <c r="S85" s="397" t="s">
        <v>401</v>
      </c>
      <c r="T85" s="401" t="s">
        <v>69</v>
      </c>
      <c r="U85" s="388">
        <v>4</v>
      </c>
      <c r="V85" s="388"/>
      <c r="W85" s="388">
        <f t="shared" si="8"/>
        <v>4</v>
      </c>
      <c r="X85" s="388">
        <v>4</v>
      </c>
      <c r="Y85" s="389">
        <v>2020003630073</v>
      </c>
      <c r="Z85" s="395" t="s">
        <v>413</v>
      </c>
      <c r="AA85" s="546" t="s">
        <v>414</v>
      </c>
      <c r="AB85" s="284"/>
      <c r="AC85" s="284"/>
      <c r="AD85" s="284"/>
      <c r="AE85" s="185"/>
      <c r="AF85" s="185"/>
      <c r="AG85" s="185"/>
      <c r="AH85" s="185"/>
      <c r="AI85" s="185"/>
      <c r="AJ85" s="185"/>
      <c r="AK85" s="185"/>
      <c r="AL85" s="185"/>
      <c r="AM85" s="185"/>
      <c r="AN85" s="185"/>
      <c r="AO85" s="185"/>
      <c r="AP85" s="185"/>
      <c r="AQ85" s="185"/>
      <c r="AR85" s="185"/>
      <c r="AS85" s="185"/>
      <c r="AT85" s="189">
        <f>66500000+40000000</f>
        <v>106500000</v>
      </c>
      <c r="AU85" s="189">
        <v>101500000</v>
      </c>
      <c r="AV85" s="190">
        <v>101500000</v>
      </c>
      <c r="AW85" s="192">
        <f>145398717+23893855.3-41573728-23859422.3</f>
        <v>103859422.00000001</v>
      </c>
      <c r="AX85" s="192">
        <v>102850000</v>
      </c>
      <c r="AY85" s="192">
        <v>71200000</v>
      </c>
      <c r="AZ85" s="192"/>
      <c r="BA85" s="192"/>
      <c r="BB85" s="192"/>
      <c r="BC85" s="192"/>
      <c r="BD85" s="192"/>
      <c r="BE85" s="192"/>
      <c r="BF85" s="192">
        <f t="shared" si="4"/>
        <v>210359422</v>
      </c>
      <c r="BG85" s="192">
        <f t="shared" si="5"/>
        <v>204350000</v>
      </c>
      <c r="BH85" s="192">
        <f t="shared" si="6"/>
        <v>172700000</v>
      </c>
      <c r="BI85" s="393" t="s">
        <v>11</v>
      </c>
    </row>
    <row r="86" spans="1:61" s="394" customFormat="1" ht="66.75" customHeight="1">
      <c r="A86" s="423">
        <v>311</v>
      </c>
      <c r="B86" s="392" t="s">
        <v>417</v>
      </c>
      <c r="C86" s="425">
        <v>2</v>
      </c>
      <c r="D86" s="392" t="s">
        <v>200</v>
      </c>
      <c r="E86" s="423">
        <v>35</v>
      </c>
      <c r="F86" s="392" t="s">
        <v>418</v>
      </c>
      <c r="G86" s="423">
        <v>3502</v>
      </c>
      <c r="H86" s="392" t="s">
        <v>419</v>
      </c>
      <c r="I86" s="423">
        <v>3502</v>
      </c>
      <c r="J86" s="392" t="s">
        <v>420</v>
      </c>
      <c r="K86" s="392" t="s">
        <v>421</v>
      </c>
      <c r="L86" s="423">
        <v>3502006</v>
      </c>
      <c r="M86" s="397" t="s">
        <v>422</v>
      </c>
      <c r="N86" s="425">
        <v>3502006</v>
      </c>
      <c r="O86" s="392" t="s">
        <v>422</v>
      </c>
      <c r="P86" s="423" t="s">
        <v>423</v>
      </c>
      <c r="Q86" s="397" t="s">
        <v>424</v>
      </c>
      <c r="R86" s="423" t="s">
        <v>423</v>
      </c>
      <c r="S86" s="397" t="s">
        <v>424</v>
      </c>
      <c r="T86" s="426" t="s">
        <v>157</v>
      </c>
      <c r="U86" s="388">
        <v>1</v>
      </c>
      <c r="V86" s="388"/>
      <c r="W86" s="388">
        <f t="shared" ref="W86:W117" si="9">U86+V86</f>
        <v>1</v>
      </c>
      <c r="X86" s="388">
        <v>1</v>
      </c>
      <c r="Y86" s="389">
        <v>2020003630074</v>
      </c>
      <c r="Z86" s="395" t="s">
        <v>425</v>
      </c>
      <c r="AA86" s="546" t="s">
        <v>426</v>
      </c>
      <c r="AB86" s="185"/>
      <c r="AC86" s="185"/>
      <c r="AD86" s="185"/>
      <c r="AE86" s="185"/>
      <c r="AF86" s="185"/>
      <c r="AG86" s="185"/>
      <c r="AH86" s="185"/>
      <c r="AI86" s="185"/>
      <c r="AJ86" s="185"/>
      <c r="AK86" s="185"/>
      <c r="AL86" s="185"/>
      <c r="AM86" s="185"/>
      <c r="AN86" s="185"/>
      <c r="AO86" s="185"/>
      <c r="AP86" s="185"/>
      <c r="AQ86" s="185"/>
      <c r="AR86" s="185"/>
      <c r="AS86" s="185"/>
      <c r="AT86" s="192">
        <f>30000000+24000000+20900000+16580000</f>
        <v>91480000</v>
      </c>
      <c r="AU86" s="192">
        <v>86340000</v>
      </c>
      <c r="AV86" s="192">
        <v>86340000</v>
      </c>
      <c r="AW86" s="185"/>
      <c r="AX86" s="185"/>
      <c r="AY86" s="185"/>
      <c r="AZ86" s="185"/>
      <c r="BA86" s="185"/>
      <c r="BB86" s="185"/>
      <c r="BC86" s="185"/>
      <c r="BD86" s="185"/>
      <c r="BE86" s="185"/>
      <c r="BF86" s="192">
        <f t="shared" si="4"/>
        <v>91480000</v>
      </c>
      <c r="BG86" s="192">
        <f t="shared" si="5"/>
        <v>86340000</v>
      </c>
      <c r="BH86" s="192">
        <f t="shared" si="6"/>
        <v>86340000</v>
      </c>
      <c r="BI86" s="393" t="s">
        <v>12</v>
      </c>
    </row>
    <row r="87" spans="1:61" s="394" customFormat="1" ht="66.75" customHeight="1">
      <c r="A87" s="423">
        <v>311</v>
      </c>
      <c r="B87" s="392" t="s">
        <v>417</v>
      </c>
      <c r="C87" s="425">
        <v>2</v>
      </c>
      <c r="D87" s="392" t="s">
        <v>200</v>
      </c>
      <c r="E87" s="423">
        <v>35</v>
      </c>
      <c r="F87" s="392" t="s">
        <v>418</v>
      </c>
      <c r="G87" s="423">
        <v>3502</v>
      </c>
      <c r="H87" s="392" t="s">
        <v>419</v>
      </c>
      <c r="I87" s="423">
        <v>3502</v>
      </c>
      <c r="J87" s="392" t="s">
        <v>420</v>
      </c>
      <c r="K87" s="392" t="s">
        <v>421</v>
      </c>
      <c r="L87" s="423">
        <v>3502007</v>
      </c>
      <c r="M87" s="397" t="s">
        <v>427</v>
      </c>
      <c r="N87" s="425">
        <v>3502007</v>
      </c>
      <c r="O87" s="392" t="s">
        <v>427</v>
      </c>
      <c r="P87" s="423" t="s">
        <v>428</v>
      </c>
      <c r="Q87" s="397" t="s">
        <v>429</v>
      </c>
      <c r="R87" s="423">
        <v>350200700</v>
      </c>
      <c r="S87" s="397" t="s">
        <v>429</v>
      </c>
      <c r="T87" s="426" t="s">
        <v>69</v>
      </c>
      <c r="U87" s="388">
        <v>7</v>
      </c>
      <c r="V87" s="388"/>
      <c r="W87" s="388">
        <f t="shared" si="9"/>
        <v>7</v>
      </c>
      <c r="X87" s="388">
        <v>7</v>
      </c>
      <c r="Y87" s="389">
        <v>2020003630074</v>
      </c>
      <c r="Z87" s="395" t="s">
        <v>425</v>
      </c>
      <c r="AA87" s="546" t="s">
        <v>426</v>
      </c>
      <c r="AB87" s="185"/>
      <c r="AC87" s="185"/>
      <c r="AD87" s="185"/>
      <c r="AE87" s="185"/>
      <c r="AF87" s="185"/>
      <c r="AG87" s="185"/>
      <c r="AH87" s="185"/>
      <c r="AI87" s="185"/>
      <c r="AJ87" s="185"/>
      <c r="AK87" s="185"/>
      <c r="AL87" s="185"/>
      <c r="AM87" s="185"/>
      <c r="AN87" s="185"/>
      <c r="AO87" s="185"/>
      <c r="AP87" s="185"/>
      <c r="AQ87" s="185"/>
      <c r="AR87" s="185"/>
      <c r="AS87" s="185"/>
      <c r="AT87" s="192">
        <f>50000000+10200000+12600000</f>
        <v>72800000</v>
      </c>
      <c r="AU87" s="192">
        <v>67588117</v>
      </c>
      <c r="AV87" s="192">
        <v>67588117</v>
      </c>
      <c r="AW87" s="185"/>
      <c r="AX87" s="185"/>
      <c r="AY87" s="185"/>
      <c r="AZ87" s="185"/>
      <c r="BA87" s="185"/>
      <c r="BB87" s="185"/>
      <c r="BC87" s="185"/>
      <c r="BD87" s="185"/>
      <c r="BE87" s="185"/>
      <c r="BF87" s="192">
        <f t="shared" si="4"/>
        <v>72800000</v>
      </c>
      <c r="BG87" s="192">
        <f t="shared" si="5"/>
        <v>67588117</v>
      </c>
      <c r="BH87" s="192">
        <f t="shared" si="6"/>
        <v>67588117</v>
      </c>
      <c r="BI87" s="393" t="s">
        <v>12</v>
      </c>
    </row>
    <row r="88" spans="1:61" s="394" customFormat="1" ht="66.75" customHeight="1">
      <c r="A88" s="423">
        <v>311</v>
      </c>
      <c r="B88" s="392" t="s">
        <v>417</v>
      </c>
      <c r="C88" s="425">
        <v>2</v>
      </c>
      <c r="D88" s="392" t="s">
        <v>200</v>
      </c>
      <c r="E88" s="423">
        <v>35</v>
      </c>
      <c r="F88" s="392" t="s">
        <v>418</v>
      </c>
      <c r="G88" s="423">
        <v>3502</v>
      </c>
      <c r="H88" s="392" t="s">
        <v>419</v>
      </c>
      <c r="I88" s="423">
        <v>3502</v>
      </c>
      <c r="J88" s="392" t="s">
        <v>420</v>
      </c>
      <c r="K88" s="392" t="s">
        <v>421</v>
      </c>
      <c r="L88" s="191">
        <v>3502022</v>
      </c>
      <c r="M88" s="397" t="s">
        <v>430</v>
      </c>
      <c r="N88" s="191">
        <v>3502022</v>
      </c>
      <c r="O88" s="392" t="s">
        <v>430</v>
      </c>
      <c r="P88" s="186" t="s">
        <v>431</v>
      </c>
      <c r="Q88" s="397" t="s">
        <v>432</v>
      </c>
      <c r="R88" s="186">
        <v>350202200</v>
      </c>
      <c r="S88" s="397" t="s">
        <v>432</v>
      </c>
      <c r="T88" s="388" t="s">
        <v>69</v>
      </c>
      <c r="U88" s="388">
        <v>14</v>
      </c>
      <c r="V88" s="388"/>
      <c r="W88" s="388">
        <f t="shared" si="9"/>
        <v>14</v>
      </c>
      <c r="X88" s="388">
        <v>14</v>
      </c>
      <c r="Y88" s="389">
        <v>2020003630075</v>
      </c>
      <c r="Z88" s="395" t="s">
        <v>433</v>
      </c>
      <c r="AA88" s="546" t="s">
        <v>434</v>
      </c>
      <c r="AB88" s="185"/>
      <c r="AC88" s="185"/>
      <c r="AD88" s="185"/>
      <c r="AE88" s="185"/>
      <c r="AF88" s="185"/>
      <c r="AG88" s="185"/>
      <c r="AH88" s="185"/>
      <c r="AI88" s="185"/>
      <c r="AJ88" s="185"/>
      <c r="AK88" s="185"/>
      <c r="AL88" s="185"/>
      <c r="AM88" s="185"/>
      <c r="AN88" s="185"/>
      <c r="AO88" s="185"/>
      <c r="AP88" s="185"/>
      <c r="AQ88" s="185"/>
      <c r="AR88" s="185"/>
      <c r="AS88" s="185"/>
      <c r="AT88" s="192">
        <f>137351072+88209000+8426667+86000000</f>
        <v>319986739</v>
      </c>
      <c r="AU88" s="192">
        <v>245171739</v>
      </c>
      <c r="AV88" s="192">
        <v>245171739</v>
      </c>
      <c r="AW88" s="185"/>
      <c r="AX88" s="185"/>
      <c r="AY88" s="185"/>
      <c r="AZ88" s="185"/>
      <c r="BA88" s="185"/>
      <c r="BB88" s="185"/>
      <c r="BC88" s="185"/>
      <c r="BD88" s="185"/>
      <c r="BE88" s="185"/>
      <c r="BF88" s="192">
        <f t="shared" si="4"/>
        <v>319986739</v>
      </c>
      <c r="BG88" s="192">
        <f t="shared" si="5"/>
        <v>245171739</v>
      </c>
      <c r="BH88" s="192">
        <f t="shared" si="6"/>
        <v>245171739</v>
      </c>
      <c r="BI88" s="393" t="s">
        <v>12</v>
      </c>
    </row>
    <row r="89" spans="1:61" s="394" customFormat="1" ht="66.75" customHeight="1">
      <c r="A89" s="423">
        <v>311</v>
      </c>
      <c r="B89" s="392" t="s">
        <v>417</v>
      </c>
      <c r="C89" s="425">
        <v>2</v>
      </c>
      <c r="D89" s="392" t="s">
        <v>200</v>
      </c>
      <c r="E89" s="423">
        <v>35</v>
      </c>
      <c r="F89" s="392" t="s">
        <v>418</v>
      </c>
      <c r="G89" s="423">
        <v>3502</v>
      </c>
      <c r="H89" s="392" t="s">
        <v>419</v>
      </c>
      <c r="I89" s="423">
        <v>3502</v>
      </c>
      <c r="J89" s="392" t="s">
        <v>420</v>
      </c>
      <c r="K89" s="392" t="s">
        <v>435</v>
      </c>
      <c r="L89" s="191">
        <v>3502039</v>
      </c>
      <c r="M89" s="397" t="s">
        <v>436</v>
      </c>
      <c r="N89" s="191">
        <v>3502039</v>
      </c>
      <c r="O89" s="392" t="s">
        <v>436</v>
      </c>
      <c r="P89" s="423" t="s">
        <v>437</v>
      </c>
      <c r="Q89" s="397" t="s">
        <v>121</v>
      </c>
      <c r="R89" s="423" t="s">
        <v>437</v>
      </c>
      <c r="S89" s="397" t="s">
        <v>121</v>
      </c>
      <c r="T89" s="401" t="s">
        <v>69</v>
      </c>
      <c r="U89" s="388">
        <v>12</v>
      </c>
      <c r="V89" s="388"/>
      <c r="W89" s="388">
        <f t="shared" si="9"/>
        <v>12</v>
      </c>
      <c r="X89" s="388">
        <v>12</v>
      </c>
      <c r="Y89" s="389">
        <v>2020003630076</v>
      </c>
      <c r="Z89" s="395" t="s">
        <v>438</v>
      </c>
      <c r="AA89" s="546" t="s">
        <v>439</v>
      </c>
      <c r="AB89" s="185"/>
      <c r="AC89" s="185"/>
      <c r="AD89" s="185"/>
      <c r="AE89" s="185"/>
      <c r="AF89" s="185"/>
      <c r="AG89" s="185"/>
      <c r="AH89" s="185"/>
      <c r="AI89" s="185"/>
      <c r="AJ89" s="185"/>
      <c r="AK89" s="185"/>
      <c r="AL89" s="185"/>
      <c r="AM89" s="185"/>
      <c r="AN89" s="185"/>
      <c r="AO89" s="185"/>
      <c r="AP89" s="185"/>
      <c r="AQ89" s="185"/>
      <c r="AR89" s="185"/>
      <c r="AS89" s="185"/>
      <c r="AT89" s="192">
        <f>138213547+56000000+50000000+91041667+36740000+33000000</f>
        <v>404995214</v>
      </c>
      <c r="AU89" s="192">
        <v>384785210</v>
      </c>
      <c r="AV89" s="192">
        <v>378785210</v>
      </c>
      <c r="AW89" s="185"/>
      <c r="AX89" s="185"/>
      <c r="AY89" s="185"/>
      <c r="AZ89" s="185"/>
      <c r="BA89" s="185"/>
      <c r="BB89" s="185"/>
      <c r="BC89" s="185"/>
      <c r="BD89" s="185"/>
      <c r="BE89" s="185"/>
      <c r="BF89" s="192">
        <f t="shared" si="4"/>
        <v>404995214</v>
      </c>
      <c r="BG89" s="192">
        <f t="shared" si="5"/>
        <v>384785210</v>
      </c>
      <c r="BH89" s="192">
        <f t="shared" si="6"/>
        <v>378785210</v>
      </c>
      <c r="BI89" s="393" t="s">
        <v>12</v>
      </c>
    </row>
    <row r="90" spans="1:61" s="394" customFormat="1" ht="66.75" customHeight="1">
      <c r="A90" s="423">
        <v>311</v>
      </c>
      <c r="B90" s="392" t="s">
        <v>417</v>
      </c>
      <c r="C90" s="425">
        <v>2</v>
      </c>
      <c r="D90" s="392" t="s">
        <v>200</v>
      </c>
      <c r="E90" s="423">
        <v>35</v>
      </c>
      <c r="F90" s="392" t="s">
        <v>418</v>
      </c>
      <c r="G90" s="423">
        <v>3502</v>
      </c>
      <c r="H90" s="392" t="s">
        <v>419</v>
      </c>
      <c r="I90" s="423">
        <v>3502</v>
      </c>
      <c r="J90" s="392" t="s">
        <v>420</v>
      </c>
      <c r="K90" s="392" t="s">
        <v>435</v>
      </c>
      <c r="L90" s="191">
        <v>3502039</v>
      </c>
      <c r="M90" s="397" t="s">
        <v>436</v>
      </c>
      <c r="N90" s="191">
        <v>3502039</v>
      </c>
      <c r="O90" s="392" t="s">
        <v>436</v>
      </c>
      <c r="P90" s="186">
        <v>350203910</v>
      </c>
      <c r="Q90" s="397" t="s">
        <v>440</v>
      </c>
      <c r="R90" s="186">
        <v>350203910</v>
      </c>
      <c r="S90" s="397" t="s">
        <v>440</v>
      </c>
      <c r="T90" s="426" t="s">
        <v>157</v>
      </c>
      <c r="U90" s="388">
        <v>2</v>
      </c>
      <c r="V90" s="388">
        <v>1</v>
      </c>
      <c r="W90" s="388">
        <f t="shared" si="9"/>
        <v>3</v>
      </c>
      <c r="X90" s="388">
        <v>1</v>
      </c>
      <c r="Y90" s="389">
        <v>2020003630076</v>
      </c>
      <c r="Z90" s="395" t="s">
        <v>438</v>
      </c>
      <c r="AA90" s="546" t="s">
        <v>439</v>
      </c>
      <c r="AB90" s="185"/>
      <c r="AC90" s="185"/>
      <c r="AD90" s="185"/>
      <c r="AE90" s="185"/>
      <c r="AF90" s="185"/>
      <c r="AG90" s="185"/>
      <c r="AH90" s="185"/>
      <c r="AI90" s="185"/>
      <c r="AJ90" s="185"/>
      <c r="AK90" s="185"/>
      <c r="AL90" s="185"/>
      <c r="AM90" s="185"/>
      <c r="AN90" s="185"/>
      <c r="AO90" s="185"/>
      <c r="AP90" s="185"/>
      <c r="AQ90" s="185"/>
      <c r="AR90" s="185"/>
      <c r="AS90" s="185"/>
      <c r="AT90" s="192">
        <f>50709524+119531727+180468273+300000000-119974999-230734525</f>
        <v>300000000</v>
      </c>
      <c r="AU90" s="192">
        <v>300000000</v>
      </c>
      <c r="AV90" s="192">
        <v>300000000</v>
      </c>
      <c r="AW90" s="185"/>
      <c r="AX90" s="185"/>
      <c r="AY90" s="185"/>
      <c r="AZ90" s="185"/>
      <c r="BA90" s="185"/>
      <c r="BB90" s="185"/>
      <c r="BC90" s="185"/>
      <c r="BD90" s="185"/>
      <c r="BE90" s="185"/>
      <c r="BF90" s="192">
        <f t="shared" si="4"/>
        <v>300000000</v>
      </c>
      <c r="BG90" s="192">
        <f t="shared" si="5"/>
        <v>300000000</v>
      </c>
      <c r="BH90" s="192">
        <f t="shared" si="6"/>
        <v>300000000</v>
      </c>
      <c r="BI90" s="393" t="s">
        <v>12</v>
      </c>
    </row>
    <row r="91" spans="1:61" s="394" customFormat="1" ht="66.75" customHeight="1">
      <c r="A91" s="423">
        <v>311</v>
      </c>
      <c r="B91" s="392" t="s">
        <v>417</v>
      </c>
      <c r="C91" s="425">
        <v>2</v>
      </c>
      <c r="D91" s="392" t="s">
        <v>200</v>
      </c>
      <c r="E91" s="423">
        <v>35</v>
      </c>
      <c r="F91" s="392" t="s">
        <v>418</v>
      </c>
      <c r="G91" s="423">
        <v>3502</v>
      </c>
      <c r="H91" s="392" t="s">
        <v>419</v>
      </c>
      <c r="I91" s="423">
        <v>3502</v>
      </c>
      <c r="J91" s="392" t="s">
        <v>420</v>
      </c>
      <c r="K91" s="392" t="s">
        <v>435</v>
      </c>
      <c r="L91" s="191">
        <v>3502046</v>
      </c>
      <c r="M91" s="397" t="s">
        <v>441</v>
      </c>
      <c r="N91" s="191">
        <v>3502046</v>
      </c>
      <c r="O91" s="392" t="s">
        <v>441</v>
      </c>
      <c r="P91" s="423" t="s">
        <v>442</v>
      </c>
      <c r="Q91" s="397" t="s">
        <v>443</v>
      </c>
      <c r="R91" s="423" t="s">
        <v>442</v>
      </c>
      <c r="S91" s="397" t="s">
        <v>443</v>
      </c>
      <c r="T91" s="426" t="s">
        <v>157</v>
      </c>
      <c r="U91" s="388">
        <v>1</v>
      </c>
      <c r="V91" s="388"/>
      <c r="W91" s="388">
        <f t="shared" si="9"/>
        <v>1</v>
      </c>
      <c r="X91" s="388">
        <v>1</v>
      </c>
      <c r="Y91" s="389">
        <v>2020003630077</v>
      </c>
      <c r="Z91" s="395" t="s">
        <v>444</v>
      </c>
      <c r="AA91" s="546" t="s">
        <v>445</v>
      </c>
      <c r="AB91" s="185"/>
      <c r="AC91" s="185"/>
      <c r="AD91" s="185"/>
      <c r="AE91" s="185"/>
      <c r="AF91" s="185"/>
      <c r="AG91" s="185"/>
      <c r="AH91" s="185"/>
      <c r="AI91" s="185"/>
      <c r="AJ91" s="185"/>
      <c r="AK91" s="185"/>
      <c r="AL91" s="185"/>
      <c r="AM91" s="185"/>
      <c r="AN91" s="185"/>
      <c r="AO91" s="185"/>
      <c r="AP91" s="185"/>
      <c r="AQ91" s="185"/>
      <c r="AR91" s="185"/>
      <c r="AS91" s="185"/>
      <c r="AT91" s="192">
        <f>256000000+40000000+268352500+25574999+111734525</f>
        <v>701662024</v>
      </c>
      <c r="AU91" s="192">
        <v>436370831.33000004</v>
      </c>
      <c r="AV91" s="192">
        <v>436370831.33000004</v>
      </c>
      <c r="AW91" s="192">
        <f>864000000+246031030.9+172000000</f>
        <v>1282031030.9000001</v>
      </c>
      <c r="AX91" s="192">
        <v>1207732306.01</v>
      </c>
      <c r="AY91" s="192">
        <v>1123366068.01</v>
      </c>
      <c r="AZ91" s="185"/>
      <c r="BA91" s="192"/>
      <c r="BB91" s="192"/>
      <c r="BC91" s="194"/>
      <c r="BD91" s="194"/>
      <c r="BE91" s="194"/>
      <c r="BF91" s="192">
        <f t="shared" si="4"/>
        <v>1983693054.9000001</v>
      </c>
      <c r="BG91" s="192">
        <f t="shared" si="5"/>
        <v>1644103137.3400002</v>
      </c>
      <c r="BH91" s="192">
        <f t="shared" si="6"/>
        <v>1559736899.3400002</v>
      </c>
      <c r="BI91" s="393" t="s">
        <v>12</v>
      </c>
    </row>
    <row r="92" spans="1:61" s="394" customFormat="1" ht="66.75" customHeight="1">
      <c r="A92" s="423">
        <v>311</v>
      </c>
      <c r="B92" s="392" t="s">
        <v>417</v>
      </c>
      <c r="C92" s="425">
        <v>2</v>
      </c>
      <c r="D92" s="392" t="s">
        <v>200</v>
      </c>
      <c r="E92" s="423">
        <v>36</v>
      </c>
      <c r="F92" s="392" t="s">
        <v>446</v>
      </c>
      <c r="G92" s="423">
        <v>3602</v>
      </c>
      <c r="H92" s="392" t="s">
        <v>447</v>
      </c>
      <c r="I92" s="423">
        <v>3602</v>
      </c>
      <c r="J92" s="392" t="s">
        <v>448</v>
      </c>
      <c r="K92" s="392" t="s">
        <v>421</v>
      </c>
      <c r="L92" s="423">
        <v>3602018</v>
      </c>
      <c r="M92" s="397" t="s">
        <v>449</v>
      </c>
      <c r="N92" s="423">
        <v>3602018</v>
      </c>
      <c r="O92" s="392" t="s">
        <v>449</v>
      </c>
      <c r="P92" s="186" t="s">
        <v>450</v>
      </c>
      <c r="Q92" s="397" t="s">
        <v>451</v>
      </c>
      <c r="R92" s="186" t="s">
        <v>450</v>
      </c>
      <c r="S92" s="397" t="s">
        <v>451</v>
      </c>
      <c r="T92" s="426" t="s">
        <v>157</v>
      </c>
      <c r="U92" s="388">
        <v>4</v>
      </c>
      <c r="V92" s="388"/>
      <c r="W92" s="388">
        <f t="shared" si="9"/>
        <v>4</v>
      </c>
      <c r="X92" s="388">
        <v>4</v>
      </c>
      <c r="Y92" s="389">
        <v>2020003630078</v>
      </c>
      <c r="Z92" s="395" t="s">
        <v>452</v>
      </c>
      <c r="AA92" s="546" t="s">
        <v>453</v>
      </c>
      <c r="AB92" s="185"/>
      <c r="AC92" s="185"/>
      <c r="AD92" s="185"/>
      <c r="AE92" s="185"/>
      <c r="AF92" s="185"/>
      <c r="AG92" s="185"/>
      <c r="AH92" s="185"/>
      <c r="AI92" s="185"/>
      <c r="AJ92" s="185"/>
      <c r="AK92" s="185"/>
      <c r="AL92" s="185"/>
      <c r="AM92" s="185"/>
      <c r="AN92" s="185"/>
      <c r="AO92" s="185"/>
      <c r="AP92" s="185"/>
      <c r="AQ92" s="185"/>
      <c r="AR92" s="185"/>
      <c r="AS92" s="185"/>
      <c r="AT92" s="192">
        <f>200000000+313305167</f>
        <v>513305167</v>
      </c>
      <c r="AU92" s="192">
        <v>447835709</v>
      </c>
      <c r="AV92" s="192">
        <v>447835709</v>
      </c>
      <c r="AW92" s="185"/>
      <c r="AX92" s="185"/>
      <c r="AY92" s="185"/>
      <c r="AZ92" s="185"/>
      <c r="BA92" s="185"/>
      <c r="BB92" s="185"/>
      <c r="BC92" s="185"/>
      <c r="BD92" s="185"/>
      <c r="BE92" s="185"/>
      <c r="BF92" s="192">
        <f t="shared" si="4"/>
        <v>513305167</v>
      </c>
      <c r="BG92" s="192">
        <f t="shared" si="5"/>
        <v>447835709</v>
      </c>
      <c r="BH92" s="192">
        <f t="shared" si="6"/>
        <v>447835709</v>
      </c>
      <c r="BI92" s="393" t="s">
        <v>12</v>
      </c>
    </row>
    <row r="93" spans="1:61" s="394" customFormat="1" ht="66.75" customHeight="1">
      <c r="A93" s="423">
        <v>311</v>
      </c>
      <c r="B93" s="392" t="s">
        <v>417</v>
      </c>
      <c r="C93" s="425">
        <v>2</v>
      </c>
      <c r="D93" s="392" t="s">
        <v>200</v>
      </c>
      <c r="E93" s="423">
        <v>36</v>
      </c>
      <c r="F93" s="392" t="s">
        <v>446</v>
      </c>
      <c r="G93" s="423">
        <v>3602</v>
      </c>
      <c r="H93" s="392" t="s">
        <v>447</v>
      </c>
      <c r="I93" s="423">
        <v>3602</v>
      </c>
      <c r="J93" s="392" t="s">
        <v>448</v>
      </c>
      <c r="K93" s="392" t="s">
        <v>421</v>
      </c>
      <c r="L93" s="423">
        <v>3602032</v>
      </c>
      <c r="M93" s="397" t="s">
        <v>454</v>
      </c>
      <c r="N93" s="425">
        <v>3602032</v>
      </c>
      <c r="O93" s="392" t="s">
        <v>454</v>
      </c>
      <c r="P93" s="186" t="s">
        <v>455</v>
      </c>
      <c r="Q93" s="397" t="s">
        <v>456</v>
      </c>
      <c r="R93" s="186" t="s">
        <v>455</v>
      </c>
      <c r="S93" s="397" t="s">
        <v>456</v>
      </c>
      <c r="T93" s="388" t="s">
        <v>69</v>
      </c>
      <c r="U93" s="388">
        <v>14</v>
      </c>
      <c r="V93" s="388"/>
      <c r="W93" s="388">
        <f t="shared" si="9"/>
        <v>14</v>
      </c>
      <c r="X93" s="388">
        <v>14</v>
      </c>
      <c r="Y93" s="389">
        <v>2020003630078</v>
      </c>
      <c r="Z93" s="395" t="s">
        <v>452</v>
      </c>
      <c r="AA93" s="550" t="s">
        <v>453</v>
      </c>
      <c r="AB93" s="185"/>
      <c r="AC93" s="185"/>
      <c r="AD93" s="185"/>
      <c r="AE93" s="185"/>
      <c r="AF93" s="185"/>
      <c r="AG93" s="185"/>
      <c r="AH93" s="185"/>
      <c r="AI93" s="185"/>
      <c r="AJ93" s="185"/>
      <c r="AK93" s="185"/>
      <c r="AL93" s="185"/>
      <c r="AM93" s="185"/>
      <c r="AN93" s="185"/>
      <c r="AO93" s="185"/>
      <c r="AP93" s="185"/>
      <c r="AQ93" s="185"/>
      <c r="AR93" s="185"/>
      <c r="AS93" s="185"/>
      <c r="AT93" s="192">
        <f>50000000+50000000+13930000+4053333</f>
        <v>117983333</v>
      </c>
      <c r="AU93" s="192">
        <v>117339927</v>
      </c>
      <c r="AV93" s="192">
        <v>67339927</v>
      </c>
      <c r="AW93" s="185"/>
      <c r="AX93" s="185"/>
      <c r="AY93" s="185"/>
      <c r="AZ93" s="185"/>
      <c r="BA93" s="185"/>
      <c r="BB93" s="185"/>
      <c r="BC93" s="185"/>
      <c r="BD93" s="185"/>
      <c r="BE93" s="185"/>
      <c r="BF93" s="192">
        <f t="shared" si="4"/>
        <v>117983333</v>
      </c>
      <c r="BG93" s="192">
        <f t="shared" si="5"/>
        <v>117339927</v>
      </c>
      <c r="BH93" s="192">
        <f t="shared" si="6"/>
        <v>67339927</v>
      </c>
      <c r="BI93" s="393" t="s">
        <v>12</v>
      </c>
    </row>
    <row r="94" spans="1:61" s="394" customFormat="1" ht="66.75" customHeight="1">
      <c r="A94" s="423">
        <v>311</v>
      </c>
      <c r="B94" s="392" t="s">
        <v>417</v>
      </c>
      <c r="C94" s="425">
        <v>2</v>
      </c>
      <c r="D94" s="392" t="s">
        <v>200</v>
      </c>
      <c r="E94" s="423">
        <v>36</v>
      </c>
      <c r="F94" s="392" t="s">
        <v>446</v>
      </c>
      <c r="G94" s="423">
        <v>3602</v>
      </c>
      <c r="H94" s="392" t="s">
        <v>447</v>
      </c>
      <c r="I94" s="423">
        <v>3602</v>
      </c>
      <c r="J94" s="392" t="s">
        <v>448</v>
      </c>
      <c r="K94" s="392" t="s">
        <v>421</v>
      </c>
      <c r="L94" s="423">
        <v>3602029</v>
      </c>
      <c r="M94" s="397" t="s">
        <v>457</v>
      </c>
      <c r="N94" s="425">
        <v>3602029</v>
      </c>
      <c r="O94" s="392" t="s">
        <v>457</v>
      </c>
      <c r="P94" s="186" t="s">
        <v>458</v>
      </c>
      <c r="Q94" s="397" t="s">
        <v>459</v>
      </c>
      <c r="R94" s="186" t="s">
        <v>458</v>
      </c>
      <c r="S94" s="397" t="s">
        <v>459</v>
      </c>
      <c r="T94" s="426" t="s">
        <v>157</v>
      </c>
      <c r="U94" s="388">
        <v>13</v>
      </c>
      <c r="V94" s="388"/>
      <c r="W94" s="388">
        <f t="shared" si="9"/>
        <v>13</v>
      </c>
      <c r="X94" s="388">
        <v>13</v>
      </c>
      <c r="Y94" s="389">
        <v>2020003630078</v>
      </c>
      <c r="Z94" s="397" t="s">
        <v>452</v>
      </c>
      <c r="AA94" s="550" t="s">
        <v>453</v>
      </c>
      <c r="AB94" s="185"/>
      <c r="AC94" s="185"/>
      <c r="AD94" s="185"/>
      <c r="AE94" s="185"/>
      <c r="AF94" s="185"/>
      <c r="AG94" s="185"/>
      <c r="AH94" s="185"/>
      <c r="AI94" s="185"/>
      <c r="AJ94" s="185"/>
      <c r="AK94" s="185"/>
      <c r="AL94" s="185"/>
      <c r="AM94" s="185"/>
      <c r="AN94" s="185"/>
      <c r="AO94" s="185"/>
      <c r="AP94" s="185"/>
      <c r="AQ94" s="185"/>
      <c r="AR94" s="185"/>
      <c r="AS94" s="185"/>
      <c r="AT94" s="192">
        <f>49500000+1070000+45491666+3520000</f>
        <v>99581666</v>
      </c>
      <c r="AU94" s="192">
        <v>98389998</v>
      </c>
      <c r="AV94" s="192">
        <v>98389998</v>
      </c>
      <c r="AW94" s="185"/>
      <c r="AX94" s="185"/>
      <c r="AY94" s="185"/>
      <c r="AZ94" s="185"/>
      <c r="BA94" s="185"/>
      <c r="BB94" s="185"/>
      <c r="BC94" s="185"/>
      <c r="BD94" s="185"/>
      <c r="BE94" s="185"/>
      <c r="BF94" s="192">
        <f t="shared" si="4"/>
        <v>99581666</v>
      </c>
      <c r="BG94" s="192">
        <f t="shared" si="5"/>
        <v>98389998</v>
      </c>
      <c r="BH94" s="192">
        <f t="shared" si="6"/>
        <v>98389998</v>
      </c>
      <c r="BI94" s="393" t="s">
        <v>12</v>
      </c>
    </row>
    <row r="95" spans="1:61" s="394" customFormat="1" ht="66.75" customHeight="1">
      <c r="A95" s="423">
        <v>311</v>
      </c>
      <c r="B95" s="392" t="s">
        <v>417</v>
      </c>
      <c r="C95" s="425">
        <v>2</v>
      </c>
      <c r="D95" s="392" t="s">
        <v>200</v>
      </c>
      <c r="E95" s="423">
        <v>36</v>
      </c>
      <c r="F95" s="392" t="s">
        <v>446</v>
      </c>
      <c r="G95" s="423">
        <v>3602</v>
      </c>
      <c r="H95" s="392" t="s">
        <v>447</v>
      </c>
      <c r="I95" s="423">
        <v>3602</v>
      </c>
      <c r="J95" s="392" t="s">
        <v>448</v>
      </c>
      <c r="K95" s="392" t="s">
        <v>421</v>
      </c>
      <c r="L95" s="423">
        <v>3602030</v>
      </c>
      <c r="M95" s="397" t="s">
        <v>460</v>
      </c>
      <c r="N95" s="425">
        <v>3602030</v>
      </c>
      <c r="O95" s="392" t="s">
        <v>460</v>
      </c>
      <c r="P95" s="186" t="s">
        <v>461</v>
      </c>
      <c r="Q95" s="397" t="s">
        <v>462</v>
      </c>
      <c r="R95" s="186" t="s">
        <v>461</v>
      </c>
      <c r="S95" s="397" t="s">
        <v>462</v>
      </c>
      <c r="T95" s="426" t="s">
        <v>157</v>
      </c>
      <c r="U95" s="388">
        <v>4</v>
      </c>
      <c r="V95" s="388"/>
      <c r="W95" s="388">
        <f t="shared" si="9"/>
        <v>4</v>
      </c>
      <c r="X95" s="388">
        <v>4</v>
      </c>
      <c r="Y95" s="389">
        <v>2020003630078</v>
      </c>
      <c r="Z95" s="397" t="s">
        <v>452</v>
      </c>
      <c r="AA95" s="550" t="s">
        <v>453</v>
      </c>
      <c r="AB95" s="185"/>
      <c r="AC95" s="185"/>
      <c r="AD95" s="185"/>
      <c r="AE95" s="185"/>
      <c r="AF95" s="185"/>
      <c r="AG95" s="185"/>
      <c r="AH95" s="185"/>
      <c r="AI95" s="185"/>
      <c r="AJ95" s="185"/>
      <c r="AK95" s="185"/>
      <c r="AL95" s="185"/>
      <c r="AM95" s="185"/>
      <c r="AN95" s="185"/>
      <c r="AO95" s="185"/>
      <c r="AP95" s="185"/>
      <c r="AQ95" s="185"/>
      <c r="AR95" s="185"/>
      <c r="AS95" s="185"/>
      <c r="AT95" s="192">
        <f>25000000+30000000+16500000+12480000</f>
        <v>83980000</v>
      </c>
      <c r="AU95" s="192">
        <v>75290000</v>
      </c>
      <c r="AV95" s="192">
        <v>53270000</v>
      </c>
      <c r="AW95" s="185"/>
      <c r="AX95" s="185"/>
      <c r="AY95" s="185"/>
      <c r="AZ95" s="185"/>
      <c r="BA95" s="185"/>
      <c r="BB95" s="185"/>
      <c r="BC95" s="185"/>
      <c r="BD95" s="185"/>
      <c r="BE95" s="185"/>
      <c r="BF95" s="192">
        <f t="shared" ref="BF95:BF158" si="10">AB95+AE95+AH95+AK95+AN95+AQ95+AT95+AW95+BC95+AZ95</f>
        <v>83980000</v>
      </c>
      <c r="BG95" s="192">
        <f t="shared" ref="BG95:BG158" si="11">AC95+AF95+AI95+AL95+AO95+AR95+AU95+AX95+BD95+BA95</f>
        <v>75290000</v>
      </c>
      <c r="BH95" s="192">
        <f t="shared" ref="BH95:BH158" si="12">AD95+AG95+AJ95+AM95+AP95+AS95+AV95+AY95+BE95+BB95</f>
        <v>53270000</v>
      </c>
      <c r="BI95" s="393" t="s">
        <v>12</v>
      </c>
    </row>
    <row r="96" spans="1:61" s="394" customFormat="1" ht="66.75" customHeight="1">
      <c r="A96" s="423">
        <v>311</v>
      </c>
      <c r="B96" s="401" t="s">
        <v>417</v>
      </c>
      <c r="C96" s="425">
        <v>2</v>
      </c>
      <c r="D96" s="401" t="s">
        <v>200</v>
      </c>
      <c r="E96" s="423">
        <v>35</v>
      </c>
      <c r="F96" s="392" t="s">
        <v>418</v>
      </c>
      <c r="G96" s="423">
        <v>3502</v>
      </c>
      <c r="H96" s="393" t="s">
        <v>419</v>
      </c>
      <c r="I96" s="423">
        <v>3502</v>
      </c>
      <c r="J96" s="393" t="s">
        <v>420</v>
      </c>
      <c r="K96" s="393" t="s">
        <v>435</v>
      </c>
      <c r="L96" s="389">
        <v>3502046</v>
      </c>
      <c r="M96" s="397" t="s">
        <v>441</v>
      </c>
      <c r="N96" s="389">
        <v>3502046</v>
      </c>
      <c r="O96" s="393" t="s">
        <v>441</v>
      </c>
      <c r="P96" s="389">
        <v>350204600</v>
      </c>
      <c r="Q96" s="393" t="s">
        <v>443</v>
      </c>
      <c r="R96" s="389">
        <v>350204600</v>
      </c>
      <c r="S96" s="393" t="s">
        <v>443</v>
      </c>
      <c r="T96" s="401" t="s">
        <v>157</v>
      </c>
      <c r="U96" s="389">
        <v>1</v>
      </c>
      <c r="V96" s="401"/>
      <c r="W96" s="388">
        <f t="shared" si="9"/>
        <v>1</v>
      </c>
      <c r="X96" s="388">
        <v>1</v>
      </c>
      <c r="Y96" s="389">
        <v>2022003630013</v>
      </c>
      <c r="Z96" s="393" t="s">
        <v>1455</v>
      </c>
      <c r="AA96" s="547" t="s">
        <v>1456</v>
      </c>
      <c r="AB96" s="185"/>
      <c r="AC96" s="185"/>
      <c r="AD96" s="185"/>
      <c r="AE96" s="185"/>
      <c r="AF96" s="185"/>
      <c r="AG96" s="185"/>
      <c r="AH96" s="185"/>
      <c r="AI96" s="185"/>
      <c r="AJ96" s="185"/>
      <c r="AK96" s="185"/>
      <c r="AL96" s="185"/>
      <c r="AM96" s="185"/>
      <c r="AN96" s="185"/>
      <c r="AO96" s="185"/>
      <c r="AP96" s="185"/>
      <c r="AQ96" s="185"/>
      <c r="AR96" s="185"/>
      <c r="AS96" s="185"/>
      <c r="AT96" s="192">
        <v>144105000</v>
      </c>
      <c r="AU96" s="192">
        <v>144105000</v>
      </c>
      <c r="AV96" s="192">
        <v>144105000</v>
      </c>
      <c r="AW96" s="185"/>
      <c r="AX96" s="185"/>
      <c r="AY96" s="185"/>
      <c r="AZ96" s="185"/>
      <c r="BA96" s="185"/>
      <c r="BB96" s="185"/>
      <c r="BC96" s="192"/>
      <c r="BD96" s="192"/>
      <c r="BE96" s="192"/>
      <c r="BF96" s="192">
        <f t="shared" si="10"/>
        <v>144105000</v>
      </c>
      <c r="BG96" s="192">
        <f t="shared" si="11"/>
        <v>144105000</v>
      </c>
      <c r="BH96" s="192">
        <f t="shared" si="12"/>
        <v>144105000</v>
      </c>
      <c r="BI96" s="393" t="s">
        <v>12</v>
      </c>
    </row>
    <row r="97" spans="1:61" s="394" customFormat="1" ht="66.75" customHeight="1">
      <c r="A97" s="423">
        <v>312</v>
      </c>
      <c r="B97" s="392" t="s">
        <v>463</v>
      </c>
      <c r="C97" s="423">
        <v>2</v>
      </c>
      <c r="D97" s="392" t="s">
        <v>200</v>
      </c>
      <c r="E97" s="423">
        <v>17</v>
      </c>
      <c r="F97" s="392" t="s">
        <v>201</v>
      </c>
      <c r="G97" s="423">
        <v>1702</v>
      </c>
      <c r="H97" s="392" t="s">
        <v>464</v>
      </c>
      <c r="I97" s="423">
        <v>1702</v>
      </c>
      <c r="J97" s="392" t="s">
        <v>465</v>
      </c>
      <c r="K97" s="392" t="s">
        <v>204</v>
      </c>
      <c r="L97" s="191">
        <v>1702011</v>
      </c>
      <c r="M97" s="397" t="s">
        <v>466</v>
      </c>
      <c r="N97" s="191">
        <v>1702011</v>
      </c>
      <c r="O97" s="392" t="s">
        <v>466</v>
      </c>
      <c r="P97" s="423" t="s">
        <v>467</v>
      </c>
      <c r="Q97" s="427" t="s">
        <v>468</v>
      </c>
      <c r="R97" s="423" t="s">
        <v>467</v>
      </c>
      <c r="S97" s="397" t="s">
        <v>468</v>
      </c>
      <c r="T97" s="401" t="s">
        <v>69</v>
      </c>
      <c r="U97" s="388">
        <v>30</v>
      </c>
      <c r="V97" s="388"/>
      <c r="W97" s="388">
        <f t="shared" si="9"/>
        <v>30</v>
      </c>
      <c r="X97" s="388">
        <v>30</v>
      </c>
      <c r="Y97" s="389">
        <v>2020003630079</v>
      </c>
      <c r="Z97" s="392" t="s">
        <v>469</v>
      </c>
      <c r="AA97" s="546" t="s">
        <v>470</v>
      </c>
      <c r="AB97" s="185"/>
      <c r="AC97" s="185"/>
      <c r="AD97" s="185"/>
      <c r="AE97" s="185"/>
      <c r="AF97" s="185"/>
      <c r="AG97" s="185"/>
      <c r="AH97" s="185"/>
      <c r="AI97" s="185"/>
      <c r="AJ97" s="185"/>
      <c r="AK97" s="185"/>
      <c r="AL97" s="185"/>
      <c r="AM97" s="185"/>
      <c r="AN97" s="185"/>
      <c r="AO97" s="185"/>
      <c r="AP97" s="185"/>
      <c r="AQ97" s="185"/>
      <c r="AR97" s="185"/>
      <c r="AS97" s="185"/>
      <c r="AT97" s="190">
        <f>100000000+30000000+34372660+81700000+40000000+32500000</f>
        <v>318572660</v>
      </c>
      <c r="AU97" s="190">
        <v>298314163</v>
      </c>
      <c r="AV97" s="190">
        <v>298314163</v>
      </c>
      <c r="AW97" s="361"/>
      <c r="AX97" s="361"/>
      <c r="AY97" s="194"/>
      <c r="AZ97" s="194"/>
      <c r="BA97" s="194"/>
      <c r="BB97" s="194"/>
      <c r="BC97" s="194"/>
      <c r="BD97" s="194"/>
      <c r="BE97" s="194"/>
      <c r="BF97" s="192">
        <f t="shared" si="10"/>
        <v>318572660</v>
      </c>
      <c r="BG97" s="192">
        <f t="shared" si="11"/>
        <v>298314163</v>
      </c>
      <c r="BH97" s="192">
        <f t="shared" si="12"/>
        <v>298314163</v>
      </c>
      <c r="BI97" s="297" t="s">
        <v>9</v>
      </c>
    </row>
    <row r="98" spans="1:61" s="394" customFormat="1" ht="66.75" customHeight="1">
      <c r="A98" s="423">
        <v>312</v>
      </c>
      <c r="B98" s="392" t="s">
        <v>463</v>
      </c>
      <c r="C98" s="423">
        <v>2</v>
      </c>
      <c r="D98" s="392" t="s">
        <v>200</v>
      </c>
      <c r="E98" s="423">
        <v>17</v>
      </c>
      <c r="F98" s="392" t="s">
        <v>201</v>
      </c>
      <c r="G98" s="423">
        <v>1702</v>
      </c>
      <c r="H98" s="392" t="s">
        <v>464</v>
      </c>
      <c r="I98" s="423">
        <v>1702</v>
      </c>
      <c r="J98" s="392" t="s">
        <v>465</v>
      </c>
      <c r="K98" s="392" t="s">
        <v>204</v>
      </c>
      <c r="L98" s="191">
        <v>1702007</v>
      </c>
      <c r="M98" s="397" t="s">
        <v>471</v>
      </c>
      <c r="N98" s="191">
        <v>1702007</v>
      </c>
      <c r="O98" s="392" t="s">
        <v>471</v>
      </c>
      <c r="P98" s="186" t="s">
        <v>472</v>
      </c>
      <c r="Q98" s="397" t="s">
        <v>473</v>
      </c>
      <c r="R98" s="186" t="s">
        <v>472</v>
      </c>
      <c r="S98" s="397" t="s">
        <v>473</v>
      </c>
      <c r="T98" s="428" t="s">
        <v>157</v>
      </c>
      <c r="U98" s="388">
        <v>3</v>
      </c>
      <c r="V98" s="388">
        <v>5</v>
      </c>
      <c r="W98" s="388">
        <f t="shared" si="9"/>
        <v>8</v>
      </c>
      <c r="X98" s="388">
        <v>8</v>
      </c>
      <c r="Y98" s="389">
        <v>2020003630079</v>
      </c>
      <c r="Z98" s="392" t="s">
        <v>469</v>
      </c>
      <c r="AA98" s="546" t="s">
        <v>470</v>
      </c>
      <c r="AB98" s="185"/>
      <c r="AC98" s="185"/>
      <c r="AD98" s="185"/>
      <c r="AE98" s="185"/>
      <c r="AF98" s="185"/>
      <c r="AG98" s="185"/>
      <c r="AH98" s="185"/>
      <c r="AI98" s="185"/>
      <c r="AJ98" s="185"/>
      <c r="AK98" s="185"/>
      <c r="AL98" s="185"/>
      <c r="AM98" s="185"/>
      <c r="AN98" s="185"/>
      <c r="AO98" s="185"/>
      <c r="AP98" s="185"/>
      <c r="AQ98" s="185"/>
      <c r="AR98" s="185"/>
      <c r="AS98" s="185"/>
      <c r="AT98" s="190">
        <f>287529712+98800000</f>
        <v>386329712</v>
      </c>
      <c r="AU98" s="190">
        <v>386329712</v>
      </c>
      <c r="AV98" s="190">
        <v>386329712</v>
      </c>
      <c r="AW98" s="194"/>
      <c r="AX98" s="194"/>
      <c r="AY98" s="194"/>
      <c r="AZ98" s="194"/>
      <c r="BA98" s="194"/>
      <c r="BB98" s="194"/>
      <c r="BC98" s="194"/>
      <c r="BD98" s="194"/>
      <c r="BE98" s="194"/>
      <c r="BF98" s="192">
        <f t="shared" si="10"/>
        <v>386329712</v>
      </c>
      <c r="BG98" s="192">
        <f t="shared" si="11"/>
        <v>386329712</v>
      </c>
      <c r="BH98" s="192">
        <f t="shared" si="12"/>
        <v>386329712</v>
      </c>
      <c r="BI98" s="297" t="s">
        <v>9</v>
      </c>
    </row>
    <row r="99" spans="1:61" s="394" customFormat="1" ht="66.75" customHeight="1">
      <c r="A99" s="423">
        <v>312</v>
      </c>
      <c r="B99" s="392" t="s">
        <v>463</v>
      </c>
      <c r="C99" s="423">
        <v>2</v>
      </c>
      <c r="D99" s="392" t="s">
        <v>200</v>
      </c>
      <c r="E99" s="423">
        <v>17</v>
      </c>
      <c r="F99" s="392" t="s">
        <v>201</v>
      </c>
      <c r="G99" s="423">
        <v>1702</v>
      </c>
      <c r="H99" s="392" t="s">
        <v>464</v>
      </c>
      <c r="I99" s="423">
        <v>1702</v>
      </c>
      <c r="J99" s="392" t="s">
        <v>465</v>
      </c>
      <c r="K99" s="392" t="s">
        <v>204</v>
      </c>
      <c r="L99" s="191">
        <v>1702009</v>
      </c>
      <c r="M99" s="397" t="s">
        <v>474</v>
      </c>
      <c r="N99" s="191">
        <v>1702009</v>
      </c>
      <c r="O99" s="392" t="s">
        <v>474</v>
      </c>
      <c r="P99" s="186" t="s">
        <v>475</v>
      </c>
      <c r="Q99" s="397" t="s">
        <v>476</v>
      </c>
      <c r="R99" s="186" t="s">
        <v>475</v>
      </c>
      <c r="S99" s="397" t="s">
        <v>476</v>
      </c>
      <c r="T99" s="428" t="s">
        <v>157</v>
      </c>
      <c r="U99" s="388">
        <v>166</v>
      </c>
      <c r="V99" s="388"/>
      <c r="W99" s="388">
        <f t="shared" si="9"/>
        <v>166</v>
      </c>
      <c r="X99" s="388">
        <v>166</v>
      </c>
      <c r="Y99" s="389">
        <v>2020003630079</v>
      </c>
      <c r="Z99" s="392" t="s">
        <v>469</v>
      </c>
      <c r="AA99" s="546" t="s">
        <v>470</v>
      </c>
      <c r="AB99" s="185"/>
      <c r="AC99" s="185"/>
      <c r="AD99" s="185"/>
      <c r="AE99" s="185"/>
      <c r="AF99" s="185"/>
      <c r="AG99" s="185"/>
      <c r="AH99" s="185"/>
      <c r="AI99" s="185"/>
      <c r="AJ99" s="185"/>
      <c r="AK99" s="185"/>
      <c r="AL99" s="185"/>
      <c r="AM99" s="185"/>
      <c r="AN99" s="185"/>
      <c r="AO99" s="185"/>
      <c r="AP99" s="185"/>
      <c r="AQ99" s="185"/>
      <c r="AR99" s="185"/>
      <c r="AS99" s="185"/>
      <c r="AT99" s="190">
        <f>20000000+3600000</f>
        <v>23600000</v>
      </c>
      <c r="AU99" s="190">
        <v>23600000</v>
      </c>
      <c r="AV99" s="190">
        <v>23600000</v>
      </c>
      <c r="AW99" s="194"/>
      <c r="AX99" s="194"/>
      <c r="AY99" s="194"/>
      <c r="AZ99" s="194"/>
      <c r="BA99" s="194"/>
      <c r="BB99" s="194"/>
      <c r="BC99" s="194"/>
      <c r="BD99" s="194"/>
      <c r="BE99" s="194"/>
      <c r="BF99" s="192">
        <f t="shared" si="10"/>
        <v>23600000</v>
      </c>
      <c r="BG99" s="192">
        <f t="shared" si="11"/>
        <v>23600000</v>
      </c>
      <c r="BH99" s="192">
        <f t="shared" si="12"/>
        <v>23600000</v>
      </c>
      <c r="BI99" s="297" t="s">
        <v>9</v>
      </c>
    </row>
    <row r="100" spans="1:61" s="394" customFormat="1" ht="66.75" customHeight="1">
      <c r="A100" s="423">
        <v>312</v>
      </c>
      <c r="B100" s="392" t="s">
        <v>463</v>
      </c>
      <c r="C100" s="423">
        <v>2</v>
      </c>
      <c r="D100" s="392" t="s">
        <v>200</v>
      </c>
      <c r="E100" s="423">
        <v>17</v>
      </c>
      <c r="F100" s="392" t="s">
        <v>201</v>
      </c>
      <c r="G100" s="423">
        <v>1702</v>
      </c>
      <c r="H100" s="392" t="s">
        <v>464</v>
      </c>
      <c r="I100" s="423">
        <v>1702</v>
      </c>
      <c r="J100" s="392" t="s">
        <v>465</v>
      </c>
      <c r="K100" s="392" t="s">
        <v>204</v>
      </c>
      <c r="L100" s="191">
        <v>1702017</v>
      </c>
      <c r="M100" s="397" t="s">
        <v>477</v>
      </c>
      <c r="N100" s="298">
        <v>1702017</v>
      </c>
      <c r="O100" s="392" t="s">
        <v>477</v>
      </c>
      <c r="P100" s="186" t="s">
        <v>478</v>
      </c>
      <c r="Q100" s="397" t="s">
        <v>479</v>
      </c>
      <c r="R100" s="186" t="s">
        <v>478</v>
      </c>
      <c r="S100" s="397" t="s">
        <v>479</v>
      </c>
      <c r="T100" s="428" t="s">
        <v>157</v>
      </c>
      <c r="U100" s="388">
        <v>100</v>
      </c>
      <c r="V100" s="388"/>
      <c r="W100" s="388">
        <f t="shared" si="9"/>
        <v>100</v>
      </c>
      <c r="X100" s="388">
        <v>100</v>
      </c>
      <c r="Y100" s="389">
        <v>2020003630023</v>
      </c>
      <c r="Z100" s="397" t="s">
        <v>480</v>
      </c>
      <c r="AA100" s="550" t="s">
        <v>481</v>
      </c>
      <c r="AB100" s="185"/>
      <c r="AC100" s="185"/>
      <c r="AD100" s="185"/>
      <c r="AE100" s="185"/>
      <c r="AF100" s="185"/>
      <c r="AG100" s="185"/>
      <c r="AH100" s="185"/>
      <c r="AI100" s="185"/>
      <c r="AJ100" s="185"/>
      <c r="AK100" s="185"/>
      <c r="AL100" s="185"/>
      <c r="AM100" s="185"/>
      <c r="AN100" s="185"/>
      <c r="AO100" s="185"/>
      <c r="AP100" s="185"/>
      <c r="AQ100" s="185"/>
      <c r="AR100" s="185"/>
      <c r="AS100" s="185"/>
      <c r="AT100" s="190">
        <f>125000000+37500000+14745000+53100000+162000000+40000000</f>
        <v>432345000</v>
      </c>
      <c r="AU100" s="190">
        <v>414573641</v>
      </c>
      <c r="AV100" s="190">
        <v>414573641</v>
      </c>
      <c r="AW100" s="194"/>
      <c r="AX100" s="194"/>
      <c r="AY100" s="194"/>
      <c r="AZ100" s="194"/>
      <c r="BA100" s="194"/>
      <c r="BB100" s="194"/>
      <c r="BC100" s="194"/>
      <c r="BD100" s="194"/>
      <c r="BE100" s="194"/>
      <c r="BF100" s="192">
        <f t="shared" si="10"/>
        <v>432345000</v>
      </c>
      <c r="BG100" s="192">
        <f t="shared" si="11"/>
        <v>414573641</v>
      </c>
      <c r="BH100" s="192">
        <f t="shared" si="12"/>
        <v>414573641</v>
      </c>
      <c r="BI100" s="297" t="s">
        <v>9</v>
      </c>
    </row>
    <row r="101" spans="1:61" s="394" customFormat="1" ht="66.75" customHeight="1">
      <c r="A101" s="423">
        <v>312</v>
      </c>
      <c r="B101" s="392" t="s">
        <v>463</v>
      </c>
      <c r="C101" s="423">
        <v>2</v>
      </c>
      <c r="D101" s="392" t="s">
        <v>200</v>
      </c>
      <c r="E101" s="423">
        <v>17</v>
      </c>
      <c r="F101" s="392" t="s">
        <v>201</v>
      </c>
      <c r="G101" s="423">
        <v>1702</v>
      </c>
      <c r="H101" s="392" t="s">
        <v>464</v>
      </c>
      <c r="I101" s="423">
        <v>1702</v>
      </c>
      <c r="J101" s="392" t="s">
        <v>465</v>
      </c>
      <c r="K101" s="392" t="s">
        <v>204</v>
      </c>
      <c r="L101" s="191">
        <v>1702014</v>
      </c>
      <c r="M101" s="397" t="s">
        <v>482</v>
      </c>
      <c r="N101" s="191">
        <v>1702014</v>
      </c>
      <c r="O101" s="392" t="s">
        <v>482</v>
      </c>
      <c r="P101" s="186" t="s">
        <v>483</v>
      </c>
      <c r="Q101" s="397" t="s">
        <v>484</v>
      </c>
      <c r="R101" s="186" t="s">
        <v>483</v>
      </c>
      <c r="S101" s="397" t="s">
        <v>484</v>
      </c>
      <c r="T101" s="428" t="s">
        <v>157</v>
      </c>
      <c r="U101" s="388">
        <v>25</v>
      </c>
      <c r="V101" s="388"/>
      <c r="W101" s="388">
        <f t="shared" si="9"/>
        <v>25</v>
      </c>
      <c r="X101" s="388">
        <v>25</v>
      </c>
      <c r="Y101" s="389">
        <v>2020003630023</v>
      </c>
      <c r="Z101" s="397" t="s">
        <v>480</v>
      </c>
      <c r="AA101" s="550" t="s">
        <v>481</v>
      </c>
      <c r="AB101" s="185"/>
      <c r="AC101" s="185"/>
      <c r="AD101" s="185"/>
      <c r="AE101" s="185"/>
      <c r="AF101" s="185"/>
      <c r="AG101" s="185"/>
      <c r="AH101" s="185"/>
      <c r="AI101" s="185"/>
      <c r="AJ101" s="185"/>
      <c r="AK101" s="185"/>
      <c r="AL101" s="185"/>
      <c r="AM101" s="185"/>
      <c r="AN101" s="185"/>
      <c r="AO101" s="185"/>
      <c r="AP101" s="185"/>
      <c r="AQ101" s="185"/>
      <c r="AR101" s="185"/>
      <c r="AS101" s="185"/>
      <c r="AT101" s="190">
        <f>50000000+15000000</f>
        <v>65000000</v>
      </c>
      <c r="AU101" s="190">
        <v>65000000</v>
      </c>
      <c r="AV101" s="190">
        <v>65000000</v>
      </c>
      <c r="AW101" s="194"/>
      <c r="AX101" s="194"/>
      <c r="AY101" s="194"/>
      <c r="AZ101" s="194"/>
      <c r="BA101" s="194"/>
      <c r="BB101" s="194"/>
      <c r="BC101" s="194"/>
      <c r="BD101" s="194"/>
      <c r="BE101" s="194"/>
      <c r="BF101" s="192">
        <f t="shared" si="10"/>
        <v>65000000</v>
      </c>
      <c r="BG101" s="192">
        <f t="shared" si="11"/>
        <v>65000000</v>
      </c>
      <c r="BH101" s="192">
        <f t="shared" si="12"/>
        <v>65000000</v>
      </c>
      <c r="BI101" s="297" t="s">
        <v>9</v>
      </c>
    </row>
    <row r="102" spans="1:61" s="394" customFormat="1" ht="66.75" customHeight="1">
      <c r="A102" s="423">
        <v>312</v>
      </c>
      <c r="B102" s="392" t="s">
        <v>463</v>
      </c>
      <c r="C102" s="423">
        <v>2</v>
      </c>
      <c r="D102" s="392" t="s">
        <v>200</v>
      </c>
      <c r="E102" s="423">
        <v>17</v>
      </c>
      <c r="F102" s="392" t="s">
        <v>201</v>
      </c>
      <c r="G102" s="423">
        <v>1702</v>
      </c>
      <c r="H102" s="392" t="s">
        <v>464</v>
      </c>
      <c r="I102" s="423">
        <v>1702</v>
      </c>
      <c r="J102" s="392" t="s">
        <v>465</v>
      </c>
      <c r="K102" s="392" t="s">
        <v>204</v>
      </c>
      <c r="L102" s="191">
        <v>1702021</v>
      </c>
      <c r="M102" s="397" t="s">
        <v>485</v>
      </c>
      <c r="N102" s="191">
        <v>1702021</v>
      </c>
      <c r="O102" s="392" t="s">
        <v>485</v>
      </c>
      <c r="P102" s="186" t="s">
        <v>486</v>
      </c>
      <c r="Q102" s="397" t="s">
        <v>487</v>
      </c>
      <c r="R102" s="186" t="s">
        <v>486</v>
      </c>
      <c r="S102" s="397" t="s">
        <v>487</v>
      </c>
      <c r="T102" s="428" t="s">
        <v>157</v>
      </c>
      <c r="U102" s="388">
        <v>150</v>
      </c>
      <c r="V102" s="388"/>
      <c r="W102" s="388">
        <f t="shared" si="9"/>
        <v>150</v>
      </c>
      <c r="X102" s="388">
        <v>150</v>
      </c>
      <c r="Y102" s="389">
        <v>2020003630023</v>
      </c>
      <c r="Z102" s="397" t="s">
        <v>480</v>
      </c>
      <c r="AA102" s="550" t="s">
        <v>481</v>
      </c>
      <c r="AB102" s="185"/>
      <c r="AC102" s="185"/>
      <c r="AD102" s="185"/>
      <c r="AE102" s="185"/>
      <c r="AF102" s="185"/>
      <c r="AG102" s="185"/>
      <c r="AH102" s="185"/>
      <c r="AI102" s="185"/>
      <c r="AJ102" s="185"/>
      <c r="AK102" s="185"/>
      <c r="AL102" s="185"/>
      <c r="AM102" s="185"/>
      <c r="AN102" s="185"/>
      <c r="AO102" s="185"/>
      <c r="AP102" s="185"/>
      <c r="AQ102" s="185"/>
      <c r="AR102" s="185"/>
      <c r="AS102" s="185"/>
      <c r="AT102" s="190">
        <f>20000000+6000000+35100000</f>
        <v>61100000</v>
      </c>
      <c r="AU102" s="190">
        <v>60421666</v>
      </c>
      <c r="AV102" s="190">
        <v>60421666</v>
      </c>
      <c r="AW102" s="194"/>
      <c r="AX102" s="194"/>
      <c r="AY102" s="194"/>
      <c r="AZ102" s="194"/>
      <c r="BA102" s="194"/>
      <c r="BB102" s="194"/>
      <c r="BC102" s="194"/>
      <c r="BD102" s="194"/>
      <c r="BE102" s="194"/>
      <c r="BF102" s="192">
        <f t="shared" si="10"/>
        <v>61100000</v>
      </c>
      <c r="BG102" s="192">
        <f t="shared" si="11"/>
        <v>60421666</v>
      </c>
      <c r="BH102" s="192">
        <f t="shared" si="12"/>
        <v>60421666</v>
      </c>
      <c r="BI102" s="297" t="s">
        <v>9</v>
      </c>
    </row>
    <row r="103" spans="1:61" s="394" customFormat="1" ht="66.75" customHeight="1">
      <c r="A103" s="423">
        <v>312</v>
      </c>
      <c r="B103" s="392" t="s">
        <v>463</v>
      </c>
      <c r="C103" s="423">
        <v>2</v>
      </c>
      <c r="D103" s="392" t="s">
        <v>200</v>
      </c>
      <c r="E103" s="423">
        <v>17</v>
      </c>
      <c r="F103" s="392" t="s">
        <v>201</v>
      </c>
      <c r="G103" s="423">
        <v>1702</v>
      </c>
      <c r="H103" s="392" t="s">
        <v>464</v>
      </c>
      <c r="I103" s="423">
        <v>1702</v>
      </c>
      <c r="J103" s="392" t="s">
        <v>465</v>
      </c>
      <c r="K103" s="392" t="s">
        <v>204</v>
      </c>
      <c r="L103" s="191">
        <v>1702038</v>
      </c>
      <c r="M103" s="397" t="s">
        <v>488</v>
      </c>
      <c r="N103" s="191">
        <v>1702038</v>
      </c>
      <c r="O103" s="392" t="s">
        <v>488</v>
      </c>
      <c r="P103" s="423" t="s">
        <v>489</v>
      </c>
      <c r="Q103" s="397" t="s">
        <v>490</v>
      </c>
      <c r="R103" s="423" t="s">
        <v>489</v>
      </c>
      <c r="S103" s="397" t="s">
        <v>490</v>
      </c>
      <c r="T103" s="388" t="s">
        <v>69</v>
      </c>
      <c r="U103" s="388">
        <v>30</v>
      </c>
      <c r="V103" s="388"/>
      <c r="W103" s="388">
        <f t="shared" si="9"/>
        <v>30</v>
      </c>
      <c r="X103" s="388">
        <v>30</v>
      </c>
      <c r="Y103" s="389">
        <v>2020003630080</v>
      </c>
      <c r="Z103" s="188" t="s">
        <v>491</v>
      </c>
      <c r="AA103" s="546" t="s">
        <v>492</v>
      </c>
      <c r="AB103" s="185"/>
      <c r="AC103" s="185"/>
      <c r="AD103" s="185"/>
      <c r="AE103" s="185"/>
      <c r="AF103" s="185"/>
      <c r="AG103" s="185"/>
      <c r="AH103" s="185"/>
      <c r="AI103" s="185"/>
      <c r="AJ103" s="185"/>
      <c r="AK103" s="185"/>
      <c r="AL103" s="185"/>
      <c r="AM103" s="185"/>
      <c r="AN103" s="185"/>
      <c r="AO103" s="185"/>
      <c r="AP103" s="185"/>
      <c r="AQ103" s="185"/>
      <c r="AR103" s="185"/>
      <c r="AS103" s="185"/>
      <c r="AT103" s="190">
        <f>65000000+19500000+4880000+2800000+36855000</f>
        <v>129035000</v>
      </c>
      <c r="AU103" s="190">
        <v>118221667</v>
      </c>
      <c r="AV103" s="190">
        <v>118221667</v>
      </c>
      <c r="AW103" s="194"/>
      <c r="AX103" s="194"/>
      <c r="AY103" s="194"/>
      <c r="AZ103" s="194"/>
      <c r="BA103" s="194"/>
      <c r="BB103" s="194"/>
      <c r="BC103" s="194"/>
      <c r="BD103" s="194"/>
      <c r="BE103" s="194"/>
      <c r="BF103" s="192">
        <f t="shared" si="10"/>
        <v>129035000</v>
      </c>
      <c r="BG103" s="192">
        <f t="shared" si="11"/>
        <v>118221667</v>
      </c>
      <c r="BH103" s="192">
        <f t="shared" si="12"/>
        <v>118221667</v>
      </c>
      <c r="BI103" s="297" t="s">
        <v>9</v>
      </c>
    </row>
    <row r="104" spans="1:61" s="394" customFormat="1" ht="66.75" customHeight="1">
      <c r="A104" s="423">
        <v>312</v>
      </c>
      <c r="B104" s="392" t="s">
        <v>463</v>
      </c>
      <c r="C104" s="423">
        <v>2</v>
      </c>
      <c r="D104" s="392" t="s">
        <v>200</v>
      </c>
      <c r="E104" s="423">
        <v>17</v>
      </c>
      <c r="F104" s="392" t="s">
        <v>201</v>
      </c>
      <c r="G104" s="423">
        <v>1702</v>
      </c>
      <c r="H104" s="392" t="s">
        <v>464</v>
      </c>
      <c r="I104" s="423">
        <v>1702</v>
      </c>
      <c r="J104" s="392" t="s">
        <v>465</v>
      </c>
      <c r="K104" s="392" t="s">
        <v>204</v>
      </c>
      <c r="L104" s="191">
        <v>1702038</v>
      </c>
      <c r="M104" s="397" t="s">
        <v>488</v>
      </c>
      <c r="N104" s="191">
        <v>1702038</v>
      </c>
      <c r="O104" s="392" t="s">
        <v>488</v>
      </c>
      <c r="P104" s="423" t="s">
        <v>493</v>
      </c>
      <c r="Q104" s="397" t="s">
        <v>494</v>
      </c>
      <c r="R104" s="423" t="s">
        <v>493</v>
      </c>
      <c r="S104" s="397" t="s">
        <v>494</v>
      </c>
      <c r="T104" s="428" t="s">
        <v>157</v>
      </c>
      <c r="U104" s="388">
        <v>80</v>
      </c>
      <c r="V104" s="388"/>
      <c r="W104" s="388">
        <f t="shared" si="9"/>
        <v>80</v>
      </c>
      <c r="X104" s="388">
        <v>80</v>
      </c>
      <c r="Y104" s="389">
        <v>2020003630080</v>
      </c>
      <c r="Z104" s="188" t="s">
        <v>491</v>
      </c>
      <c r="AA104" s="546" t="s">
        <v>492</v>
      </c>
      <c r="AB104" s="185"/>
      <c r="AC104" s="185"/>
      <c r="AD104" s="185"/>
      <c r="AE104" s="185"/>
      <c r="AF104" s="185"/>
      <c r="AG104" s="185"/>
      <c r="AH104" s="185"/>
      <c r="AI104" s="185"/>
      <c r="AJ104" s="185"/>
      <c r="AK104" s="185"/>
      <c r="AL104" s="185"/>
      <c r="AM104" s="185"/>
      <c r="AN104" s="185"/>
      <c r="AO104" s="185"/>
      <c r="AP104" s="185"/>
      <c r="AQ104" s="185"/>
      <c r="AR104" s="185"/>
      <c r="AS104" s="185"/>
      <c r="AT104" s="190">
        <v>18000000</v>
      </c>
      <c r="AU104" s="190">
        <v>12956566</v>
      </c>
      <c r="AV104" s="190">
        <v>12956566</v>
      </c>
      <c r="AW104" s="194"/>
      <c r="AX104" s="194"/>
      <c r="AY104" s="194"/>
      <c r="AZ104" s="194"/>
      <c r="BA104" s="194"/>
      <c r="BB104" s="194"/>
      <c r="BC104" s="194"/>
      <c r="BD104" s="194"/>
      <c r="BE104" s="194"/>
      <c r="BF104" s="192">
        <f t="shared" si="10"/>
        <v>18000000</v>
      </c>
      <c r="BG104" s="192">
        <f t="shared" si="11"/>
        <v>12956566</v>
      </c>
      <c r="BH104" s="192">
        <f t="shared" si="12"/>
        <v>12956566</v>
      </c>
      <c r="BI104" s="297" t="s">
        <v>9</v>
      </c>
    </row>
    <row r="105" spans="1:61" s="394" customFormat="1" ht="66.75" customHeight="1">
      <c r="A105" s="423">
        <v>312</v>
      </c>
      <c r="B105" s="392" t="s">
        <v>463</v>
      </c>
      <c r="C105" s="423">
        <v>2</v>
      </c>
      <c r="D105" s="392" t="s">
        <v>200</v>
      </c>
      <c r="E105" s="423">
        <v>17</v>
      </c>
      <c r="F105" s="392" t="s">
        <v>201</v>
      </c>
      <c r="G105" s="423">
        <v>1702</v>
      </c>
      <c r="H105" s="392" t="s">
        <v>464</v>
      </c>
      <c r="I105" s="423">
        <v>1702</v>
      </c>
      <c r="J105" s="392" t="s">
        <v>465</v>
      </c>
      <c r="K105" s="392" t="s">
        <v>204</v>
      </c>
      <c r="L105" s="191">
        <v>1702023</v>
      </c>
      <c r="M105" s="397" t="s">
        <v>254</v>
      </c>
      <c r="N105" s="191">
        <v>1702023</v>
      </c>
      <c r="O105" s="392" t="s">
        <v>254</v>
      </c>
      <c r="P105" s="423" t="s">
        <v>495</v>
      </c>
      <c r="Q105" s="397" t="s">
        <v>496</v>
      </c>
      <c r="R105" s="423" t="s">
        <v>495</v>
      </c>
      <c r="S105" s="393" t="s">
        <v>496</v>
      </c>
      <c r="T105" s="428" t="s">
        <v>69</v>
      </c>
      <c r="U105" s="388">
        <v>1</v>
      </c>
      <c r="V105" s="388"/>
      <c r="W105" s="388">
        <f t="shared" si="9"/>
        <v>1</v>
      </c>
      <c r="X105" s="388">
        <v>1</v>
      </c>
      <c r="Y105" s="389">
        <v>2020003630022</v>
      </c>
      <c r="Z105" s="395" t="s">
        <v>497</v>
      </c>
      <c r="AA105" s="546" t="s">
        <v>498</v>
      </c>
      <c r="AB105" s="185"/>
      <c r="AC105" s="185"/>
      <c r="AD105" s="185"/>
      <c r="AE105" s="185"/>
      <c r="AF105" s="185"/>
      <c r="AG105" s="185"/>
      <c r="AH105" s="185"/>
      <c r="AI105" s="185"/>
      <c r="AJ105" s="185"/>
      <c r="AK105" s="185"/>
      <c r="AL105" s="185"/>
      <c r="AM105" s="185"/>
      <c r="AN105" s="185"/>
      <c r="AO105" s="185"/>
      <c r="AP105" s="185"/>
      <c r="AQ105" s="185"/>
      <c r="AR105" s="185"/>
      <c r="AS105" s="185"/>
      <c r="AT105" s="190">
        <f>30000000+9000000+3200000+9600000</f>
        <v>51800000</v>
      </c>
      <c r="AU105" s="190">
        <v>46561666</v>
      </c>
      <c r="AV105" s="190">
        <v>46561666</v>
      </c>
      <c r="AW105" s="194"/>
      <c r="AX105" s="194"/>
      <c r="AY105" s="194"/>
      <c r="AZ105" s="194"/>
      <c r="BA105" s="194"/>
      <c r="BB105" s="194"/>
      <c r="BC105" s="194"/>
      <c r="BD105" s="194"/>
      <c r="BE105" s="194"/>
      <c r="BF105" s="192">
        <f t="shared" si="10"/>
        <v>51800000</v>
      </c>
      <c r="BG105" s="192">
        <f t="shared" si="11"/>
        <v>46561666</v>
      </c>
      <c r="BH105" s="192">
        <f t="shared" si="12"/>
        <v>46561666</v>
      </c>
      <c r="BI105" s="297" t="s">
        <v>9</v>
      </c>
    </row>
    <row r="106" spans="1:61" s="394" customFormat="1" ht="66.75" customHeight="1">
      <c r="A106" s="423">
        <v>312</v>
      </c>
      <c r="B106" s="392" t="s">
        <v>463</v>
      </c>
      <c r="C106" s="423">
        <v>2</v>
      </c>
      <c r="D106" s="392" t="s">
        <v>200</v>
      </c>
      <c r="E106" s="423">
        <v>17</v>
      </c>
      <c r="F106" s="392" t="s">
        <v>201</v>
      </c>
      <c r="G106" s="423">
        <v>1702</v>
      </c>
      <c r="H106" s="392" t="s">
        <v>464</v>
      </c>
      <c r="I106" s="423">
        <v>1702</v>
      </c>
      <c r="J106" s="392" t="s">
        <v>465</v>
      </c>
      <c r="K106" s="392" t="s">
        <v>204</v>
      </c>
      <c r="L106" s="191">
        <v>1702024</v>
      </c>
      <c r="M106" s="397" t="s">
        <v>499</v>
      </c>
      <c r="N106" s="191">
        <v>1702024</v>
      </c>
      <c r="O106" s="392" t="s">
        <v>499</v>
      </c>
      <c r="P106" s="186" t="s">
        <v>500</v>
      </c>
      <c r="Q106" s="397" t="s">
        <v>501</v>
      </c>
      <c r="R106" s="186">
        <v>170202400</v>
      </c>
      <c r="S106" s="397" t="s">
        <v>501</v>
      </c>
      <c r="T106" s="428" t="s">
        <v>69</v>
      </c>
      <c r="U106" s="388">
        <v>12</v>
      </c>
      <c r="V106" s="388"/>
      <c r="W106" s="388">
        <f t="shared" si="9"/>
        <v>12</v>
      </c>
      <c r="X106" s="388">
        <v>12</v>
      </c>
      <c r="Y106" s="389">
        <v>2020003630022</v>
      </c>
      <c r="Z106" s="188" t="s">
        <v>497</v>
      </c>
      <c r="AA106" s="546" t="s">
        <v>498</v>
      </c>
      <c r="AB106" s="185"/>
      <c r="AC106" s="185"/>
      <c r="AD106" s="185"/>
      <c r="AE106" s="185"/>
      <c r="AF106" s="185"/>
      <c r="AG106" s="185"/>
      <c r="AH106" s="185"/>
      <c r="AI106" s="185"/>
      <c r="AJ106" s="185"/>
      <c r="AK106" s="185"/>
      <c r="AL106" s="185"/>
      <c r="AM106" s="185"/>
      <c r="AN106" s="185"/>
      <c r="AO106" s="185"/>
      <c r="AP106" s="185"/>
      <c r="AQ106" s="185"/>
      <c r="AR106" s="185"/>
      <c r="AS106" s="185"/>
      <c r="AT106" s="190">
        <f>60000000+18000000+5766666.67+15900000</f>
        <v>99666666.670000002</v>
      </c>
      <c r="AU106" s="190">
        <v>90576666</v>
      </c>
      <c r="AV106" s="190">
        <v>90576666</v>
      </c>
      <c r="AW106" s="194"/>
      <c r="AX106" s="194"/>
      <c r="AY106" s="194"/>
      <c r="AZ106" s="194"/>
      <c r="BA106" s="194"/>
      <c r="BB106" s="194"/>
      <c r="BC106" s="194"/>
      <c r="BD106" s="194"/>
      <c r="BE106" s="194"/>
      <c r="BF106" s="192">
        <f t="shared" si="10"/>
        <v>99666666.670000002</v>
      </c>
      <c r="BG106" s="192">
        <f t="shared" si="11"/>
        <v>90576666</v>
      </c>
      <c r="BH106" s="192">
        <f t="shared" si="12"/>
        <v>90576666</v>
      </c>
      <c r="BI106" s="297" t="s">
        <v>9</v>
      </c>
    </row>
    <row r="107" spans="1:61" s="394" customFormat="1" ht="66.75" customHeight="1">
      <c r="A107" s="423">
        <v>312</v>
      </c>
      <c r="B107" s="392" t="s">
        <v>463</v>
      </c>
      <c r="C107" s="423">
        <v>2</v>
      </c>
      <c r="D107" s="392" t="s">
        <v>200</v>
      </c>
      <c r="E107" s="423">
        <v>17</v>
      </c>
      <c r="F107" s="392" t="s">
        <v>201</v>
      </c>
      <c r="G107" s="423">
        <v>1702</v>
      </c>
      <c r="H107" s="392" t="s">
        <v>464</v>
      </c>
      <c r="I107" s="423">
        <v>1702</v>
      </c>
      <c r="J107" s="392" t="s">
        <v>465</v>
      </c>
      <c r="K107" s="392" t="s">
        <v>204</v>
      </c>
      <c r="L107" s="191">
        <v>1702025</v>
      </c>
      <c r="M107" s="397" t="s">
        <v>502</v>
      </c>
      <c r="N107" s="191">
        <v>1702025</v>
      </c>
      <c r="O107" s="392" t="s">
        <v>502</v>
      </c>
      <c r="P107" s="186" t="s">
        <v>503</v>
      </c>
      <c r="Q107" s="397" t="s">
        <v>504</v>
      </c>
      <c r="R107" s="186" t="s">
        <v>503</v>
      </c>
      <c r="S107" s="397" t="s">
        <v>504</v>
      </c>
      <c r="T107" s="428" t="s">
        <v>157</v>
      </c>
      <c r="U107" s="388">
        <v>25</v>
      </c>
      <c r="V107" s="388">
        <v>15</v>
      </c>
      <c r="W107" s="388">
        <f t="shared" si="9"/>
        <v>40</v>
      </c>
      <c r="X107" s="388">
        <v>40</v>
      </c>
      <c r="Y107" s="389">
        <v>2020003630081</v>
      </c>
      <c r="Z107" s="395" t="s">
        <v>505</v>
      </c>
      <c r="AA107" s="546" t="s">
        <v>506</v>
      </c>
      <c r="AB107" s="185"/>
      <c r="AC107" s="185"/>
      <c r="AD107" s="185"/>
      <c r="AE107" s="185"/>
      <c r="AF107" s="185"/>
      <c r="AG107" s="185"/>
      <c r="AH107" s="185"/>
      <c r="AI107" s="185"/>
      <c r="AJ107" s="185"/>
      <c r="AK107" s="185"/>
      <c r="AL107" s="185"/>
      <c r="AM107" s="185"/>
      <c r="AN107" s="185"/>
      <c r="AO107" s="185"/>
      <c r="AP107" s="185"/>
      <c r="AQ107" s="185"/>
      <c r="AR107" s="185"/>
      <c r="AS107" s="185"/>
      <c r="AT107" s="190">
        <f>27000000+12700000</f>
        <v>39700000</v>
      </c>
      <c r="AU107" s="190">
        <v>37296333</v>
      </c>
      <c r="AV107" s="190">
        <v>37296333</v>
      </c>
      <c r="AW107" s="194"/>
      <c r="AX107" s="194"/>
      <c r="AY107" s="194"/>
      <c r="AZ107" s="194"/>
      <c r="BA107" s="194"/>
      <c r="BB107" s="194"/>
      <c r="BC107" s="194"/>
      <c r="BD107" s="194"/>
      <c r="BE107" s="194"/>
      <c r="BF107" s="192">
        <f t="shared" si="10"/>
        <v>39700000</v>
      </c>
      <c r="BG107" s="192">
        <f t="shared" si="11"/>
        <v>37296333</v>
      </c>
      <c r="BH107" s="192">
        <f t="shared" si="12"/>
        <v>37296333</v>
      </c>
      <c r="BI107" s="297" t="s">
        <v>9</v>
      </c>
    </row>
    <row r="108" spans="1:61" s="394" customFormat="1" ht="66.75" customHeight="1">
      <c r="A108" s="423">
        <v>312</v>
      </c>
      <c r="B108" s="392" t="s">
        <v>463</v>
      </c>
      <c r="C108" s="423">
        <v>2</v>
      </c>
      <c r="D108" s="392" t="s">
        <v>200</v>
      </c>
      <c r="E108" s="423">
        <v>17</v>
      </c>
      <c r="F108" s="392" t="s">
        <v>201</v>
      </c>
      <c r="G108" s="423">
        <v>1703</v>
      </c>
      <c r="H108" s="392" t="s">
        <v>507</v>
      </c>
      <c r="I108" s="423">
        <v>1703</v>
      </c>
      <c r="J108" s="392" t="s">
        <v>508</v>
      </c>
      <c r="K108" s="392" t="s">
        <v>204</v>
      </c>
      <c r="L108" s="191">
        <v>1703013</v>
      </c>
      <c r="M108" s="397" t="s">
        <v>509</v>
      </c>
      <c r="N108" s="191">
        <v>1703013</v>
      </c>
      <c r="O108" s="392" t="s">
        <v>509</v>
      </c>
      <c r="P108" s="186" t="s">
        <v>510</v>
      </c>
      <c r="Q108" s="397" t="s">
        <v>511</v>
      </c>
      <c r="R108" s="186">
        <v>170301300</v>
      </c>
      <c r="S108" s="397" t="s">
        <v>511</v>
      </c>
      <c r="T108" s="428" t="s">
        <v>157</v>
      </c>
      <c r="U108" s="388">
        <v>55</v>
      </c>
      <c r="V108" s="388"/>
      <c r="W108" s="388">
        <f t="shared" si="9"/>
        <v>55</v>
      </c>
      <c r="X108" s="388">
        <v>70</v>
      </c>
      <c r="Y108" s="389">
        <v>2020003630082</v>
      </c>
      <c r="Z108" s="188" t="s">
        <v>512</v>
      </c>
      <c r="AA108" s="546" t="s">
        <v>513</v>
      </c>
      <c r="AB108" s="185"/>
      <c r="AC108" s="185"/>
      <c r="AD108" s="185"/>
      <c r="AE108" s="185"/>
      <c r="AF108" s="185"/>
      <c r="AG108" s="185"/>
      <c r="AH108" s="185"/>
      <c r="AI108" s="185"/>
      <c r="AJ108" s="185"/>
      <c r="AK108" s="185"/>
      <c r="AL108" s="185"/>
      <c r="AM108" s="185"/>
      <c r="AN108" s="185"/>
      <c r="AO108" s="185"/>
      <c r="AP108" s="185"/>
      <c r="AQ108" s="185"/>
      <c r="AR108" s="185"/>
      <c r="AS108" s="185"/>
      <c r="AT108" s="190">
        <f>32907909+3400000+25500000</f>
        <v>61807909</v>
      </c>
      <c r="AU108" s="190">
        <v>56667500</v>
      </c>
      <c r="AV108" s="190">
        <v>56667500</v>
      </c>
      <c r="AW108" s="194"/>
      <c r="AX108" s="194"/>
      <c r="AY108" s="194"/>
      <c r="AZ108" s="194"/>
      <c r="BA108" s="194"/>
      <c r="BB108" s="194"/>
      <c r="BC108" s="194"/>
      <c r="BD108" s="194"/>
      <c r="BE108" s="194"/>
      <c r="BF108" s="192">
        <f t="shared" si="10"/>
        <v>61807909</v>
      </c>
      <c r="BG108" s="192">
        <f t="shared" si="11"/>
        <v>56667500</v>
      </c>
      <c r="BH108" s="192">
        <f t="shared" si="12"/>
        <v>56667500</v>
      </c>
      <c r="BI108" s="297" t="s">
        <v>9</v>
      </c>
    </row>
    <row r="109" spans="1:61" s="394" customFormat="1" ht="66.75" customHeight="1">
      <c r="A109" s="423">
        <v>312</v>
      </c>
      <c r="B109" s="392" t="s">
        <v>463</v>
      </c>
      <c r="C109" s="423">
        <v>2</v>
      </c>
      <c r="D109" s="392" t="s">
        <v>200</v>
      </c>
      <c r="E109" s="423">
        <v>17</v>
      </c>
      <c r="F109" s="392" t="s">
        <v>201</v>
      </c>
      <c r="G109" s="423">
        <v>1704</v>
      </c>
      <c r="H109" s="392" t="s">
        <v>514</v>
      </c>
      <c r="I109" s="423">
        <v>1704</v>
      </c>
      <c r="J109" s="392" t="s">
        <v>515</v>
      </c>
      <c r="K109" s="392" t="s">
        <v>204</v>
      </c>
      <c r="L109" s="191">
        <v>1704002</v>
      </c>
      <c r="M109" s="397" t="s">
        <v>101</v>
      </c>
      <c r="N109" s="191">
        <v>1704002</v>
      </c>
      <c r="O109" s="392" t="s">
        <v>101</v>
      </c>
      <c r="P109" s="423" t="s">
        <v>516</v>
      </c>
      <c r="Q109" s="397" t="s">
        <v>517</v>
      </c>
      <c r="R109" s="423" t="s">
        <v>516</v>
      </c>
      <c r="S109" s="397" t="s">
        <v>517</v>
      </c>
      <c r="T109" s="388" t="s">
        <v>69</v>
      </c>
      <c r="U109" s="388">
        <v>1</v>
      </c>
      <c r="V109" s="388"/>
      <c r="W109" s="388">
        <f t="shared" si="9"/>
        <v>1</v>
      </c>
      <c r="X109" s="388">
        <v>1</v>
      </c>
      <c r="Y109" s="389">
        <v>2020003630025</v>
      </c>
      <c r="Z109" s="188" t="s">
        <v>518</v>
      </c>
      <c r="AA109" s="546" t="s">
        <v>519</v>
      </c>
      <c r="AB109" s="284"/>
      <c r="AC109" s="284"/>
      <c r="AD109" s="284"/>
      <c r="AE109" s="284"/>
      <c r="AF109" s="284"/>
      <c r="AG109" s="284"/>
      <c r="AH109" s="284"/>
      <c r="AI109" s="284"/>
      <c r="AJ109" s="284"/>
      <c r="AK109" s="284"/>
      <c r="AL109" s="284"/>
      <c r="AM109" s="284"/>
      <c r="AN109" s="284"/>
      <c r="AO109" s="284"/>
      <c r="AP109" s="284"/>
      <c r="AQ109" s="284"/>
      <c r="AR109" s="284"/>
      <c r="AS109" s="284"/>
      <c r="AT109" s="194">
        <f>42000000+16000000+4906666.67+48000000</f>
        <v>110906666.67</v>
      </c>
      <c r="AU109" s="194">
        <v>110851666</v>
      </c>
      <c r="AV109" s="190">
        <v>110851666</v>
      </c>
      <c r="AW109" s="194"/>
      <c r="AX109" s="194"/>
      <c r="AY109" s="194"/>
      <c r="AZ109" s="194"/>
      <c r="BA109" s="194"/>
      <c r="BB109" s="194"/>
      <c r="BC109" s="194"/>
      <c r="BD109" s="194"/>
      <c r="BE109" s="194"/>
      <c r="BF109" s="192">
        <f t="shared" si="10"/>
        <v>110906666.67</v>
      </c>
      <c r="BG109" s="192">
        <f t="shared" si="11"/>
        <v>110851666</v>
      </c>
      <c r="BH109" s="192">
        <f t="shared" si="12"/>
        <v>110851666</v>
      </c>
      <c r="BI109" s="297" t="s">
        <v>9</v>
      </c>
    </row>
    <row r="110" spans="1:61" s="394" customFormat="1" ht="66.75" customHeight="1">
      <c r="A110" s="423">
        <v>312</v>
      </c>
      <c r="B110" s="392" t="s">
        <v>463</v>
      </c>
      <c r="C110" s="423">
        <v>2</v>
      </c>
      <c r="D110" s="392" t="s">
        <v>200</v>
      </c>
      <c r="E110" s="423">
        <v>17</v>
      </c>
      <c r="F110" s="392" t="s">
        <v>201</v>
      </c>
      <c r="G110" s="423">
        <v>1704</v>
      </c>
      <c r="H110" s="392" t="s">
        <v>514</v>
      </c>
      <c r="I110" s="423">
        <v>1704</v>
      </c>
      <c r="J110" s="392" t="s">
        <v>515</v>
      </c>
      <c r="K110" s="392" t="s">
        <v>204</v>
      </c>
      <c r="L110" s="191">
        <v>1704017</v>
      </c>
      <c r="M110" s="397" t="s">
        <v>520</v>
      </c>
      <c r="N110" s="191">
        <v>1704017</v>
      </c>
      <c r="O110" s="392" t="s">
        <v>520</v>
      </c>
      <c r="P110" s="423" t="s">
        <v>521</v>
      </c>
      <c r="Q110" s="397" t="s">
        <v>522</v>
      </c>
      <c r="R110" s="423">
        <v>170401700</v>
      </c>
      <c r="S110" s="397" t="s">
        <v>522</v>
      </c>
      <c r="T110" s="428" t="s">
        <v>157</v>
      </c>
      <c r="U110" s="388">
        <v>150</v>
      </c>
      <c r="V110" s="388"/>
      <c r="W110" s="388">
        <f t="shared" si="9"/>
        <v>150</v>
      </c>
      <c r="X110" s="388">
        <v>150</v>
      </c>
      <c r="Y110" s="389">
        <v>2020003630025</v>
      </c>
      <c r="Z110" s="188" t="s">
        <v>518</v>
      </c>
      <c r="AA110" s="546" t="s">
        <v>519</v>
      </c>
      <c r="AB110" s="284"/>
      <c r="AC110" s="284"/>
      <c r="AD110" s="284"/>
      <c r="AE110" s="284"/>
      <c r="AF110" s="284"/>
      <c r="AG110" s="284"/>
      <c r="AH110" s="284"/>
      <c r="AI110" s="284"/>
      <c r="AJ110" s="284"/>
      <c r="AK110" s="284"/>
      <c r="AL110" s="284"/>
      <c r="AM110" s="284"/>
      <c r="AN110" s="284"/>
      <c r="AO110" s="284"/>
      <c r="AP110" s="284"/>
      <c r="AQ110" s="284"/>
      <c r="AR110" s="284"/>
      <c r="AS110" s="284"/>
      <c r="AT110" s="194">
        <f>28000000+11000000+12165426</f>
        <v>51165426</v>
      </c>
      <c r="AU110" s="194">
        <v>48425832.659999996</v>
      </c>
      <c r="AV110" s="190">
        <v>48425832.659999996</v>
      </c>
      <c r="AW110" s="194"/>
      <c r="AX110" s="194"/>
      <c r="AY110" s="194"/>
      <c r="AZ110" s="194"/>
      <c r="BA110" s="194"/>
      <c r="BB110" s="194"/>
      <c r="BC110" s="194"/>
      <c r="BD110" s="194"/>
      <c r="BE110" s="194"/>
      <c r="BF110" s="192">
        <f t="shared" si="10"/>
        <v>51165426</v>
      </c>
      <c r="BG110" s="192">
        <f t="shared" si="11"/>
        <v>48425832.659999996</v>
      </c>
      <c r="BH110" s="192">
        <f t="shared" si="12"/>
        <v>48425832.659999996</v>
      </c>
      <c r="BI110" s="297" t="s">
        <v>9</v>
      </c>
    </row>
    <row r="111" spans="1:61" s="396" customFormat="1" ht="66.75" customHeight="1">
      <c r="A111" s="423">
        <v>312</v>
      </c>
      <c r="B111" s="392" t="s">
        <v>463</v>
      </c>
      <c r="C111" s="423">
        <v>2</v>
      </c>
      <c r="D111" s="392" t="s">
        <v>200</v>
      </c>
      <c r="E111" s="423">
        <v>17</v>
      </c>
      <c r="F111" s="392" t="s">
        <v>201</v>
      </c>
      <c r="G111" s="423">
        <v>1706</v>
      </c>
      <c r="H111" s="392" t="s">
        <v>523</v>
      </c>
      <c r="I111" s="423">
        <v>1706</v>
      </c>
      <c r="J111" s="392" t="s">
        <v>524</v>
      </c>
      <c r="K111" s="392" t="s">
        <v>204</v>
      </c>
      <c r="L111" s="191">
        <v>1706004</v>
      </c>
      <c r="M111" s="397" t="s">
        <v>525</v>
      </c>
      <c r="N111" s="191">
        <v>1706004</v>
      </c>
      <c r="O111" s="392" t="s">
        <v>525</v>
      </c>
      <c r="P111" s="423" t="s">
        <v>526</v>
      </c>
      <c r="Q111" s="397" t="s">
        <v>527</v>
      </c>
      <c r="R111" s="423" t="s">
        <v>526</v>
      </c>
      <c r="S111" s="397" t="s">
        <v>527</v>
      </c>
      <c r="T111" s="388" t="s">
        <v>69</v>
      </c>
      <c r="U111" s="388">
        <v>10</v>
      </c>
      <c r="V111" s="388"/>
      <c r="W111" s="388">
        <f t="shared" si="9"/>
        <v>10</v>
      </c>
      <c r="X111" s="388">
        <v>8</v>
      </c>
      <c r="Y111" s="389">
        <v>2020003630083</v>
      </c>
      <c r="Z111" s="188" t="s">
        <v>528</v>
      </c>
      <c r="AA111" s="546" t="s">
        <v>529</v>
      </c>
      <c r="AB111" s="185"/>
      <c r="AC111" s="185"/>
      <c r="AD111" s="185"/>
      <c r="AE111" s="185"/>
      <c r="AF111" s="185"/>
      <c r="AG111" s="185"/>
      <c r="AH111" s="185"/>
      <c r="AI111" s="185"/>
      <c r="AJ111" s="185"/>
      <c r="AK111" s="185"/>
      <c r="AL111" s="185"/>
      <c r="AM111" s="185"/>
      <c r="AN111" s="185"/>
      <c r="AO111" s="185"/>
      <c r="AP111" s="185"/>
      <c r="AQ111" s="185"/>
      <c r="AR111" s="185"/>
      <c r="AS111" s="185"/>
      <c r="AT111" s="194">
        <f>20000000+86000000</f>
        <v>106000000</v>
      </c>
      <c r="AU111" s="194">
        <v>103000000</v>
      </c>
      <c r="AV111" s="190">
        <v>103000000</v>
      </c>
      <c r="AW111" s="194"/>
      <c r="AX111" s="194"/>
      <c r="AY111" s="194"/>
      <c r="AZ111" s="194"/>
      <c r="BA111" s="194"/>
      <c r="BB111" s="194"/>
      <c r="BC111" s="194"/>
      <c r="BD111" s="194"/>
      <c r="BE111" s="194"/>
      <c r="BF111" s="192">
        <f t="shared" si="10"/>
        <v>106000000</v>
      </c>
      <c r="BG111" s="192">
        <f t="shared" si="11"/>
        <v>103000000</v>
      </c>
      <c r="BH111" s="192">
        <f t="shared" si="12"/>
        <v>103000000</v>
      </c>
      <c r="BI111" s="297" t="s">
        <v>9</v>
      </c>
    </row>
    <row r="112" spans="1:61" s="396" customFormat="1" ht="66.75" customHeight="1">
      <c r="A112" s="423">
        <v>312</v>
      </c>
      <c r="B112" s="392" t="s">
        <v>463</v>
      </c>
      <c r="C112" s="423">
        <v>2</v>
      </c>
      <c r="D112" s="392" t="s">
        <v>200</v>
      </c>
      <c r="E112" s="423">
        <v>17</v>
      </c>
      <c r="F112" s="392" t="s">
        <v>201</v>
      </c>
      <c r="G112" s="423">
        <v>1707</v>
      </c>
      <c r="H112" s="392" t="s">
        <v>530</v>
      </c>
      <c r="I112" s="423">
        <v>1707</v>
      </c>
      <c r="J112" s="392" t="s">
        <v>531</v>
      </c>
      <c r="K112" s="392" t="s">
        <v>204</v>
      </c>
      <c r="L112" s="191">
        <v>1707069</v>
      </c>
      <c r="M112" s="397" t="s">
        <v>532</v>
      </c>
      <c r="N112" s="191">
        <v>1707069</v>
      </c>
      <c r="O112" s="392" t="s">
        <v>532</v>
      </c>
      <c r="P112" s="423" t="s">
        <v>533</v>
      </c>
      <c r="Q112" s="393" t="s">
        <v>534</v>
      </c>
      <c r="R112" s="423" t="s">
        <v>533</v>
      </c>
      <c r="S112" s="397" t="s">
        <v>534</v>
      </c>
      <c r="T112" s="428" t="s">
        <v>157</v>
      </c>
      <c r="U112" s="388">
        <v>5</v>
      </c>
      <c r="V112" s="388"/>
      <c r="W112" s="388">
        <f t="shared" si="9"/>
        <v>5</v>
      </c>
      <c r="X112" s="388">
        <v>6</v>
      </c>
      <c r="Y112" s="389">
        <v>2020003630084</v>
      </c>
      <c r="Z112" s="188" t="s">
        <v>535</v>
      </c>
      <c r="AA112" s="546" t="s">
        <v>536</v>
      </c>
      <c r="AB112" s="185"/>
      <c r="AC112" s="185"/>
      <c r="AD112" s="185"/>
      <c r="AE112" s="185"/>
      <c r="AF112" s="185"/>
      <c r="AG112" s="185"/>
      <c r="AH112" s="185"/>
      <c r="AI112" s="185"/>
      <c r="AJ112" s="185"/>
      <c r="AK112" s="185"/>
      <c r="AL112" s="185"/>
      <c r="AM112" s="185"/>
      <c r="AN112" s="185"/>
      <c r="AO112" s="185"/>
      <c r="AP112" s="185"/>
      <c r="AQ112" s="185"/>
      <c r="AR112" s="185"/>
      <c r="AS112" s="185"/>
      <c r="AT112" s="190">
        <f>43000000+16900000+11025000+1800000</f>
        <v>72725000</v>
      </c>
      <c r="AU112" s="190">
        <v>72664173</v>
      </c>
      <c r="AV112" s="190">
        <v>72664173</v>
      </c>
      <c r="AW112" s="194"/>
      <c r="AX112" s="194"/>
      <c r="AY112" s="194"/>
      <c r="AZ112" s="194"/>
      <c r="BA112" s="194"/>
      <c r="BB112" s="194"/>
      <c r="BC112" s="194"/>
      <c r="BD112" s="194"/>
      <c r="BE112" s="194"/>
      <c r="BF112" s="192">
        <f t="shared" si="10"/>
        <v>72725000</v>
      </c>
      <c r="BG112" s="192">
        <f t="shared" si="11"/>
        <v>72664173</v>
      </c>
      <c r="BH112" s="192">
        <f t="shared" si="12"/>
        <v>72664173</v>
      </c>
      <c r="BI112" s="297" t="s">
        <v>9</v>
      </c>
    </row>
    <row r="113" spans="1:61" s="396" customFormat="1" ht="66.75" customHeight="1">
      <c r="A113" s="423">
        <v>312</v>
      </c>
      <c r="B113" s="392" t="s">
        <v>463</v>
      </c>
      <c r="C113" s="423">
        <v>2</v>
      </c>
      <c r="D113" s="392" t="s">
        <v>200</v>
      </c>
      <c r="E113" s="423">
        <v>17</v>
      </c>
      <c r="F113" s="392" t="s">
        <v>201</v>
      </c>
      <c r="G113" s="423">
        <v>1708</v>
      </c>
      <c r="H113" s="392" t="s">
        <v>537</v>
      </c>
      <c r="I113" s="423">
        <v>1708</v>
      </c>
      <c r="J113" s="392" t="s">
        <v>538</v>
      </c>
      <c r="K113" s="392" t="s">
        <v>204</v>
      </c>
      <c r="L113" s="191">
        <v>1708016</v>
      </c>
      <c r="M113" s="397" t="s">
        <v>101</v>
      </c>
      <c r="N113" s="191">
        <v>1708016</v>
      </c>
      <c r="O113" s="392" t="s">
        <v>101</v>
      </c>
      <c r="P113" s="186" t="s">
        <v>539</v>
      </c>
      <c r="Q113" s="397" t="s">
        <v>540</v>
      </c>
      <c r="R113" s="186">
        <v>170801600</v>
      </c>
      <c r="S113" s="397" t="s">
        <v>540</v>
      </c>
      <c r="T113" s="388" t="s">
        <v>69</v>
      </c>
      <c r="U113" s="388">
        <v>2</v>
      </c>
      <c r="V113" s="388"/>
      <c r="W113" s="388">
        <f t="shared" si="9"/>
        <v>2</v>
      </c>
      <c r="X113" s="388">
        <v>2</v>
      </c>
      <c r="Y113" s="389">
        <v>2020003630026</v>
      </c>
      <c r="Z113" s="188" t="s">
        <v>541</v>
      </c>
      <c r="AA113" s="546" t="s">
        <v>542</v>
      </c>
      <c r="AB113" s="185"/>
      <c r="AC113" s="185"/>
      <c r="AD113" s="185"/>
      <c r="AE113" s="185"/>
      <c r="AF113" s="185"/>
      <c r="AG113" s="185"/>
      <c r="AH113" s="185"/>
      <c r="AI113" s="185"/>
      <c r="AJ113" s="185"/>
      <c r="AK113" s="185"/>
      <c r="AL113" s="185"/>
      <c r="AM113" s="185"/>
      <c r="AN113" s="185"/>
      <c r="AO113" s="185"/>
      <c r="AP113" s="185"/>
      <c r="AQ113" s="185"/>
      <c r="AR113" s="185"/>
      <c r="AS113" s="185"/>
      <c r="AT113" s="194">
        <f>20000000+8000000+4273333.33+14400000</f>
        <v>46673333.329999998</v>
      </c>
      <c r="AU113" s="194">
        <v>46673333</v>
      </c>
      <c r="AV113" s="190">
        <v>46673333</v>
      </c>
      <c r="AW113" s="194"/>
      <c r="AX113" s="194"/>
      <c r="AY113" s="194"/>
      <c r="AZ113" s="194"/>
      <c r="BA113" s="194"/>
      <c r="BB113" s="194"/>
      <c r="BC113" s="194"/>
      <c r="BD113" s="194"/>
      <c r="BE113" s="194"/>
      <c r="BF113" s="192">
        <f t="shared" si="10"/>
        <v>46673333.329999998</v>
      </c>
      <c r="BG113" s="192">
        <f t="shared" si="11"/>
        <v>46673333</v>
      </c>
      <c r="BH113" s="192">
        <f t="shared" si="12"/>
        <v>46673333</v>
      </c>
      <c r="BI113" s="297" t="s">
        <v>9</v>
      </c>
    </row>
    <row r="114" spans="1:61" s="396" customFormat="1" ht="66.75" customHeight="1">
      <c r="A114" s="423">
        <v>312</v>
      </c>
      <c r="B114" s="392" t="s">
        <v>463</v>
      </c>
      <c r="C114" s="423">
        <v>2</v>
      </c>
      <c r="D114" s="392" t="s">
        <v>200</v>
      </c>
      <c r="E114" s="423">
        <v>17</v>
      </c>
      <c r="F114" s="392" t="s">
        <v>201</v>
      </c>
      <c r="G114" s="423">
        <v>1708</v>
      </c>
      <c r="H114" s="392" t="s">
        <v>537</v>
      </c>
      <c r="I114" s="423">
        <v>1708</v>
      </c>
      <c r="J114" s="392" t="s">
        <v>538</v>
      </c>
      <c r="K114" s="392" t="s">
        <v>204</v>
      </c>
      <c r="L114" s="191">
        <v>1708051</v>
      </c>
      <c r="M114" s="397" t="s">
        <v>543</v>
      </c>
      <c r="N114" s="191">
        <v>1708051</v>
      </c>
      <c r="O114" s="392" t="s">
        <v>543</v>
      </c>
      <c r="P114" s="186" t="s">
        <v>544</v>
      </c>
      <c r="Q114" s="397" t="s">
        <v>545</v>
      </c>
      <c r="R114" s="186" t="s">
        <v>544</v>
      </c>
      <c r="S114" s="397" t="s">
        <v>545</v>
      </c>
      <c r="T114" s="401" t="s">
        <v>69</v>
      </c>
      <c r="U114" s="388">
        <v>1</v>
      </c>
      <c r="V114" s="388"/>
      <c r="W114" s="388">
        <f t="shared" si="9"/>
        <v>1</v>
      </c>
      <c r="X114" s="388">
        <v>1</v>
      </c>
      <c r="Y114" s="389">
        <v>2020003630026</v>
      </c>
      <c r="Z114" s="188" t="s">
        <v>541</v>
      </c>
      <c r="AA114" s="546" t="s">
        <v>542</v>
      </c>
      <c r="AB114" s="185"/>
      <c r="AC114" s="185"/>
      <c r="AD114" s="185"/>
      <c r="AE114" s="185"/>
      <c r="AF114" s="185"/>
      <c r="AG114" s="185"/>
      <c r="AH114" s="185"/>
      <c r="AI114" s="185"/>
      <c r="AJ114" s="185"/>
      <c r="AK114" s="185"/>
      <c r="AL114" s="185"/>
      <c r="AM114" s="185"/>
      <c r="AN114" s="185"/>
      <c r="AO114" s="185"/>
      <c r="AP114" s="185"/>
      <c r="AQ114" s="185"/>
      <c r="AR114" s="185"/>
      <c r="AS114" s="185"/>
      <c r="AT114" s="194">
        <f>20000000+8000000+1335000+7350000</f>
        <v>36685000</v>
      </c>
      <c r="AU114" s="194">
        <v>36226667</v>
      </c>
      <c r="AV114" s="190">
        <v>36226667</v>
      </c>
      <c r="AW114" s="194"/>
      <c r="AX114" s="194"/>
      <c r="AY114" s="194"/>
      <c r="AZ114" s="194"/>
      <c r="BA114" s="194"/>
      <c r="BB114" s="194"/>
      <c r="BC114" s="194"/>
      <c r="BD114" s="194"/>
      <c r="BE114" s="194"/>
      <c r="BF114" s="192">
        <f t="shared" si="10"/>
        <v>36685000</v>
      </c>
      <c r="BG114" s="192">
        <f t="shared" si="11"/>
        <v>36226667</v>
      </c>
      <c r="BH114" s="192">
        <f t="shared" si="12"/>
        <v>36226667</v>
      </c>
      <c r="BI114" s="297" t="s">
        <v>9</v>
      </c>
    </row>
    <row r="115" spans="1:61" s="396" customFormat="1" ht="66.75" customHeight="1">
      <c r="A115" s="423">
        <v>312</v>
      </c>
      <c r="B115" s="392" t="s">
        <v>463</v>
      </c>
      <c r="C115" s="423">
        <v>2</v>
      </c>
      <c r="D115" s="392" t="s">
        <v>200</v>
      </c>
      <c r="E115" s="423">
        <v>17</v>
      </c>
      <c r="F115" s="392" t="s">
        <v>201</v>
      </c>
      <c r="G115" s="423">
        <v>1709</v>
      </c>
      <c r="H115" s="392" t="s">
        <v>202</v>
      </c>
      <c r="I115" s="423">
        <v>1709</v>
      </c>
      <c r="J115" s="392" t="s">
        <v>203</v>
      </c>
      <c r="K115" s="392" t="s">
        <v>204</v>
      </c>
      <c r="L115" s="191">
        <v>1709019</v>
      </c>
      <c r="M115" s="397" t="s">
        <v>546</v>
      </c>
      <c r="N115" s="191">
        <v>1709019</v>
      </c>
      <c r="O115" s="392" t="s">
        <v>546</v>
      </c>
      <c r="P115" s="186">
        <v>170901900</v>
      </c>
      <c r="Q115" s="397" t="s">
        <v>546</v>
      </c>
      <c r="R115" s="186">
        <v>170901900</v>
      </c>
      <c r="S115" s="397" t="s">
        <v>546</v>
      </c>
      <c r="T115" s="428" t="s">
        <v>157</v>
      </c>
      <c r="U115" s="388">
        <v>4</v>
      </c>
      <c r="V115" s="388">
        <v>7</v>
      </c>
      <c r="W115" s="388">
        <f t="shared" si="9"/>
        <v>11</v>
      </c>
      <c r="X115" s="388">
        <v>8</v>
      </c>
      <c r="Y115" s="389">
        <v>2020003630024</v>
      </c>
      <c r="Z115" s="188" t="s">
        <v>547</v>
      </c>
      <c r="AA115" s="546" t="s">
        <v>548</v>
      </c>
      <c r="AB115" s="284"/>
      <c r="AC115" s="284"/>
      <c r="AD115" s="284"/>
      <c r="AE115" s="284"/>
      <c r="AF115" s="284"/>
      <c r="AG115" s="284"/>
      <c r="AH115" s="284"/>
      <c r="AI115" s="284"/>
      <c r="AJ115" s="284"/>
      <c r="AK115" s="284"/>
      <c r="AL115" s="284"/>
      <c r="AM115" s="284"/>
      <c r="AN115" s="284"/>
      <c r="AO115" s="284"/>
      <c r="AP115" s="284"/>
      <c r="AQ115" s="284"/>
      <c r="AR115" s="284"/>
      <c r="AS115" s="284"/>
      <c r="AT115" s="194">
        <v>43000000</v>
      </c>
      <c r="AU115" s="194">
        <v>38213170.18</v>
      </c>
      <c r="AV115" s="190">
        <v>38213170.18</v>
      </c>
      <c r="AW115" s="194"/>
      <c r="AX115" s="194"/>
      <c r="AY115" s="194"/>
      <c r="AZ115" s="194"/>
      <c r="BA115" s="194"/>
      <c r="BB115" s="194"/>
      <c r="BC115" s="194"/>
      <c r="BD115" s="194"/>
      <c r="BE115" s="194"/>
      <c r="BF115" s="192">
        <f t="shared" si="10"/>
        <v>43000000</v>
      </c>
      <c r="BG115" s="192">
        <f t="shared" si="11"/>
        <v>38213170.18</v>
      </c>
      <c r="BH115" s="192">
        <f t="shared" si="12"/>
        <v>38213170.18</v>
      </c>
      <c r="BI115" s="297" t="s">
        <v>9</v>
      </c>
    </row>
    <row r="116" spans="1:61" s="396" customFormat="1" ht="66.75" customHeight="1">
      <c r="A116" s="423">
        <v>312</v>
      </c>
      <c r="B116" s="392" t="s">
        <v>463</v>
      </c>
      <c r="C116" s="423">
        <v>2</v>
      </c>
      <c r="D116" s="392" t="s">
        <v>200</v>
      </c>
      <c r="E116" s="423">
        <v>17</v>
      </c>
      <c r="F116" s="392" t="s">
        <v>201</v>
      </c>
      <c r="G116" s="423">
        <v>1709</v>
      </c>
      <c r="H116" s="392" t="s">
        <v>202</v>
      </c>
      <c r="I116" s="423">
        <v>1709</v>
      </c>
      <c r="J116" s="392" t="s">
        <v>203</v>
      </c>
      <c r="K116" s="392" t="s">
        <v>204</v>
      </c>
      <c r="L116" s="191">
        <v>1709034</v>
      </c>
      <c r="M116" s="397" t="s">
        <v>549</v>
      </c>
      <c r="N116" s="191">
        <v>1709034</v>
      </c>
      <c r="O116" s="392" t="s">
        <v>549</v>
      </c>
      <c r="P116" s="186" t="s">
        <v>550</v>
      </c>
      <c r="Q116" s="397" t="s">
        <v>549</v>
      </c>
      <c r="R116" s="186" t="s">
        <v>550</v>
      </c>
      <c r="S116" s="397" t="s">
        <v>549</v>
      </c>
      <c r="T116" s="428" t="s">
        <v>157</v>
      </c>
      <c r="U116" s="388">
        <v>3</v>
      </c>
      <c r="V116" s="388">
        <v>2</v>
      </c>
      <c r="W116" s="388">
        <f t="shared" si="9"/>
        <v>5</v>
      </c>
      <c r="X116" s="388">
        <v>5</v>
      </c>
      <c r="Y116" s="389">
        <v>2020003630024</v>
      </c>
      <c r="Z116" s="188" t="s">
        <v>547</v>
      </c>
      <c r="AA116" s="546" t="s">
        <v>548</v>
      </c>
      <c r="AB116" s="284"/>
      <c r="AC116" s="284"/>
      <c r="AD116" s="284"/>
      <c r="AE116" s="284"/>
      <c r="AF116" s="284"/>
      <c r="AG116" s="284"/>
      <c r="AH116" s="284"/>
      <c r="AI116" s="284"/>
      <c r="AJ116" s="284"/>
      <c r="AK116" s="284"/>
      <c r="AL116" s="284"/>
      <c r="AM116" s="284"/>
      <c r="AN116" s="284"/>
      <c r="AO116" s="284"/>
      <c r="AP116" s="284"/>
      <c r="AQ116" s="284"/>
      <c r="AR116" s="284"/>
      <c r="AS116" s="284"/>
      <c r="AT116" s="194">
        <f>43000000+34676627</f>
        <v>77676627</v>
      </c>
      <c r="AU116" s="194">
        <v>74194951</v>
      </c>
      <c r="AV116" s="190">
        <v>74194951</v>
      </c>
      <c r="AW116" s="194"/>
      <c r="AX116" s="194"/>
      <c r="AY116" s="194"/>
      <c r="AZ116" s="194"/>
      <c r="BA116" s="194"/>
      <c r="BB116" s="194"/>
      <c r="BC116" s="194"/>
      <c r="BD116" s="194"/>
      <c r="BE116" s="194"/>
      <c r="BF116" s="192">
        <f t="shared" si="10"/>
        <v>77676627</v>
      </c>
      <c r="BG116" s="192">
        <f t="shared" si="11"/>
        <v>74194951</v>
      </c>
      <c r="BH116" s="192">
        <f t="shared" si="12"/>
        <v>74194951</v>
      </c>
      <c r="BI116" s="297" t="s">
        <v>9</v>
      </c>
    </row>
    <row r="117" spans="1:61" s="396" customFormat="1" ht="66.75" customHeight="1">
      <c r="A117" s="423">
        <v>312</v>
      </c>
      <c r="B117" s="392" t="s">
        <v>463</v>
      </c>
      <c r="C117" s="423">
        <v>2</v>
      </c>
      <c r="D117" s="392" t="s">
        <v>200</v>
      </c>
      <c r="E117" s="423">
        <v>17</v>
      </c>
      <c r="F117" s="392" t="s">
        <v>201</v>
      </c>
      <c r="G117" s="423">
        <v>1709</v>
      </c>
      <c r="H117" s="392" t="s">
        <v>202</v>
      </c>
      <c r="I117" s="423">
        <v>1709</v>
      </c>
      <c r="J117" s="392" t="s">
        <v>203</v>
      </c>
      <c r="K117" s="392" t="s">
        <v>204</v>
      </c>
      <c r="L117" s="191">
        <v>1709093</v>
      </c>
      <c r="M117" s="397" t="s">
        <v>551</v>
      </c>
      <c r="N117" s="191">
        <v>1709093</v>
      </c>
      <c r="O117" s="392" t="s">
        <v>551</v>
      </c>
      <c r="P117" s="423" t="s">
        <v>552</v>
      </c>
      <c r="Q117" s="397" t="s">
        <v>553</v>
      </c>
      <c r="R117" s="423" t="s">
        <v>552</v>
      </c>
      <c r="S117" s="397" t="s">
        <v>553</v>
      </c>
      <c r="T117" s="428" t="s">
        <v>157</v>
      </c>
      <c r="U117" s="388">
        <v>1</v>
      </c>
      <c r="V117" s="388">
        <v>2</v>
      </c>
      <c r="W117" s="388">
        <f t="shared" si="9"/>
        <v>3</v>
      </c>
      <c r="X117" s="388">
        <v>3</v>
      </c>
      <c r="Y117" s="389">
        <v>2020003630024</v>
      </c>
      <c r="Z117" s="188" t="s">
        <v>547</v>
      </c>
      <c r="AA117" s="546" t="s">
        <v>548</v>
      </c>
      <c r="AB117" s="284"/>
      <c r="AC117" s="284"/>
      <c r="AD117" s="284"/>
      <c r="AE117" s="284"/>
      <c r="AF117" s="284"/>
      <c r="AG117" s="284"/>
      <c r="AH117" s="284"/>
      <c r="AI117" s="284"/>
      <c r="AJ117" s="284"/>
      <c r="AK117" s="284"/>
      <c r="AL117" s="284"/>
      <c r="AM117" s="284"/>
      <c r="AN117" s="284"/>
      <c r="AO117" s="284"/>
      <c r="AP117" s="284"/>
      <c r="AQ117" s="284"/>
      <c r="AR117" s="284"/>
      <c r="AS117" s="284"/>
      <c r="AT117" s="194">
        <v>22000000</v>
      </c>
      <c r="AU117" s="194">
        <v>17511915</v>
      </c>
      <c r="AV117" s="190">
        <v>17511915</v>
      </c>
      <c r="AW117" s="194"/>
      <c r="AX117" s="194"/>
      <c r="AY117" s="194"/>
      <c r="AZ117" s="194"/>
      <c r="BA117" s="194"/>
      <c r="BB117" s="194"/>
      <c r="BC117" s="194"/>
      <c r="BD117" s="194"/>
      <c r="BE117" s="194"/>
      <c r="BF117" s="192">
        <f t="shared" si="10"/>
        <v>22000000</v>
      </c>
      <c r="BG117" s="192">
        <f t="shared" si="11"/>
        <v>17511915</v>
      </c>
      <c r="BH117" s="192">
        <f t="shared" si="12"/>
        <v>17511915</v>
      </c>
      <c r="BI117" s="297" t="s">
        <v>9</v>
      </c>
    </row>
    <row r="118" spans="1:61" s="396" customFormat="1" ht="66.75" customHeight="1">
      <c r="A118" s="429">
        <v>312</v>
      </c>
      <c r="B118" s="407" t="s">
        <v>463</v>
      </c>
      <c r="C118" s="429">
        <v>2</v>
      </c>
      <c r="D118" s="392" t="s">
        <v>200</v>
      </c>
      <c r="E118" s="429">
        <v>35</v>
      </c>
      <c r="F118" s="407" t="s">
        <v>418</v>
      </c>
      <c r="G118" s="429">
        <v>3502</v>
      </c>
      <c r="H118" s="407" t="s">
        <v>419</v>
      </c>
      <c r="I118" s="429">
        <v>3502</v>
      </c>
      <c r="J118" s="407" t="s">
        <v>420</v>
      </c>
      <c r="K118" s="407" t="s">
        <v>554</v>
      </c>
      <c r="L118" s="299">
        <v>3502017</v>
      </c>
      <c r="M118" s="397" t="s">
        <v>555</v>
      </c>
      <c r="N118" s="299">
        <v>3502017</v>
      </c>
      <c r="O118" s="407" t="s">
        <v>555</v>
      </c>
      <c r="P118" s="300" t="s">
        <v>556</v>
      </c>
      <c r="Q118" s="430" t="s">
        <v>557</v>
      </c>
      <c r="R118" s="300" t="s">
        <v>556</v>
      </c>
      <c r="S118" s="430" t="s">
        <v>557</v>
      </c>
      <c r="T118" s="431" t="s">
        <v>69</v>
      </c>
      <c r="U118" s="431">
        <v>6</v>
      </c>
      <c r="V118" s="431"/>
      <c r="W118" s="388">
        <f t="shared" ref="W118:W149" si="13">U118+V118</f>
        <v>6</v>
      </c>
      <c r="X118" s="431">
        <v>6</v>
      </c>
      <c r="Y118" s="406">
        <v>2020003630085</v>
      </c>
      <c r="Z118" s="301" t="s">
        <v>558</v>
      </c>
      <c r="AA118" s="551" t="s">
        <v>559</v>
      </c>
      <c r="AB118" s="185"/>
      <c r="AC118" s="185"/>
      <c r="AD118" s="185"/>
      <c r="AE118" s="185"/>
      <c r="AF118" s="185"/>
      <c r="AG118" s="185"/>
      <c r="AH118" s="185"/>
      <c r="AI118" s="185"/>
      <c r="AJ118" s="185"/>
      <c r="AK118" s="185"/>
      <c r="AL118" s="185"/>
      <c r="AM118" s="185"/>
      <c r="AN118" s="185"/>
      <c r="AO118" s="185"/>
      <c r="AP118" s="185"/>
      <c r="AQ118" s="185"/>
      <c r="AR118" s="185"/>
      <c r="AS118" s="185"/>
      <c r="AT118" s="194">
        <f>18000000+1500000</f>
        <v>19500000</v>
      </c>
      <c r="AU118" s="194">
        <v>19500000</v>
      </c>
      <c r="AV118" s="190">
        <v>19500000</v>
      </c>
      <c r="AW118" s="194"/>
      <c r="AX118" s="194"/>
      <c r="AY118" s="194"/>
      <c r="AZ118" s="194"/>
      <c r="BA118" s="194"/>
      <c r="BB118" s="194"/>
      <c r="BC118" s="194"/>
      <c r="BD118" s="194"/>
      <c r="BE118" s="194"/>
      <c r="BF118" s="192">
        <f t="shared" si="10"/>
        <v>19500000</v>
      </c>
      <c r="BG118" s="192">
        <f t="shared" si="11"/>
        <v>19500000</v>
      </c>
      <c r="BH118" s="192">
        <f t="shared" si="12"/>
        <v>19500000</v>
      </c>
      <c r="BI118" s="297" t="s">
        <v>9</v>
      </c>
    </row>
    <row r="119" spans="1:61" s="396" customFormat="1" ht="66.75" customHeight="1">
      <c r="A119" s="423">
        <v>312</v>
      </c>
      <c r="B119" s="392" t="s">
        <v>463</v>
      </c>
      <c r="C119" s="423">
        <v>2</v>
      </c>
      <c r="D119" s="392" t="s">
        <v>200</v>
      </c>
      <c r="E119" s="423">
        <v>35</v>
      </c>
      <c r="F119" s="392" t="s">
        <v>418</v>
      </c>
      <c r="G119" s="423">
        <v>3502</v>
      </c>
      <c r="H119" s="392" t="s">
        <v>419</v>
      </c>
      <c r="I119" s="423">
        <v>3502</v>
      </c>
      <c r="J119" s="392" t="s">
        <v>420</v>
      </c>
      <c r="K119" s="397" t="s">
        <v>421</v>
      </c>
      <c r="L119" s="191">
        <v>3502007</v>
      </c>
      <c r="M119" s="397" t="s">
        <v>560</v>
      </c>
      <c r="N119" s="191">
        <v>3502007</v>
      </c>
      <c r="O119" s="392" t="s">
        <v>560</v>
      </c>
      <c r="P119" s="423" t="s">
        <v>428</v>
      </c>
      <c r="Q119" s="397" t="s">
        <v>429</v>
      </c>
      <c r="R119" s="423">
        <v>350200700</v>
      </c>
      <c r="S119" s="393" t="s">
        <v>429</v>
      </c>
      <c r="T119" s="401" t="s">
        <v>69</v>
      </c>
      <c r="U119" s="423">
        <v>5</v>
      </c>
      <c r="V119" s="423"/>
      <c r="W119" s="388">
        <f t="shared" si="13"/>
        <v>5</v>
      </c>
      <c r="X119" s="388">
        <v>5</v>
      </c>
      <c r="Y119" s="389">
        <v>2020003630085</v>
      </c>
      <c r="Z119" s="188" t="s">
        <v>558</v>
      </c>
      <c r="AA119" s="546" t="s">
        <v>559</v>
      </c>
      <c r="AB119" s="185"/>
      <c r="AC119" s="185"/>
      <c r="AD119" s="185"/>
      <c r="AE119" s="185"/>
      <c r="AF119" s="185"/>
      <c r="AG119" s="185"/>
      <c r="AH119" s="185"/>
      <c r="AI119" s="185"/>
      <c r="AJ119" s="185"/>
      <c r="AK119" s="185"/>
      <c r="AL119" s="185"/>
      <c r="AM119" s="185"/>
      <c r="AN119" s="185"/>
      <c r="AO119" s="185"/>
      <c r="AP119" s="185"/>
      <c r="AQ119" s="185"/>
      <c r="AR119" s="185"/>
      <c r="AS119" s="185"/>
      <c r="AT119" s="194">
        <f>18000000+7786666+76000000</f>
        <v>101786666</v>
      </c>
      <c r="AU119" s="194">
        <v>81606497</v>
      </c>
      <c r="AV119" s="190">
        <v>81606497</v>
      </c>
      <c r="AW119" s="194"/>
      <c r="AX119" s="194"/>
      <c r="AY119" s="194"/>
      <c r="AZ119" s="194"/>
      <c r="BA119" s="194"/>
      <c r="BB119" s="194"/>
      <c r="BC119" s="194"/>
      <c r="BD119" s="194"/>
      <c r="BE119" s="194"/>
      <c r="BF119" s="192">
        <f t="shared" si="10"/>
        <v>101786666</v>
      </c>
      <c r="BG119" s="192">
        <f t="shared" si="11"/>
        <v>81606497</v>
      </c>
      <c r="BH119" s="192">
        <f t="shared" si="12"/>
        <v>81606497</v>
      </c>
      <c r="BI119" s="297" t="s">
        <v>9</v>
      </c>
    </row>
    <row r="120" spans="1:61" s="396" customFormat="1" ht="66.75" customHeight="1">
      <c r="A120" s="423">
        <v>312</v>
      </c>
      <c r="B120" s="392" t="s">
        <v>463</v>
      </c>
      <c r="C120" s="423">
        <v>3</v>
      </c>
      <c r="D120" s="392" t="s">
        <v>212</v>
      </c>
      <c r="E120" s="423">
        <v>32</v>
      </c>
      <c r="F120" s="392" t="s">
        <v>227</v>
      </c>
      <c r="G120" s="423" t="s">
        <v>561</v>
      </c>
      <c r="H120" s="392" t="s">
        <v>562</v>
      </c>
      <c r="I120" s="423" t="s">
        <v>561</v>
      </c>
      <c r="J120" s="392" t="s">
        <v>563</v>
      </c>
      <c r="K120" s="392" t="s">
        <v>230</v>
      </c>
      <c r="L120" s="191">
        <v>3201013</v>
      </c>
      <c r="M120" s="397" t="s">
        <v>564</v>
      </c>
      <c r="N120" s="191">
        <v>3201013</v>
      </c>
      <c r="O120" s="392" t="s">
        <v>564</v>
      </c>
      <c r="P120" s="186" t="s">
        <v>565</v>
      </c>
      <c r="Q120" s="397" t="s">
        <v>566</v>
      </c>
      <c r="R120" s="186">
        <v>320101300</v>
      </c>
      <c r="S120" s="397" t="s">
        <v>566</v>
      </c>
      <c r="T120" s="428" t="s">
        <v>157</v>
      </c>
      <c r="U120" s="388">
        <v>1</v>
      </c>
      <c r="V120" s="388"/>
      <c r="W120" s="388">
        <f t="shared" si="13"/>
        <v>1</v>
      </c>
      <c r="X120" s="388">
        <v>1</v>
      </c>
      <c r="Y120" s="389">
        <v>2020003630027</v>
      </c>
      <c r="Z120" s="188" t="s">
        <v>567</v>
      </c>
      <c r="AA120" s="546" t="s">
        <v>568</v>
      </c>
      <c r="AB120" s="289"/>
      <c r="AC120" s="289"/>
      <c r="AD120" s="289"/>
      <c r="AE120" s="289"/>
      <c r="AF120" s="289"/>
      <c r="AG120" s="289"/>
      <c r="AH120" s="289"/>
      <c r="AI120" s="289"/>
      <c r="AJ120" s="289"/>
      <c r="AK120" s="289"/>
      <c r="AL120" s="289"/>
      <c r="AM120" s="289"/>
      <c r="AN120" s="289"/>
      <c r="AO120" s="289"/>
      <c r="AP120" s="289"/>
      <c r="AQ120" s="289"/>
      <c r="AR120" s="289"/>
      <c r="AS120" s="289"/>
      <c r="AT120" s="194">
        <f>32000000+12600000+6000000+44055000</f>
        <v>94655000</v>
      </c>
      <c r="AU120" s="194">
        <v>88629182</v>
      </c>
      <c r="AV120" s="190">
        <v>88629182</v>
      </c>
      <c r="AW120" s="194"/>
      <c r="AX120" s="194"/>
      <c r="AY120" s="194"/>
      <c r="AZ120" s="194"/>
      <c r="BA120" s="194"/>
      <c r="BB120" s="194"/>
      <c r="BC120" s="194"/>
      <c r="BD120" s="194"/>
      <c r="BE120" s="194"/>
      <c r="BF120" s="192">
        <f t="shared" si="10"/>
        <v>94655000</v>
      </c>
      <c r="BG120" s="192">
        <f t="shared" si="11"/>
        <v>88629182</v>
      </c>
      <c r="BH120" s="192">
        <f t="shared" si="12"/>
        <v>88629182</v>
      </c>
      <c r="BI120" s="297" t="s">
        <v>9</v>
      </c>
    </row>
    <row r="121" spans="1:61" s="394" customFormat="1" ht="66.75" customHeight="1">
      <c r="A121" s="423">
        <v>312</v>
      </c>
      <c r="B121" s="392" t="s">
        <v>463</v>
      </c>
      <c r="C121" s="423">
        <v>3</v>
      </c>
      <c r="D121" s="392" t="s">
        <v>212</v>
      </c>
      <c r="E121" s="423">
        <v>32</v>
      </c>
      <c r="F121" s="392" t="s">
        <v>227</v>
      </c>
      <c r="G121" s="423" t="s">
        <v>561</v>
      </c>
      <c r="H121" s="392" t="s">
        <v>562</v>
      </c>
      <c r="I121" s="423" t="s">
        <v>561</v>
      </c>
      <c r="J121" s="392" t="s">
        <v>563</v>
      </c>
      <c r="K121" s="392" t="s">
        <v>230</v>
      </c>
      <c r="L121" s="191">
        <v>3201008</v>
      </c>
      <c r="M121" s="397" t="s">
        <v>569</v>
      </c>
      <c r="N121" s="191">
        <v>3201008</v>
      </c>
      <c r="O121" s="392" t="s">
        <v>569</v>
      </c>
      <c r="P121" s="186" t="s">
        <v>570</v>
      </c>
      <c r="Q121" s="397" t="s">
        <v>571</v>
      </c>
      <c r="R121" s="186">
        <v>320100805</v>
      </c>
      <c r="S121" s="397" t="s">
        <v>571</v>
      </c>
      <c r="T121" s="428" t="s">
        <v>157</v>
      </c>
      <c r="U121" s="388">
        <v>3</v>
      </c>
      <c r="V121" s="388">
        <v>3</v>
      </c>
      <c r="W121" s="388">
        <f t="shared" si="13"/>
        <v>6</v>
      </c>
      <c r="X121" s="388">
        <v>8</v>
      </c>
      <c r="Y121" s="389">
        <v>2020003630027</v>
      </c>
      <c r="Z121" s="188" t="s">
        <v>567</v>
      </c>
      <c r="AA121" s="546" t="s">
        <v>568</v>
      </c>
      <c r="AB121" s="289"/>
      <c r="AC121" s="289"/>
      <c r="AD121" s="289"/>
      <c r="AE121" s="289"/>
      <c r="AF121" s="289"/>
      <c r="AG121" s="289"/>
      <c r="AH121" s="289"/>
      <c r="AI121" s="289"/>
      <c r="AJ121" s="289"/>
      <c r="AK121" s="289"/>
      <c r="AL121" s="289"/>
      <c r="AM121" s="289"/>
      <c r="AN121" s="289"/>
      <c r="AO121" s="289"/>
      <c r="AP121" s="289"/>
      <c r="AQ121" s="289"/>
      <c r="AR121" s="289"/>
      <c r="AS121" s="289"/>
      <c r="AT121" s="194">
        <f>50000000+18000000+50000000-17000000</f>
        <v>101000000</v>
      </c>
      <c r="AU121" s="194">
        <v>70200000</v>
      </c>
      <c r="AV121" s="190">
        <v>70200000</v>
      </c>
      <c r="AW121" s="194"/>
      <c r="AX121" s="194"/>
      <c r="AY121" s="194"/>
      <c r="AZ121" s="194"/>
      <c r="BA121" s="194"/>
      <c r="BB121" s="194"/>
      <c r="BC121" s="194"/>
      <c r="BD121" s="194"/>
      <c r="BE121" s="194"/>
      <c r="BF121" s="192">
        <f t="shared" si="10"/>
        <v>101000000</v>
      </c>
      <c r="BG121" s="192">
        <f t="shared" si="11"/>
        <v>70200000</v>
      </c>
      <c r="BH121" s="192">
        <f t="shared" si="12"/>
        <v>70200000</v>
      </c>
      <c r="BI121" s="297" t="s">
        <v>9</v>
      </c>
    </row>
    <row r="122" spans="1:61" s="408" customFormat="1" ht="66.75" customHeight="1">
      <c r="A122" s="423">
        <v>312</v>
      </c>
      <c r="B122" s="392" t="s">
        <v>463</v>
      </c>
      <c r="C122" s="423">
        <v>3</v>
      </c>
      <c r="D122" s="392" t="s">
        <v>212</v>
      </c>
      <c r="E122" s="423">
        <v>32</v>
      </c>
      <c r="F122" s="392" t="s">
        <v>227</v>
      </c>
      <c r="G122" s="423">
        <v>3202</v>
      </c>
      <c r="H122" s="392" t="s">
        <v>572</v>
      </c>
      <c r="I122" s="423">
        <v>3202</v>
      </c>
      <c r="J122" s="392" t="s">
        <v>573</v>
      </c>
      <c r="K122" s="392" t="s">
        <v>230</v>
      </c>
      <c r="L122" s="191">
        <v>3202037</v>
      </c>
      <c r="M122" s="397" t="s">
        <v>574</v>
      </c>
      <c r="N122" s="191">
        <v>3202037</v>
      </c>
      <c r="O122" s="392" t="s">
        <v>574</v>
      </c>
      <c r="P122" s="186" t="s">
        <v>575</v>
      </c>
      <c r="Q122" s="397" t="s">
        <v>576</v>
      </c>
      <c r="R122" s="186" t="s">
        <v>575</v>
      </c>
      <c r="S122" s="397" t="s">
        <v>576</v>
      </c>
      <c r="T122" s="428" t="s">
        <v>157</v>
      </c>
      <c r="U122" s="388">
        <v>40</v>
      </c>
      <c r="V122" s="388">
        <v>139</v>
      </c>
      <c r="W122" s="388">
        <f t="shared" si="13"/>
        <v>179</v>
      </c>
      <c r="X122" s="388">
        <v>170</v>
      </c>
      <c r="Y122" s="389">
        <v>2020003630086</v>
      </c>
      <c r="Z122" s="188" t="s">
        <v>577</v>
      </c>
      <c r="AA122" s="546" t="s">
        <v>578</v>
      </c>
      <c r="AB122" s="185"/>
      <c r="AC122" s="185"/>
      <c r="AD122" s="185"/>
      <c r="AE122" s="185"/>
      <c r="AF122" s="185"/>
      <c r="AG122" s="185"/>
      <c r="AH122" s="185"/>
      <c r="AI122" s="185"/>
      <c r="AJ122" s="185"/>
      <c r="AK122" s="185"/>
      <c r="AL122" s="185"/>
      <c r="AM122" s="185"/>
      <c r="AN122" s="185"/>
      <c r="AO122" s="185"/>
      <c r="AP122" s="185"/>
      <c r="AQ122" s="185"/>
      <c r="AR122" s="185"/>
      <c r="AS122" s="185"/>
      <c r="AT122" s="194">
        <f>50000000+80000000</f>
        <v>130000000</v>
      </c>
      <c r="AU122" s="194">
        <v>129139010</v>
      </c>
      <c r="AV122" s="190">
        <v>129139010</v>
      </c>
      <c r="AW122" s="194"/>
      <c r="AX122" s="194"/>
      <c r="AY122" s="194"/>
      <c r="AZ122" s="194"/>
      <c r="BA122" s="194"/>
      <c r="BB122" s="194"/>
      <c r="BC122" s="194"/>
      <c r="BD122" s="194"/>
      <c r="BE122" s="194"/>
      <c r="BF122" s="192">
        <f t="shared" si="10"/>
        <v>130000000</v>
      </c>
      <c r="BG122" s="192">
        <f t="shared" si="11"/>
        <v>129139010</v>
      </c>
      <c r="BH122" s="192">
        <f t="shared" si="12"/>
        <v>129139010</v>
      </c>
      <c r="BI122" s="297" t="s">
        <v>9</v>
      </c>
    </row>
    <row r="123" spans="1:61" s="394" customFormat="1" ht="66.75" customHeight="1">
      <c r="A123" s="423">
        <v>312</v>
      </c>
      <c r="B123" s="392" t="s">
        <v>463</v>
      </c>
      <c r="C123" s="423">
        <v>3</v>
      </c>
      <c r="D123" s="392" t="s">
        <v>212</v>
      </c>
      <c r="E123" s="423">
        <v>32</v>
      </c>
      <c r="F123" s="392" t="s">
        <v>227</v>
      </c>
      <c r="G123" s="423">
        <v>3202</v>
      </c>
      <c r="H123" s="392" t="s">
        <v>572</v>
      </c>
      <c r="I123" s="423">
        <v>3202</v>
      </c>
      <c r="J123" s="392" t="s">
        <v>573</v>
      </c>
      <c r="K123" s="392" t="s">
        <v>230</v>
      </c>
      <c r="L123" s="423" t="s">
        <v>61</v>
      </c>
      <c r="M123" s="397" t="s">
        <v>579</v>
      </c>
      <c r="N123" s="425">
        <v>3202037</v>
      </c>
      <c r="O123" s="392" t="s">
        <v>574</v>
      </c>
      <c r="P123" s="423" t="s">
        <v>61</v>
      </c>
      <c r="Q123" s="397" t="s">
        <v>580</v>
      </c>
      <c r="R123" s="425">
        <v>320203700</v>
      </c>
      <c r="S123" s="397" t="s">
        <v>581</v>
      </c>
      <c r="T123" s="428" t="s">
        <v>157</v>
      </c>
      <c r="U123" s="388">
        <v>60</v>
      </c>
      <c r="V123" s="388"/>
      <c r="W123" s="388">
        <f t="shared" si="13"/>
        <v>60</v>
      </c>
      <c r="X123" s="388">
        <v>60</v>
      </c>
      <c r="Y123" s="389">
        <v>2020003630086</v>
      </c>
      <c r="Z123" s="188" t="s">
        <v>577</v>
      </c>
      <c r="AA123" s="546" t="s">
        <v>578</v>
      </c>
      <c r="AB123" s="185"/>
      <c r="AC123" s="185"/>
      <c r="AD123" s="185"/>
      <c r="AE123" s="185"/>
      <c r="AF123" s="185"/>
      <c r="AG123" s="185"/>
      <c r="AH123" s="185"/>
      <c r="AI123" s="185"/>
      <c r="AJ123" s="185"/>
      <c r="AK123" s="185"/>
      <c r="AL123" s="185"/>
      <c r="AM123" s="185"/>
      <c r="AN123" s="185"/>
      <c r="AO123" s="185"/>
      <c r="AP123" s="185"/>
      <c r="AQ123" s="185"/>
      <c r="AR123" s="185"/>
      <c r="AS123" s="185"/>
      <c r="AT123" s="192">
        <f>667344905+989507091+175388039</f>
        <v>1832240035</v>
      </c>
      <c r="AU123" s="192">
        <v>460271834</v>
      </c>
      <c r="AV123" s="190">
        <v>460271834</v>
      </c>
      <c r="AW123" s="194"/>
      <c r="AX123" s="194"/>
      <c r="AY123" s="194"/>
      <c r="AZ123" s="194"/>
      <c r="BA123" s="194"/>
      <c r="BB123" s="194"/>
      <c r="BC123" s="194"/>
      <c r="BD123" s="194"/>
      <c r="BE123" s="194"/>
      <c r="BF123" s="192">
        <f t="shared" si="10"/>
        <v>1832240035</v>
      </c>
      <c r="BG123" s="192">
        <f t="shared" si="11"/>
        <v>460271834</v>
      </c>
      <c r="BH123" s="192">
        <f t="shared" si="12"/>
        <v>460271834</v>
      </c>
      <c r="BI123" s="297" t="s">
        <v>9</v>
      </c>
    </row>
    <row r="124" spans="1:61" s="394" customFormat="1" ht="66.75" customHeight="1">
      <c r="A124" s="423">
        <v>312</v>
      </c>
      <c r="B124" s="392" t="s">
        <v>463</v>
      </c>
      <c r="C124" s="423">
        <v>3</v>
      </c>
      <c r="D124" s="392" t="s">
        <v>212</v>
      </c>
      <c r="E124" s="423">
        <v>32</v>
      </c>
      <c r="F124" s="392" t="s">
        <v>227</v>
      </c>
      <c r="G124" s="423">
        <v>3202</v>
      </c>
      <c r="H124" s="392" t="s">
        <v>572</v>
      </c>
      <c r="I124" s="423">
        <v>3202</v>
      </c>
      <c r="J124" s="392" t="s">
        <v>573</v>
      </c>
      <c r="K124" s="392" t="s">
        <v>230</v>
      </c>
      <c r="L124" s="423">
        <v>3202017</v>
      </c>
      <c r="M124" s="397" t="s">
        <v>582</v>
      </c>
      <c r="N124" s="191">
        <v>3202043</v>
      </c>
      <c r="O124" s="392" t="s">
        <v>583</v>
      </c>
      <c r="P124" s="423" t="s">
        <v>584</v>
      </c>
      <c r="Q124" s="397" t="s">
        <v>585</v>
      </c>
      <c r="R124" s="186">
        <v>320204300</v>
      </c>
      <c r="S124" s="397" t="s">
        <v>586</v>
      </c>
      <c r="T124" s="388" t="s">
        <v>69</v>
      </c>
      <c r="U124" s="432">
        <v>1</v>
      </c>
      <c r="V124" s="432"/>
      <c r="W124" s="388">
        <f t="shared" si="13"/>
        <v>1</v>
      </c>
      <c r="X124" s="388">
        <v>0.1</v>
      </c>
      <c r="Y124" s="389">
        <v>2020003630086</v>
      </c>
      <c r="Z124" s="188" t="s">
        <v>577</v>
      </c>
      <c r="AA124" s="546" t="s">
        <v>578</v>
      </c>
      <c r="AB124" s="185"/>
      <c r="AC124" s="185"/>
      <c r="AD124" s="185"/>
      <c r="AE124" s="185"/>
      <c r="AF124" s="185"/>
      <c r="AG124" s="185"/>
      <c r="AH124" s="185"/>
      <c r="AI124" s="185"/>
      <c r="AJ124" s="185"/>
      <c r="AK124" s="185"/>
      <c r="AL124" s="185"/>
      <c r="AM124" s="185"/>
      <c r="AN124" s="185"/>
      <c r="AO124" s="185"/>
      <c r="AP124" s="185"/>
      <c r="AQ124" s="185"/>
      <c r="AR124" s="185"/>
      <c r="AS124" s="185"/>
      <c r="AT124" s="192">
        <f>286004959+329835697+7350000</f>
        <v>623190656</v>
      </c>
      <c r="AU124" s="192">
        <v>63005033</v>
      </c>
      <c r="AV124" s="190">
        <v>63005033</v>
      </c>
      <c r="AW124" s="194"/>
      <c r="AX124" s="194"/>
      <c r="AY124" s="194"/>
      <c r="AZ124" s="194"/>
      <c r="BA124" s="194"/>
      <c r="BB124" s="194"/>
      <c r="BC124" s="194"/>
      <c r="BD124" s="194"/>
      <c r="BE124" s="194"/>
      <c r="BF124" s="192">
        <f t="shared" si="10"/>
        <v>623190656</v>
      </c>
      <c r="BG124" s="192">
        <f t="shared" si="11"/>
        <v>63005033</v>
      </c>
      <c r="BH124" s="192">
        <f t="shared" si="12"/>
        <v>63005033</v>
      </c>
      <c r="BI124" s="297" t="s">
        <v>9</v>
      </c>
    </row>
    <row r="125" spans="1:61" s="394" customFormat="1" ht="66.75" customHeight="1">
      <c r="A125" s="423">
        <v>312</v>
      </c>
      <c r="B125" s="392" t="s">
        <v>463</v>
      </c>
      <c r="C125" s="423">
        <v>3</v>
      </c>
      <c r="D125" s="392" t="s">
        <v>212</v>
      </c>
      <c r="E125" s="423">
        <v>32</v>
      </c>
      <c r="F125" s="392" t="s">
        <v>227</v>
      </c>
      <c r="G125" s="423">
        <v>3202</v>
      </c>
      <c r="H125" s="392" t="s">
        <v>572</v>
      </c>
      <c r="I125" s="423">
        <v>3202</v>
      </c>
      <c r="J125" s="392" t="s">
        <v>573</v>
      </c>
      <c r="K125" s="392" t="s">
        <v>230</v>
      </c>
      <c r="L125" s="423" t="s">
        <v>61</v>
      </c>
      <c r="M125" s="397" t="s">
        <v>587</v>
      </c>
      <c r="N125" s="191">
        <v>3202014</v>
      </c>
      <c r="O125" s="392" t="s">
        <v>588</v>
      </c>
      <c r="P125" s="423" t="s">
        <v>61</v>
      </c>
      <c r="Q125" s="397" t="s">
        <v>589</v>
      </c>
      <c r="R125" s="186">
        <v>320201402</v>
      </c>
      <c r="S125" s="397" t="s">
        <v>590</v>
      </c>
      <c r="T125" s="388" t="s">
        <v>69</v>
      </c>
      <c r="U125" s="432">
        <v>1</v>
      </c>
      <c r="V125" s="432"/>
      <c r="W125" s="388">
        <f t="shared" si="13"/>
        <v>1</v>
      </c>
      <c r="X125" s="388">
        <v>1</v>
      </c>
      <c r="Y125" s="389">
        <v>2020003630028</v>
      </c>
      <c r="Z125" s="188" t="s">
        <v>591</v>
      </c>
      <c r="AA125" s="546" t="s">
        <v>592</v>
      </c>
      <c r="AB125" s="185"/>
      <c r="AC125" s="185"/>
      <c r="AD125" s="185"/>
      <c r="AE125" s="185"/>
      <c r="AF125" s="185"/>
      <c r="AG125" s="185"/>
      <c r="AH125" s="185"/>
      <c r="AI125" s="185"/>
      <c r="AJ125" s="185"/>
      <c r="AK125" s="185"/>
      <c r="AL125" s="185"/>
      <c r="AM125" s="185"/>
      <c r="AN125" s="185"/>
      <c r="AO125" s="185"/>
      <c r="AP125" s="185"/>
      <c r="AQ125" s="185"/>
      <c r="AR125" s="185"/>
      <c r="AS125" s="185"/>
      <c r="AT125" s="194">
        <f>36000000+12000000+28350000-14500000</f>
        <v>61850000</v>
      </c>
      <c r="AU125" s="194">
        <v>28403333</v>
      </c>
      <c r="AV125" s="190">
        <v>28403333</v>
      </c>
      <c r="AW125" s="194"/>
      <c r="AX125" s="194"/>
      <c r="AY125" s="194"/>
      <c r="AZ125" s="194"/>
      <c r="BA125" s="194"/>
      <c r="BB125" s="194"/>
      <c r="BC125" s="194"/>
      <c r="BD125" s="194"/>
      <c r="BE125" s="194"/>
      <c r="BF125" s="192">
        <f t="shared" si="10"/>
        <v>61850000</v>
      </c>
      <c r="BG125" s="192">
        <f t="shared" si="11"/>
        <v>28403333</v>
      </c>
      <c r="BH125" s="192">
        <f t="shared" si="12"/>
        <v>28403333</v>
      </c>
      <c r="BI125" s="297" t="s">
        <v>9</v>
      </c>
    </row>
    <row r="126" spans="1:61" s="394" customFormat="1" ht="66.75" customHeight="1">
      <c r="A126" s="423">
        <v>312</v>
      </c>
      <c r="B126" s="392" t="s">
        <v>463</v>
      </c>
      <c r="C126" s="423">
        <v>3</v>
      </c>
      <c r="D126" s="392" t="s">
        <v>212</v>
      </c>
      <c r="E126" s="423">
        <v>32</v>
      </c>
      <c r="F126" s="392" t="s">
        <v>227</v>
      </c>
      <c r="G126" s="423">
        <v>3202</v>
      </c>
      <c r="H126" s="392" t="s">
        <v>572</v>
      </c>
      <c r="I126" s="423">
        <v>3202</v>
      </c>
      <c r="J126" s="392" t="s">
        <v>573</v>
      </c>
      <c r="K126" s="392" t="s">
        <v>230</v>
      </c>
      <c r="L126" s="423" t="s">
        <v>61</v>
      </c>
      <c r="M126" s="397" t="s">
        <v>593</v>
      </c>
      <c r="N126" s="423">
        <v>3202014</v>
      </c>
      <c r="O126" s="392" t="s">
        <v>588</v>
      </c>
      <c r="P126" s="423" t="s">
        <v>61</v>
      </c>
      <c r="Q126" s="397" t="s">
        <v>594</v>
      </c>
      <c r="R126" s="423">
        <v>320201402</v>
      </c>
      <c r="S126" s="397" t="s">
        <v>590</v>
      </c>
      <c r="T126" s="428" t="s">
        <v>157</v>
      </c>
      <c r="U126" s="432">
        <v>1</v>
      </c>
      <c r="V126" s="432"/>
      <c r="W126" s="388">
        <f t="shared" si="13"/>
        <v>1</v>
      </c>
      <c r="X126" s="388">
        <v>1</v>
      </c>
      <c r="Y126" s="389">
        <v>2020003630087</v>
      </c>
      <c r="Z126" s="393" t="s">
        <v>595</v>
      </c>
      <c r="AA126" s="546" t="s">
        <v>596</v>
      </c>
      <c r="AB126" s="185"/>
      <c r="AC126" s="185"/>
      <c r="AD126" s="185"/>
      <c r="AE126" s="185"/>
      <c r="AF126" s="185"/>
      <c r="AG126" s="185"/>
      <c r="AH126" s="185"/>
      <c r="AI126" s="185"/>
      <c r="AJ126" s="185"/>
      <c r="AK126" s="185"/>
      <c r="AL126" s="185"/>
      <c r="AM126" s="185"/>
      <c r="AN126" s="185"/>
      <c r="AO126" s="185"/>
      <c r="AP126" s="185"/>
      <c r="AQ126" s="185"/>
      <c r="AR126" s="185"/>
      <c r="AS126" s="185"/>
      <c r="AT126" s="194">
        <f>54000000+21200000+128250000+20000000+59500000</f>
        <v>282950000</v>
      </c>
      <c r="AU126" s="194">
        <v>266771663</v>
      </c>
      <c r="AV126" s="190">
        <v>266771663</v>
      </c>
      <c r="AW126" s="194"/>
      <c r="AX126" s="194"/>
      <c r="AY126" s="194"/>
      <c r="AZ126" s="194"/>
      <c r="BA126" s="194"/>
      <c r="BB126" s="194"/>
      <c r="BC126" s="194"/>
      <c r="BD126" s="194"/>
      <c r="BE126" s="194"/>
      <c r="BF126" s="192">
        <f t="shared" si="10"/>
        <v>282950000</v>
      </c>
      <c r="BG126" s="192">
        <f t="shared" si="11"/>
        <v>266771663</v>
      </c>
      <c r="BH126" s="192">
        <f t="shared" si="12"/>
        <v>266771663</v>
      </c>
      <c r="BI126" s="297" t="s">
        <v>9</v>
      </c>
    </row>
    <row r="127" spans="1:61" s="394" customFormat="1" ht="66.75" customHeight="1">
      <c r="A127" s="423">
        <v>312</v>
      </c>
      <c r="B127" s="392" t="s">
        <v>463</v>
      </c>
      <c r="C127" s="423">
        <v>3</v>
      </c>
      <c r="D127" s="392" t="s">
        <v>212</v>
      </c>
      <c r="E127" s="423">
        <v>32</v>
      </c>
      <c r="F127" s="392" t="s">
        <v>227</v>
      </c>
      <c r="G127" s="423" t="s">
        <v>597</v>
      </c>
      <c r="H127" s="392" t="s">
        <v>598</v>
      </c>
      <c r="I127" s="423" t="s">
        <v>597</v>
      </c>
      <c r="J127" s="392" t="s">
        <v>599</v>
      </c>
      <c r="K127" s="392" t="s">
        <v>230</v>
      </c>
      <c r="L127" s="191">
        <v>3204012</v>
      </c>
      <c r="M127" s="397" t="s">
        <v>600</v>
      </c>
      <c r="N127" s="191">
        <v>3204012</v>
      </c>
      <c r="O127" s="392" t="s">
        <v>600</v>
      </c>
      <c r="P127" s="186" t="s">
        <v>601</v>
      </c>
      <c r="Q127" s="397" t="s">
        <v>602</v>
      </c>
      <c r="R127" s="186" t="s">
        <v>601</v>
      </c>
      <c r="S127" s="397" t="s">
        <v>602</v>
      </c>
      <c r="T127" s="428" t="s">
        <v>157</v>
      </c>
      <c r="U127" s="388">
        <v>5</v>
      </c>
      <c r="V127" s="388"/>
      <c r="W127" s="388">
        <f t="shared" si="13"/>
        <v>5</v>
      </c>
      <c r="X127" s="388">
        <v>8</v>
      </c>
      <c r="Y127" s="389">
        <v>2020003630029</v>
      </c>
      <c r="Z127" s="188" t="s">
        <v>603</v>
      </c>
      <c r="AA127" s="546" t="s">
        <v>604</v>
      </c>
      <c r="AB127" s="185"/>
      <c r="AC127" s="185"/>
      <c r="AD127" s="185"/>
      <c r="AE127" s="185"/>
      <c r="AF127" s="185"/>
      <c r="AG127" s="185"/>
      <c r="AH127" s="185"/>
      <c r="AI127" s="185"/>
      <c r="AJ127" s="185"/>
      <c r="AK127" s="185"/>
      <c r="AL127" s="185"/>
      <c r="AM127" s="185"/>
      <c r="AN127" s="185"/>
      <c r="AO127" s="185"/>
      <c r="AP127" s="185"/>
      <c r="AQ127" s="185"/>
      <c r="AR127" s="185"/>
      <c r="AS127" s="185"/>
      <c r="AT127" s="194">
        <f>120000000+48000000+30000000-24300000</f>
        <v>173700000</v>
      </c>
      <c r="AU127" s="194">
        <v>163916667</v>
      </c>
      <c r="AV127" s="190">
        <v>163916667</v>
      </c>
      <c r="AW127" s="194"/>
      <c r="AX127" s="194"/>
      <c r="AY127" s="194"/>
      <c r="AZ127" s="194"/>
      <c r="BA127" s="194"/>
      <c r="BB127" s="194"/>
      <c r="BC127" s="194"/>
      <c r="BD127" s="194"/>
      <c r="BE127" s="194"/>
      <c r="BF127" s="192">
        <f t="shared" si="10"/>
        <v>173700000</v>
      </c>
      <c r="BG127" s="192">
        <f t="shared" si="11"/>
        <v>163916667</v>
      </c>
      <c r="BH127" s="192">
        <f t="shared" si="12"/>
        <v>163916667</v>
      </c>
      <c r="BI127" s="297" t="s">
        <v>9</v>
      </c>
    </row>
    <row r="128" spans="1:61" s="394" customFormat="1" ht="66.75" customHeight="1">
      <c r="A128" s="423">
        <v>312</v>
      </c>
      <c r="B128" s="392" t="s">
        <v>463</v>
      </c>
      <c r="C128" s="423">
        <v>3</v>
      </c>
      <c r="D128" s="392" t="s">
        <v>212</v>
      </c>
      <c r="E128" s="423">
        <v>32</v>
      </c>
      <c r="F128" s="392" t="s">
        <v>227</v>
      </c>
      <c r="G128" s="423">
        <v>3205</v>
      </c>
      <c r="H128" s="392" t="s">
        <v>228</v>
      </c>
      <c r="I128" s="423">
        <v>3205</v>
      </c>
      <c r="J128" s="392" t="s">
        <v>229</v>
      </c>
      <c r="K128" s="392" t="s">
        <v>230</v>
      </c>
      <c r="L128" s="191" t="s">
        <v>605</v>
      </c>
      <c r="M128" s="397" t="s">
        <v>606</v>
      </c>
      <c r="N128" s="191" t="s">
        <v>605</v>
      </c>
      <c r="O128" s="392" t="s">
        <v>606</v>
      </c>
      <c r="P128" s="423" t="s">
        <v>607</v>
      </c>
      <c r="Q128" s="393" t="s">
        <v>608</v>
      </c>
      <c r="R128" s="423" t="s">
        <v>607</v>
      </c>
      <c r="S128" s="397" t="s">
        <v>608</v>
      </c>
      <c r="T128" s="428" t="s">
        <v>157</v>
      </c>
      <c r="U128" s="388">
        <v>300</v>
      </c>
      <c r="V128" s="388"/>
      <c r="W128" s="388">
        <f t="shared" si="13"/>
        <v>300</v>
      </c>
      <c r="X128" s="388">
        <v>17441.62</v>
      </c>
      <c r="Y128" s="389">
        <v>2020003630030</v>
      </c>
      <c r="Z128" s="188" t="s">
        <v>609</v>
      </c>
      <c r="AA128" s="546" t="s">
        <v>610</v>
      </c>
      <c r="AB128" s="294"/>
      <c r="AC128" s="294"/>
      <c r="AD128" s="294"/>
      <c r="AE128" s="185"/>
      <c r="AF128" s="185"/>
      <c r="AG128" s="185"/>
      <c r="AH128" s="185"/>
      <c r="AI128" s="185"/>
      <c r="AJ128" s="185"/>
      <c r="AK128" s="185"/>
      <c r="AL128" s="185"/>
      <c r="AM128" s="185"/>
      <c r="AN128" s="185"/>
      <c r="AO128" s="185"/>
      <c r="AP128" s="185"/>
      <c r="AQ128" s="185"/>
      <c r="AR128" s="185"/>
      <c r="AS128" s="185"/>
      <c r="AT128" s="194">
        <f>20000000-19855000</f>
        <v>145000</v>
      </c>
      <c r="AU128" s="194"/>
      <c r="AV128" s="190">
        <v>0</v>
      </c>
      <c r="AW128" s="194"/>
      <c r="AX128" s="194"/>
      <c r="AY128" s="194"/>
      <c r="AZ128" s="194"/>
      <c r="BA128" s="194"/>
      <c r="BB128" s="194"/>
      <c r="BC128" s="194"/>
      <c r="BD128" s="194"/>
      <c r="BE128" s="194"/>
      <c r="BF128" s="192">
        <f t="shared" si="10"/>
        <v>145000</v>
      </c>
      <c r="BG128" s="192">
        <f t="shared" si="11"/>
        <v>0</v>
      </c>
      <c r="BH128" s="192">
        <f t="shared" si="12"/>
        <v>0</v>
      </c>
      <c r="BI128" s="297" t="s">
        <v>9</v>
      </c>
    </row>
    <row r="129" spans="1:61" s="394" customFormat="1" ht="66.75" customHeight="1">
      <c r="A129" s="423">
        <v>312</v>
      </c>
      <c r="B129" s="392" t="s">
        <v>463</v>
      </c>
      <c r="C129" s="423">
        <v>3</v>
      </c>
      <c r="D129" s="392" t="s">
        <v>212</v>
      </c>
      <c r="E129" s="423">
        <v>32</v>
      </c>
      <c r="F129" s="392" t="s">
        <v>227</v>
      </c>
      <c r="G129" s="423">
        <v>3205</v>
      </c>
      <c r="H129" s="392" t="s">
        <v>228</v>
      </c>
      <c r="I129" s="423">
        <v>3205</v>
      </c>
      <c r="J129" s="392" t="s">
        <v>229</v>
      </c>
      <c r="K129" s="392" t="s">
        <v>230</v>
      </c>
      <c r="L129" s="191" t="s">
        <v>611</v>
      </c>
      <c r="M129" s="397" t="s">
        <v>612</v>
      </c>
      <c r="N129" s="191" t="s">
        <v>611</v>
      </c>
      <c r="O129" s="392" t="s">
        <v>612</v>
      </c>
      <c r="P129" s="423" t="s">
        <v>613</v>
      </c>
      <c r="Q129" s="393" t="s">
        <v>614</v>
      </c>
      <c r="R129" s="423" t="s">
        <v>613</v>
      </c>
      <c r="S129" s="397" t="s">
        <v>614</v>
      </c>
      <c r="T129" s="428" t="s">
        <v>157</v>
      </c>
      <c r="U129" s="388">
        <v>20</v>
      </c>
      <c r="V129" s="388">
        <v>14</v>
      </c>
      <c r="W129" s="388">
        <f t="shared" si="13"/>
        <v>34</v>
      </c>
      <c r="X129" s="388">
        <v>34</v>
      </c>
      <c r="Y129" s="389">
        <v>2020003630030</v>
      </c>
      <c r="Z129" s="188" t="s">
        <v>609</v>
      </c>
      <c r="AA129" s="546" t="s">
        <v>610</v>
      </c>
      <c r="AB129" s="294"/>
      <c r="AC129" s="294"/>
      <c r="AD129" s="294"/>
      <c r="AE129" s="185"/>
      <c r="AF129" s="185"/>
      <c r="AG129" s="185"/>
      <c r="AH129" s="185"/>
      <c r="AI129" s="185"/>
      <c r="AJ129" s="185"/>
      <c r="AK129" s="185"/>
      <c r="AL129" s="185"/>
      <c r="AM129" s="185"/>
      <c r="AN129" s="185"/>
      <c r="AO129" s="185"/>
      <c r="AP129" s="185"/>
      <c r="AQ129" s="185"/>
      <c r="AR129" s="185"/>
      <c r="AS129" s="185"/>
      <c r="AT129" s="194">
        <f>20000000+5234007.33+7350000-8200000</f>
        <v>24384007.329999998</v>
      </c>
      <c r="AU129" s="194">
        <v>24328333</v>
      </c>
      <c r="AV129" s="190">
        <v>24328333</v>
      </c>
      <c r="AW129" s="194"/>
      <c r="AX129" s="194"/>
      <c r="AY129" s="194"/>
      <c r="AZ129" s="194"/>
      <c r="BA129" s="194"/>
      <c r="BB129" s="194"/>
      <c r="BC129" s="194"/>
      <c r="BD129" s="194"/>
      <c r="BE129" s="194"/>
      <c r="BF129" s="192">
        <f t="shared" si="10"/>
        <v>24384007.329999998</v>
      </c>
      <c r="BG129" s="192">
        <f t="shared" si="11"/>
        <v>24328333</v>
      </c>
      <c r="BH129" s="192">
        <f t="shared" si="12"/>
        <v>24328333</v>
      </c>
      <c r="BI129" s="297" t="s">
        <v>9</v>
      </c>
    </row>
    <row r="130" spans="1:61" s="394" customFormat="1" ht="66.75" customHeight="1">
      <c r="A130" s="423">
        <v>312</v>
      </c>
      <c r="B130" s="392" t="s">
        <v>463</v>
      </c>
      <c r="C130" s="423">
        <v>3</v>
      </c>
      <c r="D130" s="392" t="s">
        <v>212</v>
      </c>
      <c r="E130" s="423">
        <v>32</v>
      </c>
      <c r="F130" s="392" t="s">
        <v>227</v>
      </c>
      <c r="G130" s="423">
        <v>3205</v>
      </c>
      <c r="H130" s="392" t="s">
        <v>228</v>
      </c>
      <c r="I130" s="423">
        <v>3205</v>
      </c>
      <c r="J130" s="392" t="s">
        <v>229</v>
      </c>
      <c r="K130" s="392" t="s">
        <v>230</v>
      </c>
      <c r="L130" s="191">
        <v>3205010</v>
      </c>
      <c r="M130" s="397" t="s">
        <v>231</v>
      </c>
      <c r="N130" s="191">
        <v>3205010</v>
      </c>
      <c r="O130" s="392" t="s">
        <v>231</v>
      </c>
      <c r="P130" s="423" t="s">
        <v>232</v>
      </c>
      <c r="Q130" s="393" t="s">
        <v>233</v>
      </c>
      <c r="R130" s="423">
        <v>320501000</v>
      </c>
      <c r="S130" s="397" t="s">
        <v>233</v>
      </c>
      <c r="T130" s="428" t="s">
        <v>157</v>
      </c>
      <c r="U130" s="388">
        <v>1</v>
      </c>
      <c r="V130" s="388">
        <v>1</v>
      </c>
      <c r="W130" s="388">
        <f t="shared" si="13"/>
        <v>2</v>
      </c>
      <c r="X130" s="388">
        <v>2</v>
      </c>
      <c r="Y130" s="389">
        <v>2020003630030</v>
      </c>
      <c r="Z130" s="188" t="s">
        <v>609</v>
      </c>
      <c r="AA130" s="546" t="s">
        <v>610</v>
      </c>
      <c r="AB130" s="294"/>
      <c r="AC130" s="294"/>
      <c r="AD130" s="294"/>
      <c r="AE130" s="185"/>
      <c r="AF130" s="185"/>
      <c r="AG130" s="185"/>
      <c r="AH130" s="185"/>
      <c r="AI130" s="185"/>
      <c r="AJ130" s="185"/>
      <c r="AK130" s="185"/>
      <c r="AL130" s="185"/>
      <c r="AM130" s="185"/>
      <c r="AN130" s="185"/>
      <c r="AO130" s="185"/>
      <c r="AP130" s="185"/>
      <c r="AQ130" s="185"/>
      <c r="AR130" s="185"/>
      <c r="AS130" s="185"/>
      <c r="AT130" s="194">
        <v>42000000</v>
      </c>
      <c r="AU130" s="194">
        <v>42000000</v>
      </c>
      <c r="AV130" s="190">
        <v>42000000</v>
      </c>
      <c r="AW130" s="194"/>
      <c r="AX130" s="194"/>
      <c r="AY130" s="194"/>
      <c r="AZ130" s="194"/>
      <c r="BA130" s="194"/>
      <c r="BB130" s="194"/>
      <c r="BC130" s="194"/>
      <c r="BD130" s="194"/>
      <c r="BE130" s="194"/>
      <c r="BF130" s="192">
        <f t="shared" si="10"/>
        <v>42000000</v>
      </c>
      <c r="BG130" s="192">
        <f t="shared" si="11"/>
        <v>42000000</v>
      </c>
      <c r="BH130" s="192">
        <f t="shared" si="12"/>
        <v>42000000</v>
      </c>
      <c r="BI130" s="297" t="s">
        <v>9</v>
      </c>
    </row>
    <row r="131" spans="1:61" s="394" customFormat="1" ht="66.75" customHeight="1">
      <c r="A131" s="423">
        <v>312</v>
      </c>
      <c r="B131" s="392" t="s">
        <v>463</v>
      </c>
      <c r="C131" s="423">
        <v>3</v>
      </c>
      <c r="D131" s="392" t="s">
        <v>212</v>
      </c>
      <c r="E131" s="423">
        <v>32</v>
      </c>
      <c r="F131" s="392" t="s">
        <v>227</v>
      </c>
      <c r="G131" s="423" t="s">
        <v>615</v>
      </c>
      <c r="H131" s="392" t="s">
        <v>616</v>
      </c>
      <c r="I131" s="423" t="s">
        <v>615</v>
      </c>
      <c r="J131" s="392" t="s">
        <v>617</v>
      </c>
      <c r="K131" s="392" t="s">
        <v>230</v>
      </c>
      <c r="L131" s="191" t="s">
        <v>618</v>
      </c>
      <c r="M131" s="397" t="s">
        <v>619</v>
      </c>
      <c r="N131" s="191" t="s">
        <v>618</v>
      </c>
      <c r="O131" s="392" t="s">
        <v>619</v>
      </c>
      <c r="P131" s="186" t="s">
        <v>620</v>
      </c>
      <c r="Q131" s="397" t="s">
        <v>621</v>
      </c>
      <c r="R131" s="186" t="s">
        <v>620</v>
      </c>
      <c r="S131" s="397" t="s">
        <v>621</v>
      </c>
      <c r="T131" s="428" t="s">
        <v>157</v>
      </c>
      <c r="U131" s="388">
        <v>4</v>
      </c>
      <c r="V131" s="388"/>
      <c r="W131" s="388">
        <f t="shared" si="13"/>
        <v>4</v>
      </c>
      <c r="X131" s="388">
        <v>4</v>
      </c>
      <c r="Y131" s="389">
        <v>2020003630088</v>
      </c>
      <c r="Z131" s="188" t="s">
        <v>622</v>
      </c>
      <c r="AA131" s="546" t="s">
        <v>623</v>
      </c>
      <c r="AB131" s="185"/>
      <c r="AC131" s="185"/>
      <c r="AD131" s="185"/>
      <c r="AE131" s="185"/>
      <c r="AF131" s="185"/>
      <c r="AG131" s="185"/>
      <c r="AH131" s="185"/>
      <c r="AI131" s="185"/>
      <c r="AJ131" s="185"/>
      <c r="AK131" s="185"/>
      <c r="AL131" s="185"/>
      <c r="AM131" s="185"/>
      <c r="AN131" s="185"/>
      <c r="AO131" s="185"/>
      <c r="AP131" s="185"/>
      <c r="AQ131" s="185"/>
      <c r="AR131" s="185"/>
      <c r="AS131" s="185"/>
      <c r="AT131" s="194">
        <f>25000000+7500000+83804574+20000000-59500000</f>
        <v>76804574</v>
      </c>
      <c r="AU131" s="194">
        <v>75928332</v>
      </c>
      <c r="AV131" s="190">
        <v>75928332</v>
      </c>
      <c r="AW131" s="194"/>
      <c r="AX131" s="194"/>
      <c r="AY131" s="194"/>
      <c r="AZ131" s="194"/>
      <c r="BA131" s="194"/>
      <c r="BB131" s="194"/>
      <c r="BC131" s="194"/>
      <c r="BD131" s="194"/>
      <c r="BE131" s="194"/>
      <c r="BF131" s="192">
        <f t="shared" si="10"/>
        <v>76804574</v>
      </c>
      <c r="BG131" s="192">
        <f t="shared" si="11"/>
        <v>75928332</v>
      </c>
      <c r="BH131" s="192">
        <f t="shared" si="12"/>
        <v>75928332</v>
      </c>
      <c r="BI131" s="297" t="s">
        <v>9</v>
      </c>
    </row>
    <row r="132" spans="1:61" s="394" customFormat="1" ht="66.75" customHeight="1">
      <c r="A132" s="423">
        <v>312</v>
      </c>
      <c r="B132" s="392" t="s">
        <v>463</v>
      </c>
      <c r="C132" s="423">
        <v>3</v>
      </c>
      <c r="D132" s="392" t="s">
        <v>212</v>
      </c>
      <c r="E132" s="423">
        <v>32</v>
      </c>
      <c r="F132" s="392" t="s">
        <v>227</v>
      </c>
      <c r="G132" s="423" t="s">
        <v>615</v>
      </c>
      <c r="H132" s="392" t="s">
        <v>616</v>
      </c>
      <c r="I132" s="423" t="s">
        <v>615</v>
      </c>
      <c r="J132" s="392" t="s">
        <v>617</v>
      </c>
      <c r="K132" s="392" t="s">
        <v>230</v>
      </c>
      <c r="L132" s="191">
        <v>3206014</v>
      </c>
      <c r="M132" s="397" t="s">
        <v>624</v>
      </c>
      <c r="N132" s="191">
        <v>3206014</v>
      </c>
      <c r="O132" s="392" t="s">
        <v>624</v>
      </c>
      <c r="P132" s="186" t="s">
        <v>625</v>
      </c>
      <c r="Q132" s="397" t="s">
        <v>626</v>
      </c>
      <c r="R132" s="186" t="s">
        <v>625</v>
      </c>
      <c r="S132" s="397" t="s">
        <v>626</v>
      </c>
      <c r="T132" s="428" t="s">
        <v>157</v>
      </c>
      <c r="U132" s="388">
        <v>2000</v>
      </c>
      <c r="V132" s="388"/>
      <c r="W132" s="388">
        <f t="shared" si="13"/>
        <v>2000</v>
      </c>
      <c r="X132" s="388">
        <v>7244</v>
      </c>
      <c r="Y132" s="389">
        <v>2020003630088</v>
      </c>
      <c r="Z132" s="188" t="s">
        <v>622</v>
      </c>
      <c r="AA132" s="546" t="s">
        <v>623</v>
      </c>
      <c r="AB132" s="185"/>
      <c r="AC132" s="185"/>
      <c r="AD132" s="185"/>
      <c r="AE132" s="185"/>
      <c r="AF132" s="185"/>
      <c r="AG132" s="185"/>
      <c r="AH132" s="185"/>
      <c r="AI132" s="185"/>
      <c r="AJ132" s="185"/>
      <c r="AK132" s="185"/>
      <c r="AL132" s="185"/>
      <c r="AM132" s="185"/>
      <c r="AN132" s="185"/>
      <c r="AO132" s="185"/>
      <c r="AP132" s="185"/>
      <c r="AQ132" s="185"/>
      <c r="AR132" s="185"/>
      <c r="AS132" s="185"/>
      <c r="AT132" s="194">
        <f>18000000+19200000</f>
        <v>37200000</v>
      </c>
      <c r="AU132" s="194">
        <v>36360000</v>
      </c>
      <c r="AV132" s="190">
        <v>36360000</v>
      </c>
      <c r="AW132" s="194"/>
      <c r="AX132" s="194"/>
      <c r="AY132" s="194"/>
      <c r="AZ132" s="194"/>
      <c r="BA132" s="194"/>
      <c r="BB132" s="194"/>
      <c r="BC132" s="194"/>
      <c r="BD132" s="194"/>
      <c r="BE132" s="194"/>
      <c r="BF132" s="192">
        <f t="shared" si="10"/>
        <v>37200000</v>
      </c>
      <c r="BG132" s="192">
        <f t="shared" si="11"/>
        <v>36360000</v>
      </c>
      <c r="BH132" s="192">
        <f t="shared" si="12"/>
        <v>36360000</v>
      </c>
      <c r="BI132" s="297" t="s">
        <v>9</v>
      </c>
    </row>
    <row r="133" spans="1:61" s="394" customFormat="1" ht="66.75" customHeight="1">
      <c r="A133" s="423">
        <v>312</v>
      </c>
      <c r="B133" s="392" t="s">
        <v>463</v>
      </c>
      <c r="C133" s="423">
        <v>3</v>
      </c>
      <c r="D133" s="392" t="s">
        <v>212</v>
      </c>
      <c r="E133" s="423">
        <v>32</v>
      </c>
      <c r="F133" s="392" t="s">
        <v>227</v>
      </c>
      <c r="G133" s="423" t="s">
        <v>615</v>
      </c>
      <c r="H133" s="392" t="s">
        <v>616</v>
      </c>
      <c r="I133" s="423" t="s">
        <v>615</v>
      </c>
      <c r="J133" s="392" t="s">
        <v>617</v>
      </c>
      <c r="K133" s="392" t="s">
        <v>230</v>
      </c>
      <c r="L133" s="191" t="s">
        <v>627</v>
      </c>
      <c r="M133" s="397" t="s">
        <v>628</v>
      </c>
      <c r="N133" s="191" t="s">
        <v>627</v>
      </c>
      <c r="O133" s="392" t="s">
        <v>628</v>
      </c>
      <c r="P133" s="186" t="s">
        <v>629</v>
      </c>
      <c r="Q133" s="397" t="s">
        <v>630</v>
      </c>
      <c r="R133" s="186" t="s">
        <v>629</v>
      </c>
      <c r="S133" s="397" t="s">
        <v>630</v>
      </c>
      <c r="T133" s="428" t="s">
        <v>157</v>
      </c>
      <c r="U133" s="388">
        <v>50</v>
      </c>
      <c r="V133" s="388"/>
      <c r="W133" s="388">
        <f t="shared" si="13"/>
        <v>50</v>
      </c>
      <c r="X133" s="388">
        <v>52</v>
      </c>
      <c r="Y133" s="389">
        <v>2020003630088</v>
      </c>
      <c r="Z133" s="188" t="s">
        <v>622</v>
      </c>
      <c r="AA133" s="546" t="s">
        <v>623</v>
      </c>
      <c r="AB133" s="185"/>
      <c r="AC133" s="185"/>
      <c r="AD133" s="185"/>
      <c r="AE133" s="185"/>
      <c r="AF133" s="185"/>
      <c r="AG133" s="185"/>
      <c r="AH133" s="185"/>
      <c r="AI133" s="185"/>
      <c r="AJ133" s="185"/>
      <c r="AK133" s="185"/>
      <c r="AL133" s="185"/>
      <c r="AM133" s="185"/>
      <c r="AN133" s="185"/>
      <c r="AO133" s="185"/>
      <c r="AP133" s="185"/>
      <c r="AQ133" s="185"/>
      <c r="AR133" s="185"/>
      <c r="AS133" s="185"/>
      <c r="AT133" s="194">
        <v>75000000</v>
      </c>
      <c r="AU133" s="194">
        <v>75000000</v>
      </c>
      <c r="AV133" s="190">
        <v>75000000</v>
      </c>
      <c r="AW133" s="194"/>
      <c r="AX133" s="194"/>
      <c r="AY133" s="194"/>
      <c r="AZ133" s="194"/>
      <c r="BA133" s="194"/>
      <c r="BB133" s="194"/>
      <c r="BC133" s="194"/>
      <c r="BD133" s="194"/>
      <c r="BE133" s="194"/>
      <c r="BF133" s="192">
        <f t="shared" si="10"/>
        <v>75000000</v>
      </c>
      <c r="BG133" s="192">
        <f t="shared" si="11"/>
        <v>75000000</v>
      </c>
      <c r="BH133" s="192">
        <f t="shared" si="12"/>
        <v>75000000</v>
      </c>
      <c r="BI133" s="297" t="s">
        <v>9</v>
      </c>
    </row>
    <row r="134" spans="1:61" s="394" customFormat="1" ht="66.75" customHeight="1">
      <c r="A134" s="423">
        <v>313</v>
      </c>
      <c r="B134" s="392" t="s">
        <v>1421</v>
      </c>
      <c r="C134" s="423">
        <v>4</v>
      </c>
      <c r="D134" s="392" t="s">
        <v>59</v>
      </c>
      <c r="E134" s="423">
        <v>45</v>
      </c>
      <c r="F134" s="392" t="s">
        <v>60</v>
      </c>
      <c r="G134" s="423" t="s">
        <v>61</v>
      </c>
      <c r="H134" s="392" t="s">
        <v>62</v>
      </c>
      <c r="I134" s="423">
        <v>4599</v>
      </c>
      <c r="J134" s="392" t="s">
        <v>63</v>
      </c>
      <c r="K134" s="392" t="s">
        <v>64</v>
      </c>
      <c r="L134" s="423" t="s">
        <v>61</v>
      </c>
      <c r="M134" s="397" t="s">
        <v>631</v>
      </c>
      <c r="N134" s="423">
        <v>4599023</v>
      </c>
      <c r="O134" s="392" t="s">
        <v>131</v>
      </c>
      <c r="P134" s="423" t="s">
        <v>61</v>
      </c>
      <c r="Q134" s="397" t="s">
        <v>632</v>
      </c>
      <c r="R134" s="423">
        <v>459902304</v>
      </c>
      <c r="S134" s="397" t="s">
        <v>633</v>
      </c>
      <c r="T134" s="432" t="s">
        <v>69</v>
      </c>
      <c r="U134" s="432">
        <v>1</v>
      </c>
      <c r="V134" s="432"/>
      <c r="W134" s="432">
        <f t="shared" si="13"/>
        <v>1</v>
      </c>
      <c r="X134" s="433">
        <v>1</v>
      </c>
      <c r="Y134" s="287">
        <v>2021003630005</v>
      </c>
      <c r="Z134" s="392" t="s">
        <v>634</v>
      </c>
      <c r="AA134" s="546" t="s">
        <v>635</v>
      </c>
      <c r="AB134" s="185"/>
      <c r="AC134" s="185"/>
      <c r="AD134" s="185"/>
      <c r="AE134" s="185"/>
      <c r="AF134" s="185"/>
      <c r="AG134" s="185"/>
      <c r="AH134" s="185"/>
      <c r="AI134" s="185"/>
      <c r="AJ134" s="185"/>
      <c r="AK134" s="185"/>
      <c r="AL134" s="185"/>
      <c r="AM134" s="185"/>
      <c r="AN134" s="185"/>
      <c r="AO134" s="185"/>
      <c r="AP134" s="185"/>
      <c r="AQ134" s="185"/>
      <c r="AR134" s="185"/>
      <c r="AS134" s="185"/>
      <c r="AT134" s="189">
        <f>125243430+85000000+200000000+230000000+62000000+35000000</f>
        <v>737243430</v>
      </c>
      <c r="AU134" s="189">
        <v>724774930</v>
      </c>
      <c r="AV134" s="336">
        <v>724774930</v>
      </c>
      <c r="AW134" s="185"/>
      <c r="AX134" s="185"/>
      <c r="AY134" s="185"/>
      <c r="AZ134" s="185"/>
      <c r="BA134" s="185"/>
      <c r="BB134" s="185"/>
      <c r="BC134" s="185"/>
      <c r="BD134" s="185"/>
      <c r="BE134" s="185"/>
      <c r="BF134" s="192">
        <f t="shared" si="10"/>
        <v>737243430</v>
      </c>
      <c r="BG134" s="192">
        <f t="shared" si="11"/>
        <v>724774930</v>
      </c>
      <c r="BH134" s="192">
        <f t="shared" si="12"/>
        <v>724774930</v>
      </c>
      <c r="BI134" s="393" t="s">
        <v>1422</v>
      </c>
    </row>
    <row r="135" spans="1:61" s="391" customFormat="1" ht="66.75" customHeight="1">
      <c r="A135" s="423">
        <v>313</v>
      </c>
      <c r="B135" s="392" t="s">
        <v>1421</v>
      </c>
      <c r="C135" s="423">
        <v>4</v>
      </c>
      <c r="D135" s="392" t="s">
        <v>59</v>
      </c>
      <c r="E135" s="423">
        <v>45</v>
      </c>
      <c r="F135" s="392" t="s">
        <v>60</v>
      </c>
      <c r="G135" s="423" t="s">
        <v>61</v>
      </c>
      <c r="H135" s="392" t="s">
        <v>62</v>
      </c>
      <c r="I135" s="423">
        <v>4599</v>
      </c>
      <c r="J135" s="392" t="s">
        <v>63</v>
      </c>
      <c r="K135" s="392" t="s">
        <v>64</v>
      </c>
      <c r="L135" s="423" t="s">
        <v>61</v>
      </c>
      <c r="M135" s="397" t="s">
        <v>636</v>
      </c>
      <c r="N135" s="423">
        <v>4599029</v>
      </c>
      <c r="O135" s="392" t="s">
        <v>82</v>
      </c>
      <c r="P135" s="423" t="s">
        <v>61</v>
      </c>
      <c r="Q135" s="397" t="s">
        <v>637</v>
      </c>
      <c r="R135" s="425">
        <v>459902900</v>
      </c>
      <c r="S135" s="397" t="s">
        <v>84</v>
      </c>
      <c r="T135" s="432" t="s">
        <v>69</v>
      </c>
      <c r="U135" s="432">
        <v>1</v>
      </c>
      <c r="V135" s="432"/>
      <c r="W135" s="432">
        <f t="shared" si="13"/>
        <v>1</v>
      </c>
      <c r="X135" s="432">
        <v>1</v>
      </c>
      <c r="Y135" s="389">
        <v>2020003630090</v>
      </c>
      <c r="Z135" s="392" t="s">
        <v>638</v>
      </c>
      <c r="AA135" s="546" t="s">
        <v>639</v>
      </c>
      <c r="AB135" s="185"/>
      <c r="AC135" s="185"/>
      <c r="AD135" s="185"/>
      <c r="AE135" s="185"/>
      <c r="AF135" s="185"/>
      <c r="AG135" s="185"/>
      <c r="AH135" s="185"/>
      <c r="AI135" s="185"/>
      <c r="AJ135" s="185"/>
      <c r="AK135" s="185"/>
      <c r="AL135" s="185"/>
      <c r="AM135" s="185"/>
      <c r="AN135" s="185"/>
      <c r="AO135" s="185"/>
      <c r="AP135" s="185"/>
      <c r="AQ135" s="185"/>
      <c r="AR135" s="185"/>
      <c r="AS135" s="185"/>
      <c r="AT135" s="189">
        <f>300000000+620000000+270000000+513000000+340000000+300000000+251000000-35000000</f>
        <v>2559000000</v>
      </c>
      <c r="AU135" s="189">
        <v>2518090827.6700001</v>
      </c>
      <c r="AV135" s="336">
        <v>2518090827.6700001</v>
      </c>
      <c r="AW135" s="185"/>
      <c r="AX135" s="185"/>
      <c r="AY135" s="185"/>
      <c r="AZ135" s="185"/>
      <c r="BA135" s="185"/>
      <c r="BB135" s="185"/>
      <c r="BC135" s="185"/>
      <c r="BD135" s="185"/>
      <c r="BE135" s="185"/>
      <c r="BF135" s="192">
        <f t="shared" si="10"/>
        <v>2559000000</v>
      </c>
      <c r="BG135" s="192">
        <f t="shared" si="11"/>
        <v>2518090827.6700001</v>
      </c>
      <c r="BH135" s="192">
        <f t="shared" si="12"/>
        <v>2518090827.6700001</v>
      </c>
      <c r="BI135" s="393" t="s">
        <v>2</v>
      </c>
    </row>
    <row r="136" spans="1:61" s="394" customFormat="1" ht="66.75" customHeight="1">
      <c r="A136" s="423">
        <v>313</v>
      </c>
      <c r="B136" s="392" t="s">
        <v>1421</v>
      </c>
      <c r="C136" s="423">
        <v>4</v>
      </c>
      <c r="D136" s="392" t="s">
        <v>59</v>
      </c>
      <c r="E136" s="423">
        <v>45</v>
      </c>
      <c r="F136" s="392" t="s">
        <v>60</v>
      </c>
      <c r="G136" s="423">
        <v>4502</v>
      </c>
      <c r="H136" s="392" t="s">
        <v>78</v>
      </c>
      <c r="I136" s="423">
        <v>4502</v>
      </c>
      <c r="J136" s="392" t="s">
        <v>79</v>
      </c>
      <c r="K136" s="392" t="s">
        <v>80</v>
      </c>
      <c r="L136" s="423" t="s">
        <v>61</v>
      </c>
      <c r="M136" s="397" t="s">
        <v>640</v>
      </c>
      <c r="N136" s="423">
        <v>4502001</v>
      </c>
      <c r="O136" s="392" t="s">
        <v>90</v>
      </c>
      <c r="P136" s="423" t="s">
        <v>61</v>
      </c>
      <c r="Q136" s="397" t="s">
        <v>641</v>
      </c>
      <c r="R136" s="423">
        <v>450200100</v>
      </c>
      <c r="S136" s="397" t="s">
        <v>92</v>
      </c>
      <c r="T136" s="432" t="s">
        <v>69</v>
      </c>
      <c r="U136" s="388">
        <v>30</v>
      </c>
      <c r="V136" s="388"/>
      <c r="W136" s="432">
        <f t="shared" si="13"/>
        <v>30</v>
      </c>
      <c r="X136" s="432">
        <v>30</v>
      </c>
      <c r="Y136" s="389">
        <v>2020003630031</v>
      </c>
      <c r="Z136" s="392" t="s">
        <v>642</v>
      </c>
      <c r="AA136" s="546" t="s">
        <v>643</v>
      </c>
      <c r="AB136" s="289"/>
      <c r="AC136" s="289"/>
      <c r="AD136" s="289"/>
      <c r="AE136" s="289"/>
      <c r="AF136" s="289"/>
      <c r="AG136" s="289"/>
      <c r="AH136" s="289"/>
      <c r="AI136" s="289"/>
      <c r="AJ136" s="289"/>
      <c r="AK136" s="289"/>
      <c r="AL136" s="289"/>
      <c r="AM136" s="289"/>
      <c r="AN136" s="289"/>
      <c r="AO136" s="289"/>
      <c r="AP136" s="289"/>
      <c r="AQ136" s="289"/>
      <c r="AR136" s="289"/>
      <c r="AS136" s="289"/>
      <c r="AT136" s="189">
        <f>145000000+45000000+300000000+35000000+270000000+67000000</f>
        <v>862000000</v>
      </c>
      <c r="AU136" s="189">
        <v>844394070</v>
      </c>
      <c r="AV136" s="336">
        <v>844394070</v>
      </c>
      <c r="AW136" s="289"/>
      <c r="AX136" s="289"/>
      <c r="AY136" s="289"/>
      <c r="AZ136" s="289"/>
      <c r="BA136" s="289"/>
      <c r="BB136" s="289"/>
      <c r="BC136" s="289"/>
      <c r="BD136" s="289"/>
      <c r="BE136" s="289"/>
      <c r="BF136" s="192">
        <f t="shared" si="10"/>
        <v>862000000</v>
      </c>
      <c r="BG136" s="192">
        <f t="shared" si="11"/>
        <v>844394070</v>
      </c>
      <c r="BH136" s="192">
        <f t="shared" si="12"/>
        <v>844394070</v>
      </c>
      <c r="BI136" s="393" t="s">
        <v>2</v>
      </c>
    </row>
    <row r="137" spans="1:61" s="410" customFormat="1" ht="99" customHeight="1">
      <c r="A137" s="389">
        <v>313</v>
      </c>
      <c r="B137" s="390" t="s">
        <v>1421</v>
      </c>
      <c r="C137" s="389">
        <v>4</v>
      </c>
      <c r="D137" s="390" t="s">
        <v>59</v>
      </c>
      <c r="E137" s="389">
        <v>45</v>
      </c>
      <c r="F137" s="390" t="s">
        <v>60</v>
      </c>
      <c r="G137" s="389" t="s">
        <v>61</v>
      </c>
      <c r="H137" s="390" t="s">
        <v>62</v>
      </c>
      <c r="I137" s="389">
        <v>4599</v>
      </c>
      <c r="J137" s="390" t="s">
        <v>63</v>
      </c>
      <c r="K137" s="390" t="s">
        <v>64</v>
      </c>
      <c r="L137" s="389" t="s">
        <v>61</v>
      </c>
      <c r="M137" s="397" t="s">
        <v>631</v>
      </c>
      <c r="N137" s="389">
        <v>4599023</v>
      </c>
      <c r="O137" s="390" t="s">
        <v>131</v>
      </c>
      <c r="P137" s="389" t="s">
        <v>61</v>
      </c>
      <c r="Q137" s="390" t="s">
        <v>632</v>
      </c>
      <c r="R137" s="389">
        <v>459902304</v>
      </c>
      <c r="S137" s="390" t="s">
        <v>633</v>
      </c>
      <c r="T137" s="434" t="s">
        <v>69</v>
      </c>
      <c r="U137" s="389">
        <v>1</v>
      </c>
      <c r="V137" s="389"/>
      <c r="W137" s="389">
        <f t="shared" si="13"/>
        <v>1</v>
      </c>
      <c r="X137" s="389">
        <v>1</v>
      </c>
      <c r="Y137" s="389">
        <v>2022003630012</v>
      </c>
      <c r="Z137" s="409" t="s">
        <v>1457</v>
      </c>
      <c r="AA137" s="552" t="s">
        <v>1458</v>
      </c>
      <c r="AB137" s="302"/>
      <c r="AC137" s="302"/>
      <c r="AD137" s="302"/>
      <c r="AE137" s="302"/>
      <c r="AF137" s="302"/>
      <c r="AG137" s="302"/>
      <c r="AH137" s="302"/>
      <c r="AI137" s="302"/>
      <c r="AJ137" s="302"/>
      <c r="AK137" s="302"/>
      <c r="AL137" s="302"/>
      <c r="AM137" s="302"/>
      <c r="AN137" s="302"/>
      <c r="AO137" s="302"/>
      <c r="AP137" s="302"/>
      <c r="AQ137" s="302"/>
      <c r="AR137" s="302"/>
      <c r="AS137" s="302"/>
      <c r="AT137" s="189">
        <v>400000000</v>
      </c>
      <c r="AU137" s="189">
        <v>328563000</v>
      </c>
      <c r="AV137" s="336">
        <v>328563000</v>
      </c>
      <c r="AW137" s="302"/>
      <c r="AX137" s="302"/>
      <c r="AY137" s="302"/>
      <c r="AZ137" s="302"/>
      <c r="BA137" s="302"/>
      <c r="BB137" s="302"/>
      <c r="BC137" s="303"/>
      <c r="BD137" s="303"/>
      <c r="BE137" s="303"/>
      <c r="BF137" s="192">
        <f t="shared" si="10"/>
        <v>400000000</v>
      </c>
      <c r="BG137" s="192">
        <f t="shared" si="11"/>
        <v>328563000</v>
      </c>
      <c r="BH137" s="192">
        <f t="shared" si="12"/>
        <v>328563000</v>
      </c>
      <c r="BI137" s="393" t="s">
        <v>2</v>
      </c>
    </row>
    <row r="138" spans="1:61" s="394" customFormat="1" ht="66.75" customHeight="1">
      <c r="A138" s="423">
        <v>314</v>
      </c>
      <c r="B138" s="392" t="s">
        <v>644</v>
      </c>
      <c r="C138" s="423">
        <v>1</v>
      </c>
      <c r="D138" s="392" t="s">
        <v>148</v>
      </c>
      <c r="E138" s="423">
        <v>22</v>
      </c>
      <c r="F138" s="392" t="s">
        <v>160</v>
      </c>
      <c r="G138" s="423">
        <v>2201</v>
      </c>
      <c r="H138" s="392" t="s">
        <v>298</v>
      </c>
      <c r="I138" s="423">
        <v>2201</v>
      </c>
      <c r="J138" s="392" t="s">
        <v>162</v>
      </c>
      <c r="K138" s="392" t="s">
        <v>645</v>
      </c>
      <c r="L138" s="423">
        <v>2201030</v>
      </c>
      <c r="M138" s="397" t="s">
        <v>646</v>
      </c>
      <c r="N138" s="423">
        <v>2201030</v>
      </c>
      <c r="O138" s="392" t="s">
        <v>646</v>
      </c>
      <c r="P138" s="295">
        <v>220103000</v>
      </c>
      <c r="Q138" s="397" t="s">
        <v>647</v>
      </c>
      <c r="R138" s="295">
        <v>220103000</v>
      </c>
      <c r="S138" s="397" t="s">
        <v>647</v>
      </c>
      <c r="T138" s="388" t="s">
        <v>69</v>
      </c>
      <c r="U138" s="388">
        <v>2500</v>
      </c>
      <c r="V138" s="388"/>
      <c r="W138" s="388">
        <f t="shared" si="13"/>
        <v>2500</v>
      </c>
      <c r="X138" s="388">
        <v>2106</v>
      </c>
      <c r="Y138" s="389">
        <v>2020003630091</v>
      </c>
      <c r="Z138" s="392" t="s">
        <v>648</v>
      </c>
      <c r="AA138" s="546" t="s">
        <v>649</v>
      </c>
      <c r="AB138" s="185"/>
      <c r="AC138" s="185"/>
      <c r="AD138" s="185"/>
      <c r="AE138" s="185">
        <v>0</v>
      </c>
      <c r="AF138" s="185"/>
      <c r="AG138" s="185"/>
      <c r="AH138" s="185"/>
      <c r="AI138" s="185"/>
      <c r="AJ138" s="185"/>
      <c r="AK138" s="185"/>
      <c r="AL138" s="185"/>
      <c r="AM138" s="185"/>
      <c r="AN138" s="185">
        <f>1343000000-5000000+49044112-134564967+110813949</f>
        <v>1363293094</v>
      </c>
      <c r="AO138" s="185">
        <v>1303364972</v>
      </c>
      <c r="AP138" s="185">
        <v>1212541641</v>
      </c>
      <c r="AQ138" s="185"/>
      <c r="AR138" s="185"/>
      <c r="AS138" s="185"/>
      <c r="AT138" s="189">
        <v>0</v>
      </c>
      <c r="AU138" s="189"/>
      <c r="AV138" s="189"/>
      <c r="AW138" s="185"/>
      <c r="AX138" s="185"/>
      <c r="AY138" s="185"/>
      <c r="AZ138" s="185"/>
      <c r="BA138" s="185"/>
      <c r="BB138" s="185"/>
      <c r="BC138" s="185">
        <v>0</v>
      </c>
      <c r="BD138" s="185"/>
      <c r="BE138" s="185"/>
      <c r="BF138" s="192">
        <f t="shared" si="10"/>
        <v>1363293094</v>
      </c>
      <c r="BG138" s="192">
        <f t="shared" si="11"/>
        <v>1303364972</v>
      </c>
      <c r="BH138" s="192">
        <f t="shared" si="12"/>
        <v>1212541641</v>
      </c>
      <c r="BI138" s="398" t="s">
        <v>5</v>
      </c>
    </row>
    <row r="139" spans="1:61" s="394" customFormat="1" ht="66.75" customHeight="1">
      <c r="A139" s="423">
        <v>314</v>
      </c>
      <c r="B139" s="392" t="s">
        <v>644</v>
      </c>
      <c r="C139" s="423">
        <v>1</v>
      </c>
      <c r="D139" s="392" t="s">
        <v>148</v>
      </c>
      <c r="E139" s="423">
        <v>22</v>
      </c>
      <c r="F139" s="392" t="s">
        <v>160</v>
      </c>
      <c r="G139" s="423">
        <v>2201</v>
      </c>
      <c r="H139" s="392" t="s">
        <v>298</v>
      </c>
      <c r="I139" s="423">
        <v>2201</v>
      </c>
      <c r="J139" s="392" t="s">
        <v>162</v>
      </c>
      <c r="K139" s="392" t="s">
        <v>650</v>
      </c>
      <c r="L139" s="423">
        <v>2201033</v>
      </c>
      <c r="M139" s="397" t="s">
        <v>651</v>
      </c>
      <c r="N139" s="423">
        <v>2201033</v>
      </c>
      <c r="O139" s="392" t="s">
        <v>651</v>
      </c>
      <c r="P139" s="295">
        <v>220103300</v>
      </c>
      <c r="Q139" s="397" t="s">
        <v>652</v>
      </c>
      <c r="R139" s="295">
        <v>220103300</v>
      </c>
      <c r="S139" s="397" t="s">
        <v>652</v>
      </c>
      <c r="T139" s="388" t="s">
        <v>157</v>
      </c>
      <c r="U139" s="388">
        <v>9000</v>
      </c>
      <c r="V139" s="388"/>
      <c r="W139" s="388">
        <f t="shared" si="13"/>
        <v>9000</v>
      </c>
      <c r="X139" s="388">
        <v>9000</v>
      </c>
      <c r="Y139" s="389">
        <v>2020003630091</v>
      </c>
      <c r="Z139" s="392" t="s">
        <v>648</v>
      </c>
      <c r="AA139" s="546" t="s">
        <v>649</v>
      </c>
      <c r="AB139" s="185"/>
      <c r="AC139" s="185"/>
      <c r="AD139" s="185"/>
      <c r="AE139" s="185">
        <v>0</v>
      </c>
      <c r="AF139" s="185"/>
      <c r="AG139" s="185"/>
      <c r="AH139" s="185"/>
      <c r="AI139" s="185"/>
      <c r="AJ139" s="185"/>
      <c r="AK139" s="185"/>
      <c r="AL139" s="185"/>
      <c r="AM139" s="185"/>
      <c r="AN139" s="185">
        <v>0</v>
      </c>
      <c r="AO139" s="185"/>
      <c r="AP139" s="185"/>
      <c r="AQ139" s="185"/>
      <c r="AR139" s="185"/>
      <c r="AS139" s="185"/>
      <c r="AT139" s="189">
        <f>25000000-10000000+17202500</f>
        <v>32202500</v>
      </c>
      <c r="AU139" s="189">
        <v>30101667</v>
      </c>
      <c r="AV139" s="189">
        <v>30101667</v>
      </c>
      <c r="AW139" s="185"/>
      <c r="AX139" s="185"/>
      <c r="AY139" s="185"/>
      <c r="AZ139" s="185"/>
      <c r="BA139" s="185"/>
      <c r="BB139" s="185"/>
      <c r="BC139" s="185">
        <v>0</v>
      </c>
      <c r="BD139" s="185"/>
      <c r="BE139" s="185"/>
      <c r="BF139" s="192">
        <f t="shared" si="10"/>
        <v>32202500</v>
      </c>
      <c r="BG139" s="192">
        <f t="shared" si="11"/>
        <v>30101667</v>
      </c>
      <c r="BH139" s="192">
        <f t="shared" si="12"/>
        <v>30101667</v>
      </c>
      <c r="BI139" s="398" t="s">
        <v>5</v>
      </c>
    </row>
    <row r="140" spans="1:61" s="394" customFormat="1" ht="66.75" customHeight="1">
      <c r="A140" s="423">
        <v>314</v>
      </c>
      <c r="B140" s="392" t="s">
        <v>644</v>
      </c>
      <c r="C140" s="423">
        <v>1</v>
      </c>
      <c r="D140" s="392" t="s">
        <v>148</v>
      </c>
      <c r="E140" s="423">
        <v>22</v>
      </c>
      <c r="F140" s="392" t="s">
        <v>160</v>
      </c>
      <c r="G140" s="423">
        <v>2201</v>
      </c>
      <c r="H140" s="392" t="s">
        <v>298</v>
      </c>
      <c r="I140" s="423">
        <v>2201</v>
      </c>
      <c r="J140" s="392" t="s">
        <v>162</v>
      </c>
      <c r="K140" s="392" t="s">
        <v>653</v>
      </c>
      <c r="L140" s="423">
        <v>2201032</v>
      </c>
      <c r="M140" s="397" t="s">
        <v>654</v>
      </c>
      <c r="N140" s="423">
        <v>2201032</v>
      </c>
      <c r="O140" s="392" t="s">
        <v>654</v>
      </c>
      <c r="P140" s="191">
        <v>220103200</v>
      </c>
      <c r="Q140" s="397" t="s">
        <v>655</v>
      </c>
      <c r="R140" s="191">
        <v>220103200</v>
      </c>
      <c r="S140" s="397" t="s">
        <v>655</v>
      </c>
      <c r="T140" s="388" t="s">
        <v>157</v>
      </c>
      <c r="U140" s="388">
        <v>200</v>
      </c>
      <c r="V140" s="388"/>
      <c r="W140" s="388">
        <f t="shared" si="13"/>
        <v>200</v>
      </c>
      <c r="X140" s="388">
        <v>392</v>
      </c>
      <c r="Y140" s="389">
        <v>2020003630091</v>
      </c>
      <c r="Z140" s="392" t="s">
        <v>648</v>
      </c>
      <c r="AA140" s="546" t="s">
        <v>649</v>
      </c>
      <c r="AB140" s="185"/>
      <c r="AC140" s="185"/>
      <c r="AD140" s="185"/>
      <c r="AE140" s="185">
        <v>0</v>
      </c>
      <c r="AF140" s="185"/>
      <c r="AG140" s="185"/>
      <c r="AH140" s="185"/>
      <c r="AI140" s="185"/>
      <c r="AJ140" s="185"/>
      <c r="AK140" s="185"/>
      <c r="AL140" s="185"/>
      <c r="AM140" s="185"/>
      <c r="AN140" s="185">
        <v>0</v>
      </c>
      <c r="AO140" s="185"/>
      <c r="AP140" s="185"/>
      <c r="AQ140" s="185"/>
      <c r="AR140" s="185"/>
      <c r="AS140" s="185"/>
      <c r="AT140" s="189">
        <f>5000000+39525000</f>
        <v>44525000</v>
      </c>
      <c r="AU140" s="189">
        <v>39523833</v>
      </c>
      <c r="AV140" s="189">
        <v>39523833</v>
      </c>
      <c r="AW140" s="185"/>
      <c r="AX140" s="185"/>
      <c r="AY140" s="185"/>
      <c r="AZ140" s="185"/>
      <c r="BA140" s="185"/>
      <c r="BB140" s="185"/>
      <c r="BC140" s="185">
        <v>0</v>
      </c>
      <c r="BD140" s="185"/>
      <c r="BE140" s="185"/>
      <c r="BF140" s="192">
        <f t="shared" si="10"/>
        <v>44525000</v>
      </c>
      <c r="BG140" s="192">
        <f t="shared" si="11"/>
        <v>39523833</v>
      </c>
      <c r="BH140" s="192">
        <f t="shared" si="12"/>
        <v>39523833</v>
      </c>
      <c r="BI140" s="398" t="s">
        <v>5</v>
      </c>
    </row>
    <row r="141" spans="1:61" s="394" customFormat="1" ht="105" customHeight="1">
      <c r="A141" s="423">
        <v>314</v>
      </c>
      <c r="B141" s="392" t="s">
        <v>644</v>
      </c>
      <c r="C141" s="423">
        <v>1</v>
      </c>
      <c r="D141" s="392" t="s">
        <v>148</v>
      </c>
      <c r="E141" s="423">
        <v>22</v>
      </c>
      <c r="F141" s="392" t="s">
        <v>160</v>
      </c>
      <c r="G141" s="423">
        <v>2201</v>
      </c>
      <c r="H141" s="392" t="s">
        <v>298</v>
      </c>
      <c r="I141" s="423">
        <v>2201</v>
      </c>
      <c r="J141" s="392" t="s">
        <v>162</v>
      </c>
      <c r="K141" s="392" t="s">
        <v>656</v>
      </c>
      <c r="L141" s="423">
        <v>2201055</v>
      </c>
      <c r="M141" s="397" t="s">
        <v>657</v>
      </c>
      <c r="N141" s="423">
        <v>2201055</v>
      </c>
      <c r="O141" s="392" t="s">
        <v>657</v>
      </c>
      <c r="P141" s="295">
        <v>220105500</v>
      </c>
      <c r="Q141" s="397" t="s">
        <v>658</v>
      </c>
      <c r="R141" s="295">
        <v>220105500</v>
      </c>
      <c r="S141" s="397" t="s">
        <v>658</v>
      </c>
      <c r="T141" s="388" t="s">
        <v>69</v>
      </c>
      <c r="U141" s="388">
        <v>1</v>
      </c>
      <c r="V141" s="388"/>
      <c r="W141" s="388">
        <f t="shared" si="13"/>
        <v>1</v>
      </c>
      <c r="X141" s="388">
        <v>1</v>
      </c>
      <c r="Y141" s="389">
        <v>2020003630091</v>
      </c>
      <c r="Z141" s="188" t="s">
        <v>648</v>
      </c>
      <c r="AA141" s="546" t="s">
        <v>649</v>
      </c>
      <c r="AB141" s="185"/>
      <c r="AC141" s="185"/>
      <c r="AD141" s="185"/>
      <c r="AE141" s="185">
        <v>0</v>
      </c>
      <c r="AF141" s="185"/>
      <c r="AG141" s="185"/>
      <c r="AH141" s="185"/>
      <c r="AI141" s="185"/>
      <c r="AJ141" s="185"/>
      <c r="AK141" s="185"/>
      <c r="AL141" s="185"/>
      <c r="AM141" s="185"/>
      <c r="AN141" s="185">
        <f>60000000-39338851+1828007</f>
        <v>22489156</v>
      </c>
      <c r="AO141" s="185">
        <v>22489156</v>
      </c>
      <c r="AP141" s="185">
        <v>22489156</v>
      </c>
      <c r="AQ141" s="185"/>
      <c r="AR141" s="185"/>
      <c r="AS141" s="185"/>
      <c r="AT141" s="189">
        <v>0</v>
      </c>
      <c r="AU141" s="189"/>
      <c r="AV141" s="189"/>
      <c r="AW141" s="185"/>
      <c r="AX141" s="185"/>
      <c r="AY141" s="185"/>
      <c r="AZ141" s="185"/>
      <c r="BA141" s="185"/>
      <c r="BB141" s="185"/>
      <c r="BC141" s="185">
        <v>0</v>
      </c>
      <c r="BD141" s="185"/>
      <c r="BE141" s="185"/>
      <c r="BF141" s="192">
        <f t="shared" si="10"/>
        <v>22489156</v>
      </c>
      <c r="BG141" s="192">
        <f t="shared" si="11"/>
        <v>22489156</v>
      </c>
      <c r="BH141" s="192">
        <f t="shared" si="12"/>
        <v>22489156</v>
      </c>
      <c r="BI141" s="398" t="s">
        <v>5</v>
      </c>
    </row>
    <row r="142" spans="1:61" s="394" customFormat="1" ht="66.75" customHeight="1">
      <c r="A142" s="423">
        <v>314</v>
      </c>
      <c r="B142" s="392" t="s">
        <v>644</v>
      </c>
      <c r="C142" s="423">
        <v>1</v>
      </c>
      <c r="D142" s="392" t="s">
        <v>148</v>
      </c>
      <c r="E142" s="423">
        <v>22</v>
      </c>
      <c r="F142" s="392" t="s">
        <v>160</v>
      </c>
      <c r="G142" s="423">
        <v>2201</v>
      </c>
      <c r="H142" s="392" t="s">
        <v>298</v>
      </c>
      <c r="I142" s="423">
        <v>2201</v>
      </c>
      <c r="J142" s="392" t="s">
        <v>162</v>
      </c>
      <c r="K142" s="392" t="s">
        <v>659</v>
      </c>
      <c r="L142" s="423">
        <v>2201067</v>
      </c>
      <c r="M142" s="397" t="s">
        <v>660</v>
      </c>
      <c r="N142" s="423">
        <v>2201067</v>
      </c>
      <c r="O142" s="392" t="s">
        <v>660</v>
      </c>
      <c r="P142" s="191">
        <v>220106700</v>
      </c>
      <c r="Q142" s="397" t="s">
        <v>661</v>
      </c>
      <c r="R142" s="191">
        <v>220106700</v>
      </c>
      <c r="S142" s="397" t="s">
        <v>661</v>
      </c>
      <c r="T142" s="388" t="s">
        <v>69</v>
      </c>
      <c r="U142" s="388">
        <v>54</v>
      </c>
      <c r="V142" s="388"/>
      <c r="W142" s="388">
        <f t="shared" si="13"/>
        <v>54</v>
      </c>
      <c r="X142" s="388">
        <v>54</v>
      </c>
      <c r="Y142" s="389">
        <v>2020003630091</v>
      </c>
      <c r="Z142" s="188" t="s">
        <v>648</v>
      </c>
      <c r="AA142" s="546" t="s">
        <v>649</v>
      </c>
      <c r="AB142" s="185"/>
      <c r="AC142" s="185"/>
      <c r="AD142" s="185"/>
      <c r="AE142" s="185">
        <v>0</v>
      </c>
      <c r="AF142" s="185"/>
      <c r="AG142" s="185"/>
      <c r="AH142" s="185"/>
      <c r="AI142" s="185"/>
      <c r="AJ142" s="185"/>
      <c r="AK142" s="185"/>
      <c r="AL142" s="185"/>
      <c r="AM142" s="185"/>
      <c r="AN142" s="185">
        <v>0</v>
      </c>
      <c r="AO142" s="185"/>
      <c r="AP142" s="185"/>
      <c r="AQ142" s="185"/>
      <c r="AR142" s="185"/>
      <c r="AS142" s="185"/>
      <c r="AT142" s="189">
        <f>10000000+2000000+10000000+10000000</f>
        <v>32000000</v>
      </c>
      <c r="AU142" s="189">
        <v>19346666</v>
      </c>
      <c r="AV142" s="189">
        <v>19346666</v>
      </c>
      <c r="AW142" s="185"/>
      <c r="AX142" s="185"/>
      <c r="AY142" s="185"/>
      <c r="AZ142" s="185"/>
      <c r="BA142" s="185"/>
      <c r="BB142" s="185"/>
      <c r="BC142" s="185">
        <v>0</v>
      </c>
      <c r="BD142" s="185"/>
      <c r="BE142" s="185"/>
      <c r="BF142" s="192">
        <f t="shared" si="10"/>
        <v>32000000</v>
      </c>
      <c r="BG142" s="192">
        <f t="shared" si="11"/>
        <v>19346666</v>
      </c>
      <c r="BH142" s="192">
        <f t="shared" si="12"/>
        <v>19346666</v>
      </c>
      <c r="BI142" s="398" t="s">
        <v>5</v>
      </c>
    </row>
    <row r="143" spans="1:61" s="394" customFormat="1" ht="66.75" customHeight="1">
      <c r="A143" s="423">
        <v>314</v>
      </c>
      <c r="B143" s="392" t="s">
        <v>644</v>
      </c>
      <c r="C143" s="423">
        <v>1</v>
      </c>
      <c r="D143" s="392" t="s">
        <v>148</v>
      </c>
      <c r="E143" s="423">
        <v>22</v>
      </c>
      <c r="F143" s="392" t="s">
        <v>160</v>
      </c>
      <c r="G143" s="423">
        <v>2201</v>
      </c>
      <c r="H143" s="392" t="s">
        <v>298</v>
      </c>
      <c r="I143" s="423">
        <v>2201</v>
      </c>
      <c r="J143" s="392" t="s">
        <v>162</v>
      </c>
      <c r="K143" s="392" t="s">
        <v>659</v>
      </c>
      <c r="L143" s="423">
        <v>2201028</v>
      </c>
      <c r="M143" s="397" t="s">
        <v>662</v>
      </c>
      <c r="N143" s="423">
        <v>2201028</v>
      </c>
      <c r="O143" s="392" t="s">
        <v>662</v>
      </c>
      <c r="P143" s="295">
        <v>220102801</v>
      </c>
      <c r="Q143" s="397" t="s">
        <v>663</v>
      </c>
      <c r="R143" s="295">
        <v>220102801</v>
      </c>
      <c r="S143" s="397" t="s">
        <v>663</v>
      </c>
      <c r="T143" s="388" t="s">
        <v>69</v>
      </c>
      <c r="U143" s="388">
        <v>36000</v>
      </c>
      <c r="V143" s="388"/>
      <c r="W143" s="388">
        <f t="shared" si="13"/>
        <v>36000</v>
      </c>
      <c r="X143" s="388">
        <v>26803</v>
      </c>
      <c r="Y143" s="389">
        <v>2020003630091</v>
      </c>
      <c r="Z143" s="392" t="s">
        <v>648</v>
      </c>
      <c r="AA143" s="546" t="s">
        <v>649</v>
      </c>
      <c r="AB143" s="185"/>
      <c r="AC143" s="185"/>
      <c r="AD143" s="185"/>
      <c r="AE143" s="185">
        <f>500000000-105000000</f>
        <v>395000000</v>
      </c>
      <c r="AF143" s="185">
        <v>57733372</v>
      </c>
      <c r="AG143" s="185">
        <v>57733372</v>
      </c>
      <c r="AH143" s="185"/>
      <c r="AI143" s="185"/>
      <c r="AJ143" s="185"/>
      <c r="AK143" s="185"/>
      <c r="AL143" s="185"/>
      <c r="AM143" s="185"/>
      <c r="AN143" s="192">
        <v>0</v>
      </c>
      <c r="AO143" s="192"/>
      <c r="AP143" s="192"/>
      <c r="AQ143" s="185"/>
      <c r="AR143" s="185"/>
      <c r="AS143" s="185"/>
      <c r="AT143" s="189">
        <f>150000000+5000000000+126966033+11590000+2900000000-800000000-680000000-250000000-8400000-300000000-6360000</f>
        <v>6143796033</v>
      </c>
      <c r="AU143" s="189">
        <v>4946514710</v>
      </c>
      <c r="AV143" s="189">
        <v>4946514710</v>
      </c>
      <c r="AW143" s="192"/>
      <c r="AX143" s="192"/>
      <c r="AY143" s="192"/>
      <c r="AZ143" s="192"/>
      <c r="BA143" s="192"/>
      <c r="BB143" s="192"/>
      <c r="BC143" s="192">
        <f>9236000000+10000000+55159599.4+639676314.25+706885427.62+1119951114.5+92174748+ 3338891461+11936253+89807278.45</f>
        <v>15300482196.220001</v>
      </c>
      <c r="BD143" s="192">
        <v>12873544994</v>
      </c>
      <c r="BE143" s="192">
        <v>11881854426.65</v>
      </c>
      <c r="BF143" s="192">
        <f t="shared" si="10"/>
        <v>21839278229.220001</v>
      </c>
      <c r="BG143" s="192">
        <f t="shared" si="11"/>
        <v>17877793076</v>
      </c>
      <c r="BH143" s="192">
        <f t="shared" si="12"/>
        <v>16886102508.65</v>
      </c>
      <c r="BI143" s="398" t="s">
        <v>5</v>
      </c>
    </row>
    <row r="144" spans="1:61" s="394" customFormat="1" ht="66.75" customHeight="1">
      <c r="A144" s="423">
        <v>314</v>
      </c>
      <c r="B144" s="392" t="s">
        <v>644</v>
      </c>
      <c r="C144" s="423">
        <v>1</v>
      </c>
      <c r="D144" s="392" t="s">
        <v>148</v>
      </c>
      <c r="E144" s="423">
        <v>22</v>
      </c>
      <c r="F144" s="392" t="s">
        <v>160</v>
      </c>
      <c r="G144" s="423">
        <v>2201</v>
      </c>
      <c r="H144" s="392" t="s">
        <v>298</v>
      </c>
      <c r="I144" s="423">
        <v>2201</v>
      </c>
      <c r="J144" s="392" t="s">
        <v>162</v>
      </c>
      <c r="K144" s="392" t="s">
        <v>659</v>
      </c>
      <c r="L144" s="423">
        <v>2201029</v>
      </c>
      <c r="M144" s="397" t="s">
        <v>664</v>
      </c>
      <c r="N144" s="423">
        <v>2201029</v>
      </c>
      <c r="O144" s="392" t="s">
        <v>664</v>
      </c>
      <c r="P144" s="295">
        <v>220102900</v>
      </c>
      <c r="Q144" s="397" t="s">
        <v>665</v>
      </c>
      <c r="R144" s="295">
        <v>220102900</v>
      </c>
      <c r="S144" s="397" t="s">
        <v>665</v>
      </c>
      <c r="T144" s="388" t="s">
        <v>157</v>
      </c>
      <c r="U144" s="388">
        <v>1500</v>
      </c>
      <c r="V144" s="388">
        <v>203</v>
      </c>
      <c r="W144" s="388">
        <f t="shared" si="13"/>
        <v>1703</v>
      </c>
      <c r="X144" s="388">
        <v>2367</v>
      </c>
      <c r="Y144" s="389">
        <v>2020003630091</v>
      </c>
      <c r="Z144" s="392" t="s">
        <v>648</v>
      </c>
      <c r="AA144" s="546" t="s">
        <v>649</v>
      </c>
      <c r="AB144" s="185"/>
      <c r="AC144" s="185"/>
      <c r="AD144" s="185"/>
      <c r="AE144" s="292">
        <f>50000000+100000000</f>
        <v>150000000</v>
      </c>
      <c r="AF144" s="292">
        <v>150000000</v>
      </c>
      <c r="AG144" s="292">
        <v>150000000</v>
      </c>
      <c r="AH144" s="185"/>
      <c r="AI144" s="185"/>
      <c r="AJ144" s="185"/>
      <c r="AK144" s="185"/>
      <c r="AL144" s="185"/>
      <c r="AM144" s="185"/>
      <c r="AN144" s="185">
        <v>0</v>
      </c>
      <c r="AO144" s="185"/>
      <c r="AP144" s="185"/>
      <c r="AQ144" s="185"/>
      <c r="AR144" s="185"/>
      <c r="AS144" s="185"/>
      <c r="AT144" s="189">
        <f>336694046-100000000+818832641</f>
        <v>1055526687</v>
      </c>
      <c r="AU144" s="189">
        <v>1054900000</v>
      </c>
      <c r="AV144" s="189">
        <v>1054900000</v>
      </c>
      <c r="AW144" s="185"/>
      <c r="AX144" s="185"/>
      <c r="AY144" s="185"/>
      <c r="AZ144" s="185"/>
      <c r="BA144" s="185"/>
      <c r="BB144" s="185"/>
      <c r="BC144" s="185"/>
      <c r="BD144" s="185"/>
      <c r="BE144" s="185"/>
      <c r="BF144" s="192">
        <f t="shared" si="10"/>
        <v>1205526687</v>
      </c>
      <c r="BG144" s="192">
        <f t="shared" si="11"/>
        <v>1204900000</v>
      </c>
      <c r="BH144" s="192">
        <f t="shared" si="12"/>
        <v>1204900000</v>
      </c>
      <c r="BI144" s="398" t="s">
        <v>5</v>
      </c>
    </row>
    <row r="145" spans="1:61" s="394" customFormat="1" ht="66.75" customHeight="1">
      <c r="A145" s="423">
        <v>314</v>
      </c>
      <c r="B145" s="392" t="s">
        <v>644</v>
      </c>
      <c r="C145" s="423">
        <v>1</v>
      </c>
      <c r="D145" s="392" t="s">
        <v>148</v>
      </c>
      <c r="E145" s="423">
        <v>22</v>
      </c>
      <c r="F145" s="392" t="s">
        <v>160</v>
      </c>
      <c r="G145" s="423">
        <v>2201</v>
      </c>
      <c r="H145" s="392" t="s">
        <v>298</v>
      </c>
      <c r="I145" s="423">
        <v>2201</v>
      </c>
      <c r="J145" s="392" t="s">
        <v>162</v>
      </c>
      <c r="K145" s="392" t="s">
        <v>163</v>
      </c>
      <c r="L145" s="423" t="s">
        <v>61</v>
      </c>
      <c r="M145" s="397" t="s">
        <v>666</v>
      </c>
      <c r="N145" s="423">
        <v>2201062</v>
      </c>
      <c r="O145" s="392" t="s">
        <v>165</v>
      </c>
      <c r="P145" s="423" t="s">
        <v>61</v>
      </c>
      <c r="Q145" s="397" t="s">
        <v>166</v>
      </c>
      <c r="R145" s="423">
        <v>220106200</v>
      </c>
      <c r="S145" s="393" t="s">
        <v>667</v>
      </c>
      <c r="T145" s="388" t="s">
        <v>157</v>
      </c>
      <c r="U145" s="423">
        <v>15</v>
      </c>
      <c r="V145" s="423">
        <v>7</v>
      </c>
      <c r="W145" s="388">
        <f t="shared" si="13"/>
        <v>22</v>
      </c>
      <c r="X145" s="388">
        <v>22</v>
      </c>
      <c r="Y145" s="389">
        <v>2020003630091</v>
      </c>
      <c r="Z145" s="392" t="s">
        <v>648</v>
      </c>
      <c r="AA145" s="546" t="s">
        <v>649</v>
      </c>
      <c r="AB145" s="185"/>
      <c r="AC145" s="185"/>
      <c r="AD145" s="185"/>
      <c r="AE145" s="185">
        <v>0</v>
      </c>
      <c r="AF145" s="185"/>
      <c r="AG145" s="185"/>
      <c r="AH145" s="185"/>
      <c r="AI145" s="185"/>
      <c r="AJ145" s="185"/>
      <c r="AK145" s="185"/>
      <c r="AL145" s="185"/>
      <c r="AM145" s="185"/>
      <c r="AN145" s="185">
        <v>36000000</v>
      </c>
      <c r="AO145" s="185">
        <v>13000000</v>
      </c>
      <c r="AP145" s="185">
        <v>13000000</v>
      </c>
      <c r="AQ145" s="185"/>
      <c r="AR145" s="185"/>
      <c r="AS145" s="185"/>
      <c r="AT145" s="189">
        <f>30000000-20000000+19200000</f>
        <v>29200000</v>
      </c>
      <c r="AU145" s="189">
        <v>29200000</v>
      </c>
      <c r="AV145" s="189">
        <v>29200000</v>
      </c>
      <c r="AW145" s="185"/>
      <c r="AX145" s="185"/>
      <c r="AY145" s="185"/>
      <c r="AZ145" s="185"/>
      <c r="BA145" s="185"/>
      <c r="BB145" s="185"/>
      <c r="BC145" s="185">
        <v>0</v>
      </c>
      <c r="BD145" s="185"/>
      <c r="BE145" s="185"/>
      <c r="BF145" s="192">
        <f t="shared" si="10"/>
        <v>65200000</v>
      </c>
      <c r="BG145" s="192">
        <f t="shared" si="11"/>
        <v>42200000</v>
      </c>
      <c r="BH145" s="192">
        <f t="shared" si="12"/>
        <v>42200000</v>
      </c>
      <c r="BI145" s="398" t="s">
        <v>5</v>
      </c>
    </row>
    <row r="146" spans="1:61" s="394" customFormat="1" ht="66.75" customHeight="1">
      <c r="A146" s="423">
        <v>314</v>
      </c>
      <c r="B146" s="392" t="s">
        <v>644</v>
      </c>
      <c r="C146" s="423">
        <v>1</v>
      </c>
      <c r="D146" s="392" t="s">
        <v>148</v>
      </c>
      <c r="E146" s="423">
        <v>22</v>
      </c>
      <c r="F146" s="392" t="s">
        <v>160</v>
      </c>
      <c r="G146" s="423">
        <v>2201</v>
      </c>
      <c r="H146" s="392" t="s">
        <v>298</v>
      </c>
      <c r="I146" s="423">
        <v>2201</v>
      </c>
      <c r="J146" s="392" t="s">
        <v>162</v>
      </c>
      <c r="K146" s="392" t="s">
        <v>668</v>
      </c>
      <c r="L146" s="423">
        <v>2201063</v>
      </c>
      <c r="M146" s="397" t="s">
        <v>669</v>
      </c>
      <c r="N146" s="423">
        <v>2201063</v>
      </c>
      <c r="O146" s="392" t="s">
        <v>669</v>
      </c>
      <c r="P146" s="191">
        <v>220106300</v>
      </c>
      <c r="Q146" s="397" t="s">
        <v>670</v>
      </c>
      <c r="R146" s="191">
        <v>220106300</v>
      </c>
      <c r="S146" s="393" t="s">
        <v>670</v>
      </c>
      <c r="T146" s="388" t="s">
        <v>157</v>
      </c>
      <c r="U146" s="388">
        <v>1</v>
      </c>
      <c r="V146" s="388">
        <v>1</v>
      </c>
      <c r="W146" s="388">
        <f t="shared" si="13"/>
        <v>2</v>
      </c>
      <c r="X146" s="388">
        <v>3</v>
      </c>
      <c r="Y146" s="389">
        <v>2020003630091</v>
      </c>
      <c r="Z146" s="188" t="s">
        <v>648</v>
      </c>
      <c r="AA146" s="546" t="s">
        <v>649</v>
      </c>
      <c r="AB146" s="185"/>
      <c r="AC146" s="185"/>
      <c r="AD146" s="185"/>
      <c r="AE146" s="185">
        <v>0</v>
      </c>
      <c r="AF146" s="185"/>
      <c r="AG146" s="185"/>
      <c r="AH146" s="185"/>
      <c r="AI146" s="185"/>
      <c r="AJ146" s="185"/>
      <c r="AK146" s="185"/>
      <c r="AL146" s="185"/>
      <c r="AM146" s="185"/>
      <c r="AN146" s="185">
        <v>0</v>
      </c>
      <c r="AO146" s="185"/>
      <c r="AP146" s="185"/>
      <c r="AQ146" s="185"/>
      <c r="AR146" s="185"/>
      <c r="AS146" s="185"/>
      <c r="AT146" s="189">
        <f>20000000+5400000</f>
        <v>25400000</v>
      </c>
      <c r="AU146" s="189">
        <v>24800000</v>
      </c>
      <c r="AV146" s="189">
        <v>24800000</v>
      </c>
      <c r="AW146" s="185"/>
      <c r="AX146" s="185"/>
      <c r="AY146" s="185"/>
      <c r="AZ146" s="185"/>
      <c r="BA146" s="185"/>
      <c r="BB146" s="185"/>
      <c r="BC146" s="185">
        <v>0</v>
      </c>
      <c r="BD146" s="185"/>
      <c r="BE146" s="185"/>
      <c r="BF146" s="192">
        <f t="shared" si="10"/>
        <v>25400000</v>
      </c>
      <c r="BG146" s="192">
        <f t="shared" si="11"/>
        <v>24800000</v>
      </c>
      <c r="BH146" s="192">
        <f t="shared" si="12"/>
        <v>24800000</v>
      </c>
      <c r="BI146" s="398" t="s">
        <v>5</v>
      </c>
    </row>
    <row r="147" spans="1:61" s="394" customFormat="1" ht="66.75" customHeight="1">
      <c r="A147" s="423">
        <v>314</v>
      </c>
      <c r="B147" s="392" t="s">
        <v>644</v>
      </c>
      <c r="C147" s="423">
        <v>1</v>
      </c>
      <c r="D147" s="392" t="s">
        <v>148</v>
      </c>
      <c r="E147" s="423">
        <v>22</v>
      </c>
      <c r="F147" s="392" t="s">
        <v>160</v>
      </c>
      <c r="G147" s="423">
        <v>2201</v>
      </c>
      <c r="H147" s="392" t="s">
        <v>298</v>
      </c>
      <c r="I147" s="423">
        <v>2201</v>
      </c>
      <c r="J147" s="392" t="s">
        <v>162</v>
      </c>
      <c r="K147" s="392" t="s">
        <v>668</v>
      </c>
      <c r="L147" s="423">
        <v>2201069</v>
      </c>
      <c r="M147" s="397" t="s">
        <v>671</v>
      </c>
      <c r="N147" s="423">
        <v>2201069</v>
      </c>
      <c r="O147" s="392" t="s">
        <v>671</v>
      </c>
      <c r="P147" s="191">
        <v>220106900</v>
      </c>
      <c r="Q147" s="397" t="s">
        <v>672</v>
      </c>
      <c r="R147" s="191">
        <v>220106900</v>
      </c>
      <c r="S147" s="397" t="s">
        <v>672</v>
      </c>
      <c r="T147" s="388" t="s">
        <v>157</v>
      </c>
      <c r="U147" s="388">
        <v>4</v>
      </c>
      <c r="V147" s="388">
        <v>2</v>
      </c>
      <c r="W147" s="388">
        <f t="shared" si="13"/>
        <v>6</v>
      </c>
      <c r="X147" s="388">
        <v>6</v>
      </c>
      <c r="Y147" s="389">
        <v>2020003630091</v>
      </c>
      <c r="Z147" s="188" t="s">
        <v>648</v>
      </c>
      <c r="AA147" s="546" t="s">
        <v>649</v>
      </c>
      <c r="AB147" s="185"/>
      <c r="AC147" s="185"/>
      <c r="AD147" s="185"/>
      <c r="AE147" s="185">
        <v>0</v>
      </c>
      <c r="AF147" s="185"/>
      <c r="AG147" s="185"/>
      <c r="AH147" s="185"/>
      <c r="AI147" s="185"/>
      <c r="AJ147" s="185"/>
      <c r="AK147" s="185"/>
      <c r="AL147" s="185"/>
      <c r="AM147" s="185"/>
      <c r="AN147" s="185">
        <f>5000000+237414950.55+202855277+161145820.23+137176170.32</f>
        <v>743592218.0999999</v>
      </c>
      <c r="AO147" s="185">
        <v>430364472.79000002</v>
      </c>
      <c r="AP147" s="185">
        <v>398346756.79000002</v>
      </c>
      <c r="AQ147" s="185"/>
      <c r="AR147" s="185"/>
      <c r="AS147" s="185"/>
      <c r="AT147" s="189">
        <f>20000000-16000000</f>
        <v>4000000</v>
      </c>
      <c r="AU147" s="189"/>
      <c r="AV147" s="189">
        <v>0</v>
      </c>
      <c r="AW147" s="185"/>
      <c r="AX147" s="185"/>
      <c r="AY147" s="185"/>
      <c r="AZ147" s="185"/>
      <c r="BA147" s="185"/>
      <c r="BB147" s="185"/>
      <c r="BC147" s="185">
        <v>0</v>
      </c>
      <c r="BD147" s="185"/>
      <c r="BE147" s="185"/>
      <c r="BF147" s="192">
        <f t="shared" si="10"/>
        <v>747592218.0999999</v>
      </c>
      <c r="BG147" s="192">
        <f t="shared" si="11"/>
        <v>430364472.79000002</v>
      </c>
      <c r="BH147" s="192">
        <f t="shared" si="12"/>
        <v>398346756.79000002</v>
      </c>
      <c r="BI147" s="398" t="s">
        <v>5</v>
      </c>
    </row>
    <row r="148" spans="1:61" s="394" customFormat="1" ht="66.75" customHeight="1">
      <c r="A148" s="423">
        <v>314</v>
      </c>
      <c r="B148" s="392" t="s">
        <v>644</v>
      </c>
      <c r="C148" s="423">
        <v>1</v>
      </c>
      <c r="D148" s="392" t="s">
        <v>148</v>
      </c>
      <c r="E148" s="423">
        <v>22</v>
      </c>
      <c r="F148" s="392" t="s">
        <v>160</v>
      </c>
      <c r="G148" s="423">
        <v>2201</v>
      </c>
      <c r="H148" s="392" t="s">
        <v>298</v>
      </c>
      <c r="I148" s="423">
        <v>2201</v>
      </c>
      <c r="J148" s="392" t="s">
        <v>162</v>
      </c>
      <c r="K148" s="392" t="s">
        <v>673</v>
      </c>
      <c r="L148" s="423">
        <v>2201018</v>
      </c>
      <c r="M148" s="397" t="s">
        <v>674</v>
      </c>
      <c r="N148" s="423">
        <v>2201018</v>
      </c>
      <c r="O148" s="392" t="s">
        <v>674</v>
      </c>
      <c r="P148" s="191">
        <v>220101802</v>
      </c>
      <c r="Q148" s="397" t="s">
        <v>675</v>
      </c>
      <c r="R148" s="191">
        <v>220101802</v>
      </c>
      <c r="S148" s="397" t="s">
        <v>675</v>
      </c>
      <c r="T148" s="388" t="s">
        <v>69</v>
      </c>
      <c r="U148" s="388">
        <v>1</v>
      </c>
      <c r="V148" s="388"/>
      <c r="W148" s="388">
        <f t="shared" si="13"/>
        <v>1</v>
      </c>
      <c r="X148" s="388">
        <v>1</v>
      </c>
      <c r="Y148" s="389">
        <v>2020003630092</v>
      </c>
      <c r="Z148" s="393" t="s">
        <v>676</v>
      </c>
      <c r="AA148" s="546" t="s">
        <v>677</v>
      </c>
      <c r="AB148" s="185"/>
      <c r="AC148" s="185"/>
      <c r="AD148" s="185"/>
      <c r="AE148" s="185">
        <v>0</v>
      </c>
      <c r="AF148" s="185"/>
      <c r="AG148" s="185"/>
      <c r="AH148" s="185"/>
      <c r="AI148" s="185"/>
      <c r="AJ148" s="185"/>
      <c r="AK148" s="185"/>
      <c r="AL148" s="185"/>
      <c r="AM148" s="185"/>
      <c r="AN148" s="185">
        <v>0</v>
      </c>
      <c r="AO148" s="185"/>
      <c r="AP148" s="185"/>
      <c r="AQ148" s="185"/>
      <c r="AR148" s="185"/>
      <c r="AS148" s="185"/>
      <c r="AT148" s="189">
        <v>5000000</v>
      </c>
      <c r="AU148" s="189">
        <v>5000000</v>
      </c>
      <c r="AV148" s="189">
        <v>5000000</v>
      </c>
      <c r="AW148" s="185"/>
      <c r="AX148" s="185"/>
      <c r="AY148" s="185"/>
      <c r="AZ148" s="185"/>
      <c r="BA148" s="185"/>
      <c r="BB148" s="185"/>
      <c r="BC148" s="185">
        <v>0</v>
      </c>
      <c r="BD148" s="185"/>
      <c r="BE148" s="185"/>
      <c r="BF148" s="192">
        <f t="shared" si="10"/>
        <v>5000000</v>
      </c>
      <c r="BG148" s="192">
        <f t="shared" si="11"/>
        <v>5000000</v>
      </c>
      <c r="BH148" s="192">
        <f t="shared" si="12"/>
        <v>5000000</v>
      </c>
      <c r="BI148" s="398" t="s">
        <v>5</v>
      </c>
    </row>
    <row r="149" spans="1:61" s="394" customFormat="1" ht="66.75" customHeight="1">
      <c r="A149" s="423">
        <v>314</v>
      </c>
      <c r="B149" s="392" t="s">
        <v>644</v>
      </c>
      <c r="C149" s="423">
        <v>1</v>
      </c>
      <c r="D149" s="392" t="s">
        <v>148</v>
      </c>
      <c r="E149" s="423">
        <v>22</v>
      </c>
      <c r="F149" s="392" t="s">
        <v>160</v>
      </c>
      <c r="G149" s="423">
        <v>2201</v>
      </c>
      <c r="H149" s="392" t="s">
        <v>298</v>
      </c>
      <c r="I149" s="423">
        <v>2201</v>
      </c>
      <c r="J149" s="392" t="s">
        <v>162</v>
      </c>
      <c r="K149" s="392" t="s">
        <v>678</v>
      </c>
      <c r="L149" s="423">
        <v>2201037</v>
      </c>
      <c r="M149" s="397" t="s">
        <v>679</v>
      </c>
      <c r="N149" s="423">
        <v>2201037</v>
      </c>
      <c r="O149" s="392" t="s">
        <v>679</v>
      </c>
      <c r="P149" s="295">
        <v>220103700</v>
      </c>
      <c r="Q149" s="397" t="s">
        <v>680</v>
      </c>
      <c r="R149" s="295">
        <v>220103700</v>
      </c>
      <c r="S149" s="397" t="s">
        <v>680</v>
      </c>
      <c r="T149" s="388" t="s">
        <v>69</v>
      </c>
      <c r="U149" s="388">
        <v>54</v>
      </c>
      <c r="V149" s="388"/>
      <c r="W149" s="388">
        <f t="shared" si="13"/>
        <v>54</v>
      </c>
      <c r="X149" s="388">
        <v>54</v>
      </c>
      <c r="Y149" s="389">
        <v>2020003630092</v>
      </c>
      <c r="Z149" s="393" t="s">
        <v>676</v>
      </c>
      <c r="AA149" s="546" t="s">
        <v>677</v>
      </c>
      <c r="AB149" s="185"/>
      <c r="AC149" s="185"/>
      <c r="AD149" s="185"/>
      <c r="AE149" s="185">
        <v>0</v>
      </c>
      <c r="AF149" s="185"/>
      <c r="AG149" s="185"/>
      <c r="AH149" s="185"/>
      <c r="AI149" s="185"/>
      <c r="AJ149" s="185"/>
      <c r="AK149" s="185"/>
      <c r="AL149" s="185"/>
      <c r="AM149" s="185"/>
      <c r="AN149" s="185">
        <v>0</v>
      </c>
      <c r="AO149" s="185"/>
      <c r="AP149" s="185"/>
      <c r="AQ149" s="185"/>
      <c r="AR149" s="185"/>
      <c r="AS149" s="185"/>
      <c r="AT149" s="189">
        <f>10000000+9000000</f>
        <v>19000000</v>
      </c>
      <c r="AU149" s="189">
        <v>18055000</v>
      </c>
      <c r="AV149" s="189">
        <v>18055000</v>
      </c>
      <c r="AW149" s="185"/>
      <c r="AX149" s="185"/>
      <c r="AY149" s="185"/>
      <c r="AZ149" s="185"/>
      <c r="BA149" s="185"/>
      <c r="BB149" s="185"/>
      <c r="BC149" s="185">
        <v>0</v>
      </c>
      <c r="BD149" s="185"/>
      <c r="BE149" s="185"/>
      <c r="BF149" s="192">
        <f t="shared" si="10"/>
        <v>19000000</v>
      </c>
      <c r="BG149" s="192">
        <f t="shared" si="11"/>
        <v>18055000</v>
      </c>
      <c r="BH149" s="192">
        <f t="shared" si="12"/>
        <v>18055000</v>
      </c>
      <c r="BI149" s="398" t="s">
        <v>5</v>
      </c>
    </row>
    <row r="150" spans="1:61" s="394" customFormat="1" ht="66.75" customHeight="1">
      <c r="A150" s="423">
        <v>314</v>
      </c>
      <c r="B150" s="392" t="s">
        <v>644</v>
      </c>
      <c r="C150" s="423">
        <v>1</v>
      </c>
      <c r="D150" s="392" t="s">
        <v>148</v>
      </c>
      <c r="E150" s="423">
        <v>22</v>
      </c>
      <c r="F150" s="392" t="s">
        <v>160</v>
      </c>
      <c r="G150" s="423">
        <v>2201</v>
      </c>
      <c r="H150" s="392" t="s">
        <v>298</v>
      </c>
      <c r="I150" s="423">
        <v>2201</v>
      </c>
      <c r="J150" s="392" t="s">
        <v>162</v>
      </c>
      <c r="K150" s="392" t="s">
        <v>681</v>
      </c>
      <c r="L150" s="423">
        <v>2201007</v>
      </c>
      <c r="M150" s="397" t="s">
        <v>682</v>
      </c>
      <c r="N150" s="423">
        <v>2201073</v>
      </c>
      <c r="O150" s="392" t="s">
        <v>682</v>
      </c>
      <c r="P150" s="423">
        <v>220100700</v>
      </c>
      <c r="Q150" s="397" t="s">
        <v>683</v>
      </c>
      <c r="R150" s="191">
        <v>220107300</v>
      </c>
      <c r="S150" s="397" t="s">
        <v>683</v>
      </c>
      <c r="T150" s="388" t="s">
        <v>157</v>
      </c>
      <c r="U150" s="388">
        <v>7973</v>
      </c>
      <c r="V150" s="388"/>
      <c r="W150" s="388">
        <f t="shared" ref="W150:W181" si="14">U150+V150</f>
        <v>7973</v>
      </c>
      <c r="X150" s="388">
        <v>7973</v>
      </c>
      <c r="Y150" s="389">
        <v>2020003630093</v>
      </c>
      <c r="Z150" s="395" t="s">
        <v>684</v>
      </c>
      <c r="AA150" s="549" t="s">
        <v>685</v>
      </c>
      <c r="AB150" s="185"/>
      <c r="AC150" s="185"/>
      <c r="AD150" s="185"/>
      <c r="AE150" s="185">
        <v>0</v>
      </c>
      <c r="AF150" s="185"/>
      <c r="AG150" s="185"/>
      <c r="AH150" s="185"/>
      <c r="AI150" s="185"/>
      <c r="AJ150" s="185"/>
      <c r="AK150" s="185"/>
      <c r="AL150" s="185"/>
      <c r="AM150" s="185"/>
      <c r="AN150" s="185">
        <v>0</v>
      </c>
      <c r="AO150" s="185"/>
      <c r="AP150" s="185"/>
      <c r="AQ150" s="185"/>
      <c r="AR150" s="185"/>
      <c r="AS150" s="185"/>
      <c r="AT150" s="189">
        <f>20000000-13000000</f>
        <v>7000000</v>
      </c>
      <c r="AU150" s="189">
        <v>7000000</v>
      </c>
      <c r="AV150" s="189">
        <v>7000000</v>
      </c>
      <c r="AW150" s="185"/>
      <c r="AX150" s="185"/>
      <c r="AY150" s="185"/>
      <c r="AZ150" s="185"/>
      <c r="BA150" s="185"/>
      <c r="BB150" s="185"/>
      <c r="BC150" s="185">
        <v>0</v>
      </c>
      <c r="BD150" s="185"/>
      <c r="BE150" s="185"/>
      <c r="BF150" s="192">
        <f t="shared" si="10"/>
        <v>7000000</v>
      </c>
      <c r="BG150" s="192">
        <f t="shared" si="11"/>
        <v>7000000</v>
      </c>
      <c r="BH150" s="192">
        <f t="shared" si="12"/>
        <v>7000000</v>
      </c>
      <c r="BI150" s="398" t="s">
        <v>5</v>
      </c>
    </row>
    <row r="151" spans="1:61" s="394" customFormat="1" ht="66.75" customHeight="1">
      <c r="A151" s="423">
        <v>314</v>
      </c>
      <c r="B151" s="392" t="s">
        <v>644</v>
      </c>
      <c r="C151" s="423">
        <v>1</v>
      </c>
      <c r="D151" s="392" t="s">
        <v>148</v>
      </c>
      <c r="E151" s="423">
        <v>22</v>
      </c>
      <c r="F151" s="392" t="s">
        <v>160</v>
      </c>
      <c r="G151" s="423">
        <v>2201</v>
      </c>
      <c r="H151" s="392" t="s">
        <v>298</v>
      </c>
      <c r="I151" s="423">
        <v>2201</v>
      </c>
      <c r="J151" s="392" t="s">
        <v>162</v>
      </c>
      <c r="K151" s="392" t="s">
        <v>686</v>
      </c>
      <c r="L151" s="423">
        <v>2201068</v>
      </c>
      <c r="M151" s="397" t="s">
        <v>300</v>
      </c>
      <c r="N151" s="423">
        <v>2201068</v>
      </c>
      <c r="O151" s="392" t="s">
        <v>300</v>
      </c>
      <c r="P151" s="295">
        <v>220106800</v>
      </c>
      <c r="Q151" s="397" t="s">
        <v>301</v>
      </c>
      <c r="R151" s="295">
        <v>220106800</v>
      </c>
      <c r="S151" s="397" t="s">
        <v>301</v>
      </c>
      <c r="T151" s="388" t="s">
        <v>157</v>
      </c>
      <c r="U151" s="423">
        <v>72</v>
      </c>
      <c r="V151" s="423"/>
      <c r="W151" s="388">
        <f t="shared" si="14"/>
        <v>72</v>
      </c>
      <c r="X151" s="388">
        <v>85</v>
      </c>
      <c r="Y151" s="389">
        <v>2020003630093</v>
      </c>
      <c r="Z151" s="395" t="s">
        <v>684</v>
      </c>
      <c r="AA151" s="549" t="s">
        <v>685</v>
      </c>
      <c r="AB151" s="185"/>
      <c r="AC151" s="185"/>
      <c r="AD151" s="185"/>
      <c r="AE151" s="185">
        <v>0</v>
      </c>
      <c r="AF151" s="185"/>
      <c r="AG151" s="185"/>
      <c r="AH151" s="185"/>
      <c r="AI151" s="185"/>
      <c r="AJ151" s="185"/>
      <c r="AK151" s="185"/>
      <c r="AL151" s="185"/>
      <c r="AM151" s="185"/>
      <c r="AN151" s="185">
        <v>0</v>
      </c>
      <c r="AO151" s="185"/>
      <c r="AP151" s="185"/>
      <c r="AQ151" s="185"/>
      <c r="AR151" s="185"/>
      <c r="AS151" s="185"/>
      <c r="AT151" s="189">
        <f>18000000</f>
        <v>18000000</v>
      </c>
      <c r="AU151" s="189">
        <v>17972800</v>
      </c>
      <c r="AV151" s="189">
        <v>17972800</v>
      </c>
      <c r="AW151" s="185"/>
      <c r="AX151" s="185"/>
      <c r="AY151" s="185"/>
      <c r="AZ151" s="185"/>
      <c r="BA151" s="185"/>
      <c r="BB151" s="185"/>
      <c r="BC151" s="185">
        <v>0</v>
      </c>
      <c r="BD151" s="185"/>
      <c r="BE151" s="185"/>
      <c r="BF151" s="192">
        <f t="shared" si="10"/>
        <v>18000000</v>
      </c>
      <c r="BG151" s="192">
        <f t="shared" si="11"/>
        <v>17972800</v>
      </c>
      <c r="BH151" s="192">
        <f t="shared" si="12"/>
        <v>17972800</v>
      </c>
      <c r="BI151" s="398" t="s">
        <v>5</v>
      </c>
    </row>
    <row r="152" spans="1:61" s="394" customFormat="1" ht="66.75" customHeight="1">
      <c r="A152" s="423">
        <v>314</v>
      </c>
      <c r="B152" s="392" t="s">
        <v>644</v>
      </c>
      <c r="C152" s="423">
        <v>1</v>
      </c>
      <c r="D152" s="392" t="s">
        <v>148</v>
      </c>
      <c r="E152" s="423">
        <v>22</v>
      </c>
      <c r="F152" s="392" t="s">
        <v>160</v>
      </c>
      <c r="G152" s="423">
        <v>2201</v>
      </c>
      <c r="H152" s="392" t="s">
        <v>298</v>
      </c>
      <c r="I152" s="423">
        <v>2201</v>
      </c>
      <c r="J152" s="392" t="s">
        <v>162</v>
      </c>
      <c r="K152" s="392" t="s">
        <v>668</v>
      </c>
      <c r="L152" s="423">
        <v>2201026</v>
      </c>
      <c r="M152" s="397" t="s">
        <v>687</v>
      </c>
      <c r="N152" s="423">
        <v>2201026</v>
      </c>
      <c r="O152" s="392" t="s">
        <v>687</v>
      </c>
      <c r="P152" s="295">
        <v>220102600</v>
      </c>
      <c r="Q152" s="397" t="s">
        <v>688</v>
      </c>
      <c r="R152" s="295">
        <v>220102600</v>
      </c>
      <c r="S152" s="397" t="s">
        <v>688</v>
      </c>
      <c r="T152" s="388" t="s">
        <v>157</v>
      </c>
      <c r="U152" s="388">
        <v>10</v>
      </c>
      <c r="V152" s="388"/>
      <c r="W152" s="388">
        <f t="shared" si="14"/>
        <v>10</v>
      </c>
      <c r="X152" s="388">
        <v>9</v>
      </c>
      <c r="Y152" s="389">
        <v>2020003630093</v>
      </c>
      <c r="Z152" s="395" t="s">
        <v>684</v>
      </c>
      <c r="AA152" s="549" t="s">
        <v>685</v>
      </c>
      <c r="AB152" s="185"/>
      <c r="AC152" s="185"/>
      <c r="AD152" s="185"/>
      <c r="AE152" s="185">
        <v>0</v>
      </c>
      <c r="AF152" s="185"/>
      <c r="AG152" s="185"/>
      <c r="AH152" s="185"/>
      <c r="AI152" s="185"/>
      <c r="AJ152" s="185"/>
      <c r="AK152" s="185"/>
      <c r="AL152" s="185"/>
      <c r="AM152" s="185"/>
      <c r="AN152" s="185">
        <f>5000000+714862+505627</f>
        <v>6220489</v>
      </c>
      <c r="AO152" s="185">
        <v>6220489</v>
      </c>
      <c r="AP152" s="185">
        <v>6220489</v>
      </c>
      <c r="AQ152" s="185"/>
      <c r="AR152" s="185"/>
      <c r="AS152" s="185"/>
      <c r="AT152" s="189">
        <f>35000000-14000000+13000000+300000000</f>
        <v>334000000</v>
      </c>
      <c r="AU152" s="189">
        <v>28085225</v>
      </c>
      <c r="AV152" s="189">
        <v>28085225</v>
      </c>
      <c r="AW152" s="185"/>
      <c r="AX152" s="185"/>
      <c r="AY152" s="185"/>
      <c r="AZ152" s="185"/>
      <c r="BA152" s="185"/>
      <c r="BB152" s="185"/>
      <c r="BC152" s="185">
        <v>0</v>
      </c>
      <c r="BD152" s="185"/>
      <c r="BE152" s="185"/>
      <c r="BF152" s="192">
        <f t="shared" si="10"/>
        <v>340220489</v>
      </c>
      <c r="BG152" s="192">
        <f t="shared" si="11"/>
        <v>34305714</v>
      </c>
      <c r="BH152" s="192">
        <f t="shared" si="12"/>
        <v>34305714</v>
      </c>
      <c r="BI152" s="398" t="s">
        <v>5</v>
      </c>
    </row>
    <row r="153" spans="1:61" s="394" customFormat="1" ht="66.75" customHeight="1">
      <c r="A153" s="423">
        <v>314</v>
      </c>
      <c r="B153" s="392" t="s">
        <v>644</v>
      </c>
      <c r="C153" s="423">
        <v>1</v>
      </c>
      <c r="D153" s="392" t="s">
        <v>148</v>
      </c>
      <c r="E153" s="423">
        <v>22</v>
      </c>
      <c r="F153" s="392" t="s">
        <v>160</v>
      </c>
      <c r="G153" s="423">
        <v>2201</v>
      </c>
      <c r="H153" s="392" t="s">
        <v>298</v>
      </c>
      <c r="I153" s="423">
        <v>2201</v>
      </c>
      <c r="J153" s="392" t="s">
        <v>162</v>
      </c>
      <c r="K153" s="392" t="s">
        <v>681</v>
      </c>
      <c r="L153" s="423">
        <v>2201009</v>
      </c>
      <c r="M153" s="397" t="s">
        <v>689</v>
      </c>
      <c r="N153" s="423">
        <v>2201074</v>
      </c>
      <c r="O153" s="392" t="s">
        <v>689</v>
      </c>
      <c r="P153" s="423">
        <v>220100900</v>
      </c>
      <c r="Q153" s="397" t="s">
        <v>690</v>
      </c>
      <c r="R153" s="191">
        <v>220107400</v>
      </c>
      <c r="S153" s="397" t="s">
        <v>691</v>
      </c>
      <c r="T153" s="388" t="s">
        <v>157</v>
      </c>
      <c r="U153" s="388">
        <v>604</v>
      </c>
      <c r="V153" s="388"/>
      <c r="W153" s="388">
        <f t="shared" si="14"/>
        <v>604</v>
      </c>
      <c r="X153" s="388">
        <v>604</v>
      </c>
      <c r="Y153" s="389">
        <v>2020003630093</v>
      </c>
      <c r="Z153" s="395" t="s">
        <v>684</v>
      </c>
      <c r="AA153" s="549" t="s">
        <v>685</v>
      </c>
      <c r="AB153" s="185"/>
      <c r="AC153" s="185"/>
      <c r="AD153" s="185"/>
      <c r="AE153" s="185">
        <v>0</v>
      </c>
      <c r="AF153" s="185"/>
      <c r="AG153" s="185"/>
      <c r="AH153" s="185"/>
      <c r="AI153" s="185"/>
      <c r="AJ153" s="185"/>
      <c r="AK153" s="185"/>
      <c r="AL153" s="185"/>
      <c r="AM153" s="185"/>
      <c r="AN153" s="185">
        <v>0</v>
      </c>
      <c r="AO153" s="185"/>
      <c r="AP153" s="185"/>
      <c r="AQ153" s="185"/>
      <c r="AR153" s="185"/>
      <c r="AS153" s="185"/>
      <c r="AT153" s="189">
        <v>20000000</v>
      </c>
      <c r="AU153" s="189">
        <v>19850000</v>
      </c>
      <c r="AV153" s="189">
        <v>0</v>
      </c>
      <c r="AW153" s="185"/>
      <c r="AX153" s="185"/>
      <c r="AY153" s="185"/>
      <c r="AZ153" s="185"/>
      <c r="BA153" s="185"/>
      <c r="BB153" s="185"/>
      <c r="BC153" s="185">
        <v>0</v>
      </c>
      <c r="BD153" s="185"/>
      <c r="BE153" s="185"/>
      <c r="BF153" s="192">
        <f t="shared" si="10"/>
        <v>20000000</v>
      </c>
      <c r="BG153" s="192">
        <f t="shared" si="11"/>
        <v>19850000</v>
      </c>
      <c r="BH153" s="192">
        <f t="shared" si="12"/>
        <v>0</v>
      </c>
      <c r="BI153" s="398" t="s">
        <v>5</v>
      </c>
    </row>
    <row r="154" spans="1:61" s="394" customFormat="1" ht="66.75" customHeight="1">
      <c r="A154" s="423">
        <v>314</v>
      </c>
      <c r="B154" s="392" t="s">
        <v>644</v>
      </c>
      <c r="C154" s="423">
        <v>1</v>
      </c>
      <c r="D154" s="392" t="s">
        <v>148</v>
      </c>
      <c r="E154" s="423">
        <v>22</v>
      </c>
      <c r="F154" s="392" t="s">
        <v>160</v>
      </c>
      <c r="G154" s="423">
        <v>2201</v>
      </c>
      <c r="H154" s="392" t="s">
        <v>298</v>
      </c>
      <c r="I154" s="423">
        <v>2201</v>
      </c>
      <c r="J154" s="392" t="s">
        <v>162</v>
      </c>
      <c r="K154" s="392" t="s">
        <v>681</v>
      </c>
      <c r="L154" s="423">
        <v>2201010</v>
      </c>
      <c r="M154" s="397" t="s">
        <v>692</v>
      </c>
      <c r="N154" s="423">
        <v>2201074</v>
      </c>
      <c r="O154" s="392" t="s">
        <v>693</v>
      </c>
      <c r="P154" s="423">
        <v>220101000</v>
      </c>
      <c r="Q154" s="397" t="s">
        <v>694</v>
      </c>
      <c r="R154" s="191">
        <v>220107400</v>
      </c>
      <c r="S154" s="397" t="s">
        <v>691</v>
      </c>
      <c r="T154" s="388" t="s">
        <v>69</v>
      </c>
      <c r="U154" s="388">
        <v>94</v>
      </c>
      <c r="V154" s="388"/>
      <c r="W154" s="388">
        <f t="shared" si="14"/>
        <v>94</v>
      </c>
      <c r="X154" s="388">
        <v>94</v>
      </c>
      <c r="Y154" s="389">
        <v>2020003630093</v>
      </c>
      <c r="Z154" s="395" t="s">
        <v>684</v>
      </c>
      <c r="AA154" s="549" t="s">
        <v>685</v>
      </c>
      <c r="AB154" s="185"/>
      <c r="AC154" s="185"/>
      <c r="AD154" s="185"/>
      <c r="AE154" s="185">
        <v>0</v>
      </c>
      <c r="AF154" s="185"/>
      <c r="AG154" s="185"/>
      <c r="AH154" s="185"/>
      <c r="AI154" s="185"/>
      <c r="AJ154" s="185"/>
      <c r="AK154" s="185"/>
      <c r="AL154" s="185"/>
      <c r="AM154" s="185"/>
      <c r="AN154" s="185">
        <v>0</v>
      </c>
      <c r="AO154" s="185"/>
      <c r="AP154" s="185"/>
      <c r="AQ154" s="185"/>
      <c r="AR154" s="185"/>
      <c r="AS154" s="185"/>
      <c r="AT154" s="189">
        <v>5000000</v>
      </c>
      <c r="AU154" s="189">
        <v>5000000</v>
      </c>
      <c r="AV154" s="189">
        <v>0</v>
      </c>
      <c r="AW154" s="185"/>
      <c r="AX154" s="185"/>
      <c r="AY154" s="185"/>
      <c r="AZ154" s="185"/>
      <c r="BA154" s="185"/>
      <c r="BB154" s="185"/>
      <c r="BC154" s="185">
        <v>0</v>
      </c>
      <c r="BD154" s="185"/>
      <c r="BE154" s="185"/>
      <c r="BF154" s="192">
        <f t="shared" si="10"/>
        <v>5000000</v>
      </c>
      <c r="BG154" s="192">
        <f t="shared" si="11"/>
        <v>5000000</v>
      </c>
      <c r="BH154" s="192">
        <f t="shared" si="12"/>
        <v>0</v>
      </c>
      <c r="BI154" s="398" t="s">
        <v>5</v>
      </c>
    </row>
    <row r="155" spans="1:61" s="394" customFormat="1" ht="66.75" customHeight="1">
      <c r="A155" s="423">
        <v>314</v>
      </c>
      <c r="B155" s="392" t="s">
        <v>644</v>
      </c>
      <c r="C155" s="423">
        <v>1</v>
      </c>
      <c r="D155" s="392" t="s">
        <v>148</v>
      </c>
      <c r="E155" s="423">
        <v>22</v>
      </c>
      <c r="F155" s="392" t="s">
        <v>160</v>
      </c>
      <c r="G155" s="423">
        <v>2201</v>
      </c>
      <c r="H155" s="392" t="s">
        <v>298</v>
      </c>
      <c r="I155" s="423">
        <v>2201</v>
      </c>
      <c r="J155" s="392" t="s">
        <v>162</v>
      </c>
      <c r="K155" s="392" t="s">
        <v>695</v>
      </c>
      <c r="L155" s="423">
        <v>2201035</v>
      </c>
      <c r="M155" s="397" t="s">
        <v>696</v>
      </c>
      <c r="N155" s="423">
        <v>2201035</v>
      </c>
      <c r="O155" s="392" t="s">
        <v>696</v>
      </c>
      <c r="P155" s="191">
        <v>220103500</v>
      </c>
      <c r="Q155" s="397" t="s">
        <v>697</v>
      </c>
      <c r="R155" s="191">
        <v>220103500</v>
      </c>
      <c r="S155" s="397" t="s">
        <v>697</v>
      </c>
      <c r="T155" s="388" t="s">
        <v>157</v>
      </c>
      <c r="U155" s="388">
        <v>8</v>
      </c>
      <c r="V155" s="388"/>
      <c r="W155" s="388">
        <f t="shared" si="14"/>
        <v>8</v>
      </c>
      <c r="X155" s="388">
        <v>8</v>
      </c>
      <c r="Y155" s="389">
        <v>2020003630093</v>
      </c>
      <c r="Z155" s="395" t="s">
        <v>684</v>
      </c>
      <c r="AA155" s="549" t="s">
        <v>685</v>
      </c>
      <c r="AB155" s="185"/>
      <c r="AC155" s="185"/>
      <c r="AD155" s="185"/>
      <c r="AE155" s="185">
        <v>0</v>
      </c>
      <c r="AF155" s="185"/>
      <c r="AG155" s="185"/>
      <c r="AH155" s="185"/>
      <c r="AI155" s="185"/>
      <c r="AJ155" s="185"/>
      <c r="AK155" s="185"/>
      <c r="AL155" s="185"/>
      <c r="AM155" s="185"/>
      <c r="AN155" s="185">
        <v>0</v>
      </c>
      <c r="AO155" s="185"/>
      <c r="AP155" s="185"/>
      <c r="AQ155" s="185"/>
      <c r="AR155" s="185"/>
      <c r="AS155" s="185"/>
      <c r="AT155" s="189">
        <v>10000000</v>
      </c>
      <c r="AU155" s="189">
        <v>10000000</v>
      </c>
      <c r="AV155" s="189">
        <v>10000000</v>
      </c>
      <c r="AW155" s="185"/>
      <c r="AX155" s="185"/>
      <c r="AY155" s="185"/>
      <c r="AZ155" s="185"/>
      <c r="BA155" s="185"/>
      <c r="BB155" s="185"/>
      <c r="BC155" s="185">
        <v>0</v>
      </c>
      <c r="BD155" s="185"/>
      <c r="BE155" s="185"/>
      <c r="BF155" s="192">
        <f t="shared" si="10"/>
        <v>10000000</v>
      </c>
      <c r="BG155" s="192">
        <f t="shared" si="11"/>
        <v>10000000</v>
      </c>
      <c r="BH155" s="192">
        <f t="shared" si="12"/>
        <v>10000000</v>
      </c>
      <c r="BI155" s="398" t="s">
        <v>5</v>
      </c>
    </row>
    <row r="156" spans="1:61" s="394" customFormat="1" ht="66.75" customHeight="1">
      <c r="A156" s="423">
        <v>314</v>
      </c>
      <c r="B156" s="392" t="s">
        <v>644</v>
      </c>
      <c r="C156" s="423">
        <v>1</v>
      </c>
      <c r="D156" s="392" t="s">
        <v>148</v>
      </c>
      <c r="E156" s="423">
        <v>22</v>
      </c>
      <c r="F156" s="392" t="s">
        <v>160</v>
      </c>
      <c r="G156" s="423">
        <v>2201</v>
      </c>
      <c r="H156" s="392" t="s">
        <v>298</v>
      </c>
      <c r="I156" s="423">
        <v>2201</v>
      </c>
      <c r="J156" s="392" t="s">
        <v>162</v>
      </c>
      <c r="K156" s="392" t="s">
        <v>659</v>
      </c>
      <c r="L156" s="423">
        <v>2201046</v>
      </c>
      <c r="M156" s="397" t="s">
        <v>698</v>
      </c>
      <c r="N156" s="423">
        <v>2201046</v>
      </c>
      <c r="O156" s="392" t="s">
        <v>698</v>
      </c>
      <c r="P156" s="295">
        <v>220104602</v>
      </c>
      <c r="Q156" s="397" t="s">
        <v>699</v>
      </c>
      <c r="R156" s="295">
        <v>220104602</v>
      </c>
      <c r="S156" s="397" t="s">
        <v>699</v>
      </c>
      <c r="T156" s="388" t="s">
        <v>157</v>
      </c>
      <c r="U156" s="388">
        <v>18</v>
      </c>
      <c r="V156" s="388"/>
      <c r="W156" s="388">
        <f t="shared" si="14"/>
        <v>18</v>
      </c>
      <c r="X156" s="388">
        <v>15</v>
      </c>
      <c r="Y156" s="389">
        <v>2020003630093</v>
      </c>
      <c r="Z156" s="395" t="s">
        <v>684</v>
      </c>
      <c r="AA156" s="549" t="s">
        <v>685</v>
      </c>
      <c r="AB156" s="185"/>
      <c r="AC156" s="185"/>
      <c r="AD156" s="185"/>
      <c r="AE156" s="192">
        <v>0</v>
      </c>
      <c r="AF156" s="192"/>
      <c r="AG156" s="192"/>
      <c r="AH156" s="185"/>
      <c r="AI156" s="185"/>
      <c r="AJ156" s="185"/>
      <c r="AK156" s="185"/>
      <c r="AL156" s="185"/>
      <c r="AM156" s="185"/>
      <c r="AN156" s="185">
        <v>0</v>
      </c>
      <c r="AO156" s="185"/>
      <c r="AP156" s="185"/>
      <c r="AQ156" s="185"/>
      <c r="AR156" s="185"/>
      <c r="AS156" s="185"/>
      <c r="AT156" s="189">
        <v>19000000</v>
      </c>
      <c r="AU156" s="189">
        <v>18055000</v>
      </c>
      <c r="AV156" s="189">
        <v>18055000</v>
      </c>
      <c r="AW156" s="185"/>
      <c r="AX156" s="185"/>
      <c r="AY156" s="185"/>
      <c r="AZ156" s="185"/>
      <c r="BA156" s="185"/>
      <c r="BB156" s="185"/>
      <c r="BC156" s="185">
        <v>0</v>
      </c>
      <c r="BD156" s="185"/>
      <c r="BE156" s="185"/>
      <c r="BF156" s="192">
        <f t="shared" si="10"/>
        <v>19000000</v>
      </c>
      <c r="BG156" s="192">
        <f t="shared" si="11"/>
        <v>18055000</v>
      </c>
      <c r="BH156" s="192">
        <f t="shared" si="12"/>
        <v>18055000</v>
      </c>
      <c r="BI156" s="398" t="s">
        <v>5</v>
      </c>
    </row>
    <row r="157" spans="1:61" s="394" customFormat="1" ht="66.75" customHeight="1">
      <c r="A157" s="423">
        <v>314</v>
      </c>
      <c r="B157" s="392" t="s">
        <v>644</v>
      </c>
      <c r="C157" s="423">
        <v>1</v>
      </c>
      <c r="D157" s="392" t="s">
        <v>148</v>
      </c>
      <c r="E157" s="423">
        <v>22</v>
      </c>
      <c r="F157" s="392" t="s">
        <v>160</v>
      </c>
      <c r="G157" s="423">
        <v>2201</v>
      </c>
      <c r="H157" s="392" t="s">
        <v>298</v>
      </c>
      <c r="I157" s="423">
        <v>2201</v>
      </c>
      <c r="J157" s="392" t="s">
        <v>162</v>
      </c>
      <c r="K157" s="392" t="s">
        <v>659</v>
      </c>
      <c r="L157" s="423">
        <v>2201054</v>
      </c>
      <c r="M157" s="397" t="s">
        <v>700</v>
      </c>
      <c r="N157" s="423">
        <v>2201054</v>
      </c>
      <c r="O157" s="392" t="s">
        <v>700</v>
      </c>
      <c r="P157" s="191">
        <v>220105400</v>
      </c>
      <c r="Q157" s="397" t="s">
        <v>701</v>
      </c>
      <c r="R157" s="191">
        <v>220105400</v>
      </c>
      <c r="S157" s="397" t="s">
        <v>701</v>
      </c>
      <c r="T157" s="388" t="s">
        <v>69</v>
      </c>
      <c r="U157" s="388">
        <v>11</v>
      </c>
      <c r="V157" s="388"/>
      <c r="W157" s="388">
        <f t="shared" si="14"/>
        <v>11</v>
      </c>
      <c r="X157" s="388">
        <v>11</v>
      </c>
      <c r="Y157" s="389">
        <v>2020003630093</v>
      </c>
      <c r="Z157" s="395" t="s">
        <v>684</v>
      </c>
      <c r="AA157" s="549" t="s">
        <v>685</v>
      </c>
      <c r="AB157" s="185"/>
      <c r="AC157" s="185"/>
      <c r="AD157" s="185"/>
      <c r="AE157" s="185">
        <v>0</v>
      </c>
      <c r="AF157" s="185"/>
      <c r="AG157" s="185"/>
      <c r="AH157" s="185"/>
      <c r="AI157" s="185"/>
      <c r="AJ157" s="185"/>
      <c r="AK157" s="185"/>
      <c r="AL157" s="185"/>
      <c r="AM157" s="185"/>
      <c r="AN157" s="185">
        <v>0</v>
      </c>
      <c r="AO157" s="185"/>
      <c r="AP157" s="185"/>
      <c r="AQ157" s="185"/>
      <c r="AR157" s="185"/>
      <c r="AS157" s="185"/>
      <c r="AT157" s="189">
        <f>10000000+1040000+9093334+10373334</f>
        <v>30506668</v>
      </c>
      <c r="AU157" s="189">
        <v>17986667</v>
      </c>
      <c r="AV157" s="189">
        <v>17986667</v>
      </c>
      <c r="AW157" s="185"/>
      <c r="AX157" s="185"/>
      <c r="AY157" s="185"/>
      <c r="AZ157" s="185"/>
      <c r="BA157" s="185"/>
      <c r="BB157" s="185"/>
      <c r="BC157" s="185">
        <v>0</v>
      </c>
      <c r="BD157" s="185"/>
      <c r="BE157" s="185"/>
      <c r="BF157" s="192">
        <f t="shared" si="10"/>
        <v>30506668</v>
      </c>
      <c r="BG157" s="192">
        <f t="shared" si="11"/>
        <v>17986667</v>
      </c>
      <c r="BH157" s="192">
        <f t="shared" si="12"/>
        <v>17986667</v>
      </c>
      <c r="BI157" s="398" t="s">
        <v>5</v>
      </c>
    </row>
    <row r="158" spans="1:61" s="394" customFormat="1" ht="66.75" customHeight="1">
      <c r="A158" s="423">
        <v>314</v>
      </c>
      <c r="B158" s="392" t="s">
        <v>644</v>
      </c>
      <c r="C158" s="423">
        <v>1</v>
      </c>
      <c r="D158" s="392" t="s">
        <v>148</v>
      </c>
      <c r="E158" s="423">
        <v>22</v>
      </c>
      <c r="F158" s="392" t="s">
        <v>160</v>
      </c>
      <c r="G158" s="423">
        <v>2201</v>
      </c>
      <c r="H158" s="392" t="s">
        <v>298</v>
      </c>
      <c r="I158" s="423">
        <v>2201</v>
      </c>
      <c r="J158" s="392" t="s">
        <v>162</v>
      </c>
      <c r="K158" s="392" t="s">
        <v>656</v>
      </c>
      <c r="L158" s="423">
        <v>2201061</v>
      </c>
      <c r="M158" s="397" t="s">
        <v>702</v>
      </c>
      <c r="N158" s="423">
        <v>2201061</v>
      </c>
      <c r="O158" s="392" t="s">
        <v>702</v>
      </c>
      <c r="P158" s="191">
        <v>220106102</v>
      </c>
      <c r="Q158" s="397" t="s">
        <v>703</v>
      </c>
      <c r="R158" s="191">
        <v>220106102</v>
      </c>
      <c r="S158" s="393" t="s">
        <v>703</v>
      </c>
      <c r="T158" s="388" t="s">
        <v>157</v>
      </c>
      <c r="U158" s="388">
        <v>14</v>
      </c>
      <c r="V158" s="388"/>
      <c r="W158" s="388">
        <f t="shared" si="14"/>
        <v>14</v>
      </c>
      <c r="X158" s="388">
        <v>15</v>
      </c>
      <c r="Y158" s="389">
        <v>2020003630093</v>
      </c>
      <c r="Z158" s="395" t="s">
        <v>684</v>
      </c>
      <c r="AA158" s="549" t="s">
        <v>685</v>
      </c>
      <c r="AB158" s="185"/>
      <c r="AC158" s="185"/>
      <c r="AD158" s="185"/>
      <c r="AE158" s="185">
        <v>0</v>
      </c>
      <c r="AF158" s="185"/>
      <c r="AG158" s="185"/>
      <c r="AH158" s="185"/>
      <c r="AI158" s="185"/>
      <c r="AJ158" s="185"/>
      <c r="AK158" s="185"/>
      <c r="AL158" s="185"/>
      <c r="AM158" s="185"/>
      <c r="AN158" s="185">
        <v>0</v>
      </c>
      <c r="AO158" s="185"/>
      <c r="AP158" s="185"/>
      <c r="AQ158" s="185"/>
      <c r="AR158" s="185"/>
      <c r="AS158" s="185"/>
      <c r="AT158" s="189">
        <f>10000000+9200000</f>
        <v>19200000</v>
      </c>
      <c r="AU158" s="189">
        <v>19200000</v>
      </c>
      <c r="AV158" s="189">
        <v>19200000</v>
      </c>
      <c r="AW158" s="185"/>
      <c r="AX158" s="185"/>
      <c r="AY158" s="185"/>
      <c r="AZ158" s="185"/>
      <c r="BA158" s="185"/>
      <c r="BB158" s="185"/>
      <c r="BC158" s="185">
        <v>0</v>
      </c>
      <c r="BD158" s="185"/>
      <c r="BE158" s="185"/>
      <c r="BF158" s="192">
        <f t="shared" si="10"/>
        <v>19200000</v>
      </c>
      <c r="BG158" s="192">
        <f t="shared" si="11"/>
        <v>19200000</v>
      </c>
      <c r="BH158" s="192">
        <f t="shared" si="12"/>
        <v>19200000</v>
      </c>
      <c r="BI158" s="398" t="s">
        <v>5</v>
      </c>
    </row>
    <row r="159" spans="1:61" s="394" customFormat="1" ht="66.75" customHeight="1">
      <c r="A159" s="423">
        <v>314</v>
      </c>
      <c r="B159" s="392" t="s">
        <v>644</v>
      </c>
      <c r="C159" s="423">
        <v>1</v>
      </c>
      <c r="D159" s="392" t="s">
        <v>148</v>
      </c>
      <c r="E159" s="423">
        <v>22</v>
      </c>
      <c r="F159" s="392" t="s">
        <v>160</v>
      </c>
      <c r="G159" s="423">
        <v>2201</v>
      </c>
      <c r="H159" s="392" t="s">
        <v>298</v>
      </c>
      <c r="I159" s="423">
        <v>2201</v>
      </c>
      <c r="J159" s="392" t="s">
        <v>162</v>
      </c>
      <c r="K159" s="397" t="s">
        <v>704</v>
      </c>
      <c r="L159" s="423">
        <v>2201066</v>
      </c>
      <c r="M159" s="397" t="s">
        <v>705</v>
      </c>
      <c r="N159" s="423">
        <v>2201066</v>
      </c>
      <c r="O159" s="392" t="s">
        <v>705</v>
      </c>
      <c r="P159" s="191">
        <v>220106600</v>
      </c>
      <c r="Q159" s="397" t="s">
        <v>706</v>
      </c>
      <c r="R159" s="191">
        <v>220106600</v>
      </c>
      <c r="S159" s="397" t="s">
        <v>706</v>
      </c>
      <c r="T159" s="388" t="s">
        <v>157</v>
      </c>
      <c r="U159" s="296">
        <v>9496</v>
      </c>
      <c r="V159" s="296">
        <v>10253</v>
      </c>
      <c r="W159" s="296">
        <f t="shared" si="14"/>
        <v>19749</v>
      </c>
      <c r="X159" s="388">
        <v>19749</v>
      </c>
      <c r="Y159" s="389">
        <v>2020003630093</v>
      </c>
      <c r="Z159" s="395" t="s">
        <v>684</v>
      </c>
      <c r="AA159" s="549" t="s">
        <v>685</v>
      </c>
      <c r="AB159" s="185"/>
      <c r="AC159" s="185"/>
      <c r="AD159" s="185"/>
      <c r="AE159" s="185">
        <v>0</v>
      </c>
      <c r="AF159" s="185"/>
      <c r="AG159" s="185"/>
      <c r="AH159" s="185"/>
      <c r="AI159" s="185"/>
      <c r="AJ159" s="185"/>
      <c r="AK159" s="185"/>
      <c r="AL159" s="185"/>
      <c r="AM159" s="185"/>
      <c r="AN159" s="185">
        <v>0</v>
      </c>
      <c r="AO159" s="185"/>
      <c r="AP159" s="185"/>
      <c r="AQ159" s="185"/>
      <c r="AR159" s="185"/>
      <c r="AS159" s="185"/>
      <c r="AT159" s="189">
        <f>30000000+9600000</f>
        <v>39600000</v>
      </c>
      <c r="AU159" s="189">
        <v>39600000</v>
      </c>
      <c r="AV159" s="189">
        <v>19200000</v>
      </c>
      <c r="AW159" s="185"/>
      <c r="AX159" s="185"/>
      <c r="AY159" s="185"/>
      <c r="AZ159" s="185"/>
      <c r="BA159" s="185"/>
      <c r="BB159" s="185"/>
      <c r="BC159" s="185">
        <v>0</v>
      </c>
      <c r="BD159" s="185"/>
      <c r="BE159" s="185"/>
      <c r="BF159" s="192">
        <f t="shared" ref="BF159:BF222" si="15">AB159+AE159+AH159+AK159+AN159+AQ159+AT159+AW159+BC159+AZ159</f>
        <v>39600000</v>
      </c>
      <c r="BG159" s="192">
        <f t="shared" ref="BG159:BG222" si="16">AC159+AF159+AI159+AL159+AO159+AR159+AU159+AX159+BD159+BA159</f>
        <v>39600000</v>
      </c>
      <c r="BH159" s="192">
        <f t="shared" ref="BH159:BH222" si="17">AD159+AG159+AJ159+AM159+AP159+AS159+AV159+AY159+BE159+BB159</f>
        <v>19200000</v>
      </c>
      <c r="BI159" s="398" t="s">
        <v>5</v>
      </c>
    </row>
    <row r="160" spans="1:61" s="394" customFormat="1" ht="66.75" customHeight="1">
      <c r="A160" s="423">
        <v>314</v>
      </c>
      <c r="B160" s="392" t="s">
        <v>644</v>
      </c>
      <c r="C160" s="423">
        <v>1</v>
      </c>
      <c r="D160" s="392" t="s">
        <v>148</v>
      </c>
      <c r="E160" s="423">
        <v>22</v>
      </c>
      <c r="F160" s="392" t="s">
        <v>160</v>
      </c>
      <c r="G160" s="423">
        <v>2201</v>
      </c>
      <c r="H160" s="392" t="s">
        <v>298</v>
      </c>
      <c r="I160" s="423">
        <v>2201</v>
      </c>
      <c r="J160" s="392" t="s">
        <v>162</v>
      </c>
      <c r="K160" s="392" t="s">
        <v>707</v>
      </c>
      <c r="L160" s="423">
        <v>2201006</v>
      </c>
      <c r="M160" s="397" t="s">
        <v>708</v>
      </c>
      <c r="N160" s="423">
        <v>2201006</v>
      </c>
      <c r="O160" s="392" t="s">
        <v>708</v>
      </c>
      <c r="P160" s="295">
        <v>220100600</v>
      </c>
      <c r="Q160" s="397" t="s">
        <v>709</v>
      </c>
      <c r="R160" s="295">
        <v>220100600</v>
      </c>
      <c r="S160" s="397" t="s">
        <v>709</v>
      </c>
      <c r="T160" s="388" t="s">
        <v>69</v>
      </c>
      <c r="U160" s="388">
        <v>54</v>
      </c>
      <c r="V160" s="388"/>
      <c r="W160" s="388">
        <f t="shared" si="14"/>
        <v>54</v>
      </c>
      <c r="X160" s="388">
        <v>54</v>
      </c>
      <c r="Y160" s="389">
        <v>2020003630016</v>
      </c>
      <c r="Z160" s="392" t="s">
        <v>710</v>
      </c>
      <c r="AA160" s="546" t="s">
        <v>711</v>
      </c>
      <c r="AB160" s="185"/>
      <c r="AC160" s="185"/>
      <c r="AD160" s="185"/>
      <c r="AE160" s="185">
        <v>0</v>
      </c>
      <c r="AF160" s="185"/>
      <c r="AG160" s="185"/>
      <c r="AH160" s="185"/>
      <c r="AI160" s="185"/>
      <c r="AJ160" s="185"/>
      <c r="AK160" s="185"/>
      <c r="AL160" s="185"/>
      <c r="AM160" s="185"/>
      <c r="AN160" s="292">
        <v>0</v>
      </c>
      <c r="AO160" s="292"/>
      <c r="AP160" s="292"/>
      <c r="AQ160" s="185"/>
      <c r="AR160" s="185"/>
      <c r="AS160" s="185"/>
      <c r="AT160" s="189">
        <f>10000000+260000000+9100000+1167359+83000000-16043333-38293334+600000000+800000000-252300834+250000000+300000000</f>
        <v>2006629858</v>
      </c>
      <c r="AU160" s="189">
        <v>1775607136</v>
      </c>
      <c r="AV160" s="189">
        <v>1338995140</v>
      </c>
      <c r="AW160" s="185"/>
      <c r="AX160" s="185"/>
      <c r="AY160" s="185"/>
      <c r="AZ160" s="185"/>
      <c r="BA160" s="185"/>
      <c r="BB160" s="185"/>
      <c r="BC160" s="185">
        <v>0</v>
      </c>
      <c r="BD160" s="185"/>
      <c r="BE160" s="185"/>
      <c r="BF160" s="192">
        <f t="shared" si="15"/>
        <v>2006629858</v>
      </c>
      <c r="BG160" s="192">
        <f t="shared" si="16"/>
        <v>1775607136</v>
      </c>
      <c r="BH160" s="192">
        <f t="shared" si="17"/>
        <v>1338995140</v>
      </c>
      <c r="BI160" s="398" t="s">
        <v>5</v>
      </c>
    </row>
    <row r="161" spans="1:61" s="394" customFormat="1" ht="66.75" customHeight="1">
      <c r="A161" s="423">
        <v>314</v>
      </c>
      <c r="B161" s="392" t="s">
        <v>644</v>
      </c>
      <c r="C161" s="423">
        <v>1</v>
      </c>
      <c r="D161" s="392" t="s">
        <v>148</v>
      </c>
      <c r="E161" s="423">
        <v>22</v>
      </c>
      <c r="F161" s="392" t="s">
        <v>160</v>
      </c>
      <c r="G161" s="423">
        <v>2201</v>
      </c>
      <c r="H161" s="392" t="s">
        <v>298</v>
      </c>
      <c r="I161" s="423">
        <v>2201</v>
      </c>
      <c r="J161" s="392" t="s">
        <v>162</v>
      </c>
      <c r="K161" s="392" t="s">
        <v>707</v>
      </c>
      <c r="L161" s="423">
        <v>2201015</v>
      </c>
      <c r="M161" s="397" t="s">
        <v>712</v>
      </c>
      <c r="N161" s="423">
        <v>2201015</v>
      </c>
      <c r="O161" s="392" t="s">
        <v>712</v>
      </c>
      <c r="P161" s="191">
        <v>220101500</v>
      </c>
      <c r="Q161" s="397" t="s">
        <v>713</v>
      </c>
      <c r="R161" s="191">
        <v>220101500</v>
      </c>
      <c r="S161" s="397" t="s">
        <v>713</v>
      </c>
      <c r="T161" s="388" t="s">
        <v>69</v>
      </c>
      <c r="U161" s="388">
        <v>11</v>
      </c>
      <c r="V161" s="388"/>
      <c r="W161" s="388">
        <f t="shared" si="14"/>
        <v>11</v>
      </c>
      <c r="X161" s="388">
        <v>11</v>
      </c>
      <c r="Y161" s="389">
        <v>2020003630016</v>
      </c>
      <c r="Z161" s="392" t="s">
        <v>710</v>
      </c>
      <c r="AA161" s="546" t="s">
        <v>711</v>
      </c>
      <c r="AB161" s="185"/>
      <c r="AC161" s="185"/>
      <c r="AD161" s="185"/>
      <c r="AE161" s="185">
        <v>0</v>
      </c>
      <c r="AF161" s="185"/>
      <c r="AG161" s="185"/>
      <c r="AH161" s="185"/>
      <c r="AI161" s="185"/>
      <c r="AJ161" s="185"/>
      <c r="AK161" s="185"/>
      <c r="AL161" s="185"/>
      <c r="AM161" s="185"/>
      <c r="AN161" s="185">
        <v>0</v>
      </c>
      <c r="AO161" s="185"/>
      <c r="AP161" s="185"/>
      <c r="AQ161" s="185"/>
      <c r="AR161" s="185"/>
      <c r="AS161" s="185"/>
      <c r="AT161" s="189">
        <f>5000000+10900000+21200000</f>
        <v>37100000</v>
      </c>
      <c r="AU161" s="189">
        <v>36386666</v>
      </c>
      <c r="AV161" s="189">
        <v>36386666</v>
      </c>
      <c r="AW161" s="185"/>
      <c r="AX161" s="185"/>
      <c r="AY161" s="185"/>
      <c r="AZ161" s="185"/>
      <c r="BA161" s="185"/>
      <c r="BB161" s="185"/>
      <c r="BC161" s="185">
        <v>0</v>
      </c>
      <c r="BD161" s="185"/>
      <c r="BE161" s="185"/>
      <c r="BF161" s="192">
        <f t="shared" si="15"/>
        <v>37100000</v>
      </c>
      <c r="BG161" s="192">
        <f t="shared" si="16"/>
        <v>36386666</v>
      </c>
      <c r="BH161" s="192">
        <f t="shared" si="17"/>
        <v>36386666</v>
      </c>
      <c r="BI161" s="398" t="s">
        <v>5</v>
      </c>
    </row>
    <row r="162" spans="1:61" s="394" customFormat="1" ht="66.75" customHeight="1">
      <c r="A162" s="423">
        <v>314</v>
      </c>
      <c r="B162" s="392" t="s">
        <v>644</v>
      </c>
      <c r="C162" s="423">
        <v>1</v>
      </c>
      <c r="D162" s="392" t="s">
        <v>148</v>
      </c>
      <c r="E162" s="423">
        <v>22</v>
      </c>
      <c r="F162" s="392" t="s">
        <v>160</v>
      </c>
      <c r="G162" s="423">
        <v>2201</v>
      </c>
      <c r="H162" s="392" t="s">
        <v>298</v>
      </c>
      <c r="I162" s="423">
        <v>2201</v>
      </c>
      <c r="J162" s="392" t="s">
        <v>162</v>
      </c>
      <c r="K162" s="392" t="s">
        <v>659</v>
      </c>
      <c r="L162" s="423">
        <v>2201042</v>
      </c>
      <c r="M162" s="397" t="s">
        <v>714</v>
      </c>
      <c r="N162" s="423">
        <v>2201042</v>
      </c>
      <c r="O162" s="392" t="s">
        <v>714</v>
      </c>
      <c r="P162" s="191">
        <v>220104200</v>
      </c>
      <c r="Q162" s="397" t="s">
        <v>715</v>
      </c>
      <c r="R162" s="191">
        <v>220104200</v>
      </c>
      <c r="S162" s="397" t="s">
        <v>715</v>
      </c>
      <c r="T162" s="388" t="s">
        <v>157</v>
      </c>
      <c r="U162" s="388">
        <v>6000</v>
      </c>
      <c r="V162" s="388">
        <v>3914</v>
      </c>
      <c r="W162" s="388">
        <f t="shared" si="14"/>
        <v>9914</v>
      </c>
      <c r="X162" s="388">
        <v>9914</v>
      </c>
      <c r="Y162" s="389">
        <v>2020003630016</v>
      </c>
      <c r="Z162" s="392" t="s">
        <v>710</v>
      </c>
      <c r="AA162" s="546" t="s">
        <v>711</v>
      </c>
      <c r="AB162" s="185"/>
      <c r="AC162" s="185"/>
      <c r="AD162" s="185"/>
      <c r="AE162" s="185">
        <v>0</v>
      </c>
      <c r="AF162" s="185"/>
      <c r="AG162" s="185"/>
      <c r="AH162" s="185"/>
      <c r="AI162" s="185"/>
      <c r="AJ162" s="185"/>
      <c r="AK162" s="185"/>
      <c r="AL162" s="185"/>
      <c r="AM162" s="185"/>
      <c r="AN162" s="185">
        <v>0</v>
      </c>
      <c r="AO162" s="185"/>
      <c r="AP162" s="185"/>
      <c r="AQ162" s="185"/>
      <c r="AR162" s="185"/>
      <c r="AS162" s="185"/>
      <c r="AT162" s="189">
        <f>10000000+1413333+50867000</f>
        <v>62280333</v>
      </c>
      <c r="AU162" s="189">
        <v>60925166</v>
      </c>
      <c r="AV162" s="189">
        <v>60925166</v>
      </c>
      <c r="AW162" s="185"/>
      <c r="AX162" s="185"/>
      <c r="AY162" s="185"/>
      <c r="AZ162" s="185"/>
      <c r="BA162" s="185"/>
      <c r="BB162" s="185"/>
      <c r="BC162" s="185">
        <v>0</v>
      </c>
      <c r="BD162" s="185"/>
      <c r="BE162" s="185"/>
      <c r="BF162" s="192">
        <f t="shared" si="15"/>
        <v>62280333</v>
      </c>
      <c r="BG162" s="192">
        <f t="shared" si="16"/>
        <v>60925166</v>
      </c>
      <c r="BH162" s="192">
        <f t="shared" si="17"/>
        <v>60925166</v>
      </c>
      <c r="BI162" s="398" t="s">
        <v>5</v>
      </c>
    </row>
    <row r="163" spans="1:61" s="394" customFormat="1" ht="66.75" customHeight="1">
      <c r="A163" s="423">
        <v>314</v>
      </c>
      <c r="B163" s="392" t="s">
        <v>644</v>
      </c>
      <c r="C163" s="423">
        <v>1</v>
      </c>
      <c r="D163" s="392" t="s">
        <v>148</v>
      </c>
      <c r="E163" s="423">
        <v>22</v>
      </c>
      <c r="F163" s="392" t="s">
        <v>160</v>
      </c>
      <c r="G163" s="423">
        <v>2201</v>
      </c>
      <c r="H163" s="392" t="s">
        <v>298</v>
      </c>
      <c r="I163" s="423">
        <v>2201</v>
      </c>
      <c r="J163" s="392" t="s">
        <v>162</v>
      </c>
      <c r="K163" s="392" t="s">
        <v>163</v>
      </c>
      <c r="L163" s="423">
        <v>2201071</v>
      </c>
      <c r="M163" s="397" t="s">
        <v>716</v>
      </c>
      <c r="N163" s="423">
        <v>2201071</v>
      </c>
      <c r="O163" s="304" t="s">
        <v>716</v>
      </c>
      <c r="P163" s="295">
        <v>220107100</v>
      </c>
      <c r="Q163" s="397" t="s">
        <v>717</v>
      </c>
      <c r="R163" s="295">
        <v>220107100</v>
      </c>
      <c r="S163" s="397" t="s">
        <v>717</v>
      </c>
      <c r="T163" s="388" t="s">
        <v>69</v>
      </c>
      <c r="U163" s="388">
        <v>54</v>
      </c>
      <c r="V163" s="388"/>
      <c r="W163" s="388">
        <f t="shared" si="14"/>
        <v>54</v>
      </c>
      <c r="X163" s="388">
        <v>54</v>
      </c>
      <c r="Y163" s="389">
        <v>2020003630016</v>
      </c>
      <c r="Z163" s="188" t="s">
        <v>710</v>
      </c>
      <c r="AA163" s="546" t="s">
        <v>711</v>
      </c>
      <c r="AB163" s="292"/>
      <c r="AC163" s="292"/>
      <c r="AD163" s="292"/>
      <c r="AE163" s="292">
        <f>2712985418+1460656453.37+869565217+105000000</f>
        <v>5148207088.3699999</v>
      </c>
      <c r="AF163" s="292">
        <v>4811990019.7700005</v>
      </c>
      <c r="AG163" s="292">
        <v>3309068095.8800001</v>
      </c>
      <c r="AH163" s="292"/>
      <c r="AI163" s="292"/>
      <c r="AJ163" s="292"/>
      <c r="AK163" s="292"/>
      <c r="AL163" s="292"/>
      <c r="AM163" s="292"/>
      <c r="AN163" s="292">
        <f>154839000000+29870000000+80000000+554351.09+115811865.59+38401854+16008227.7-5009722247-5</f>
        <v>179950054046.38</v>
      </c>
      <c r="AO163" s="292">
        <v>141933628528.39999</v>
      </c>
      <c r="AP163" s="292">
        <v>141748706789</v>
      </c>
      <c r="AQ163" s="292"/>
      <c r="AR163" s="292"/>
      <c r="AS163" s="292"/>
      <c r="AT163" s="189">
        <f>3600000000+1476236623+230000000+450000000+8400000+6360000</f>
        <v>5770996623</v>
      </c>
      <c r="AU163" s="189">
        <v>5300311878.3000002</v>
      </c>
      <c r="AV163" s="189">
        <v>5269805863.5900002</v>
      </c>
      <c r="AW163" s="192"/>
      <c r="AX163" s="192"/>
      <c r="AY163" s="192"/>
      <c r="AZ163" s="192"/>
      <c r="BA163" s="192"/>
      <c r="BB163" s="192"/>
      <c r="BC163" s="292">
        <v>0</v>
      </c>
      <c r="BD163" s="292"/>
      <c r="BE163" s="292"/>
      <c r="BF163" s="192">
        <f t="shared" si="15"/>
        <v>190869257757.75</v>
      </c>
      <c r="BG163" s="192">
        <f t="shared" si="16"/>
        <v>152045930426.46997</v>
      </c>
      <c r="BH163" s="192">
        <f t="shared" si="17"/>
        <v>150327580748.47</v>
      </c>
      <c r="BI163" s="398" t="s">
        <v>5</v>
      </c>
    </row>
    <row r="164" spans="1:61" s="394" customFormat="1" ht="66.75" customHeight="1">
      <c r="A164" s="423">
        <v>314</v>
      </c>
      <c r="B164" s="392" t="s">
        <v>644</v>
      </c>
      <c r="C164" s="423">
        <v>1</v>
      </c>
      <c r="D164" s="392" t="s">
        <v>148</v>
      </c>
      <c r="E164" s="423">
        <v>22</v>
      </c>
      <c r="F164" s="392" t="s">
        <v>160</v>
      </c>
      <c r="G164" s="423">
        <v>2201</v>
      </c>
      <c r="H164" s="392" t="s">
        <v>298</v>
      </c>
      <c r="I164" s="423">
        <v>2201</v>
      </c>
      <c r="J164" s="392" t="s">
        <v>162</v>
      </c>
      <c r="K164" s="392" t="s">
        <v>659</v>
      </c>
      <c r="L164" s="423">
        <v>2201050</v>
      </c>
      <c r="M164" s="397" t="s">
        <v>718</v>
      </c>
      <c r="N164" s="423">
        <v>2201050</v>
      </c>
      <c r="O164" s="392" t="s">
        <v>718</v>
      </c>
      <c r="P164" s="191">
        <v>220105000</v>
      </c>
      <c r="Q164" s="397" t="s">
        <v>719</v>
      </c>
      <c r="R164" s="191">
        <v>220105000</v>
      </c>
      <c r="S164" s="397" t="s">
        <v>719</v>
      </c>
      <c r="T164" s="388" t="s">
        <v>157</v>
      </c>
      <c r="U164" s="296">
        <v>7000</v>
      </c>
      <c r="V164" s="296"/>
      <c r="W164" s="388">
        <f t="shared" si="14"/>
        <v>7000</v>
      </c>
      <c r="X164" s="388">
        <v>7000</v>
      </c>
      <c r="Y164" s="389">
        <v>2020003630094</v>
      </c>
      <c r="Z164" s="188" t="s">
        <v>720</v>
      </c>
      <c r="AA164" s="546" t="s">
        <v>721</v>
      </c>
      <c r="AB164" s="185"/>
      <c r="AC164" s="185"/>
      <c r="AD164" s="185"/>
      <c r="AE164" s="185">
        <v>0</v>
      </c>
      <c r="AF164" s="185"/>
      <c r="AG164" s="185"/>
      <c r="AH164" s="185"/>
      <c r="AI164" s="185"/>
      <c r="AJ164" s="185"/>
      <c r="AK164" s="185"/>
      <c r="AL164" s="185"/>
      <c r="AM164" s="185"/>
      <c r="AN164" s="192"/>
      <c r="AO164" s="192"/>
      <c r="AP164" s="192"/>
      <c r="AQ164" s="185"/>
      <c r="AR164" s="185"/>
      <c r="AS164" s="185"/>
      <c r="AT164" s="189">
        <f>10000000+4000000</f>
        <v>14000000</v>
      </c>
      <c r="AU164" s="189">
        <v>13055000</v>
      </c>
      <c r="AV164" s="189">
        <v>13055000</v>
      </c>
      <c r="AW164" s="185"/>
      <c r="AX164" s="185"/>
      <c r="AY164" s="185"/>
      <c r="AZ164" s="185"/>
      <c r="BA164" s="185"/>
      <c r="BB164" s="185"/>
      <c r="BC164" s="185">
        <v>0</v>
      </c>
      <c r="BD164" s="185"/>
      <c r="BE164" s="185"/>
      <c r="BF164" s="192">
        <f t="shared" si="15"/>
        <v>14000000</v>
      </c>
      <c r="BG164" s="192">
        <f t="shared" si="16"/>
        <v>13055000</v>
      </c>
      <c r="BH164" s="192">
        <f t="shared" si="17"/>
        <v>13055000</v>
      </c>
      <c r="BI164" s="398" t="s">
        <v>5</v>
      </c>
    </row>
    <row r="165" spans="1:61" s="394" customFormat="1" ht="66.75" customHeight="1">
      <c r="A165" s="423">
        <v>314</v>
      </c>
      <c r="B165" s="392" t="s">
        <v>644</v>
      </c>
      <c r="C165" s="423">
        <v>1</v>
      </c>
      <c r="D165" s="392" t="s">
        <v>148</v>
      </c>
      <c r="E165" s="423">
        <v>22</v>
      </c>
      <c r="F165" s="392" t="s">
        <v>160</v>
      </c>
      <c r="G165" s="423">
        <v>2201</v>
      </c>
      <c r="H165" s="392" t="s">
        <v>298</v>
      </c>
      <c r="I165" s="423">
        <v>2201</v>
      </c>
      <c r="J165" s="392" t="s">
        <v>162</v>
      </c>
      <c r="K165" s="392" t="s">
        <v>659</v>
      </c>
      <c r="L165" s="423">
        <v>2201050</v>
      </c>
      <c r="M165" s="397" t="s">
        <v>718</v>
      </c>
      <c r="N165" s="423">
        <v>2201050</v>
      </c>
      <c r="O165" s="392" t="s">
        <v>718</v>
      </c>
      <c r="P165" s="295">
        <v>220105001</v>
      </c>
      <c r="Q165" s="397" t="s">
        <v>722</v>
      </c>
      <c r="R165" s="295">
        <v>220105001</v>
      </c>
      <c r="S165" s="397" t="s">
        <v>722</v>
      </c>
      <c r="T165" s="388" t="s">
        <v>69</v>
      </c>
      <c r="U165" s="388">
        <v>150</v>
      </c>
      <c r="V165" s="388"/>
      <c r="W165" s="388">
        <f t="shared" si="14"/>
        <v>150</v>
      </c>
      <c r="X165" s="388">
        <v>181</v>
      </c>
      <c r="Y165" s="389">
        <v>2020003630094</v>
      </c>
      <c r="Z165" s="188" t="s">
        <v>720</v>
      </c>
      <c r="AA165" s="546" t="s">
        <v>721</v>
      </c>
      <c r="AB165" s="185"/>
      <c r="AC165" s="185"/>
      <c r="AD165" s="185"/>
      <c r="AE165" s="185">
        <v>0</v>
      </c>
      <c r="AF165" s="185"/>
      <c r="AG165" s="185"/>
      <c r="AH165" s="185"/>
      <c r="AI165" s="185"/>
      <c r="AJ165" s="185"/>
      <c r="AK165" s="185"/>
      <c r="AL165" s="185"/>
      <c r="AM165" s="185"/>
      <c r="AN165" s="185">
        <f>611000000-4175320</f>
        <v>606824680</v>
      </c>
      <c r="AO165" s="185">
        <v>539016070.92999995</v>
      </c>
      <c r="AP165" s="185">
        <v>192043202</v>
      </c>
      <c r="AQ165" s="185"/>
      <c r="AR165" s="185"/>
      <c r="AS165" s="185"/>
      <c r="AT165" s="189">
        <v>0</v>
      </c>
      <c r="AU165" s="189"/>
      <c r="AV165" s="189"/>
      <c r="AW165" s="185"/>
      <c r="AX165" s="185"/>
      <c r="AY165" s="185"/>
      <c r="AZ165" s="185"/>
      <c r="BA165" s="185"/>
      <c r="BB165" s="185"/>
      <c r="BC165" s="185">
        <v>0</v>
      </c>
      <c r="BD165" s="185"/>
      <c r="BE165" s="185"/>
      <c r="BF165" s="192">
        <f t="shared" si="15"/>
        <v>606824680</v>
      </c>
      <c r="BG165" s="192">
        <f t="shared" si="16"/>
        <v>539016070.92999995</v>
      </c>
      <c r="BH165" s="192">
        <f t="shared" si="17"/>
        <v>192043202</v>
      </c>
      <c r="BI165" s="398" t="s">
        <v>5</v>
      </c>
    </row>
    <row r="166" spans="1:61" s="394" customFormat="1" ht="66.75" customHeight="1">
      <c r="A166" s="423">
        <v>314</v>
      </c>
      <c r="B166" s="392" t="s">
        <v>644</v>
      </c>
      <c r="C166" s="423">
        <v>1</v>
      </c>
      <c r="D166" s="392" t="s">
        <v>148</v>
      </c>
      <c r="E166" s="423">
        <v>22</v>
      </c>
      <c r="F166" s="392" t="s">
        <v>160</v>
      </c>
      <c r="G166" s="423">
        <v>2201</v>
      </c>
      <c r="H166" s="392" t="s">
        <v>298</v>
      </c>
      <c r="I166" s="423">
        <v>2201</v>
      </c>
      <c r="J166" s="392" t="s">
        <v>162</v>
      </c>
      <c r="K166" s="397" t="s">
        <v>668</v>
      </c>
      <c r="L166" s="423" t="s">
        <v>61</v>
      </c>
      <c r="M166" s="397" t="s">
        <v>723</v>
      </c>
      <c r="N166" s="423">
        <v>2201001</v>
      </c>
      <c r="O166" s="392" t="s">
        <v>254</v>
      </c>
      <c r="P166" s="423" t="s">
        <v>61</v>
      </c>
      <c r="Q166" s="397" t="s">
        <v>724</v>
      </c>
      <c r="R166" s="191">
        <v>220100100</v>
      </c>
      <c r="S166" s="397" t="s">
        <v>725</v>
      </c>
      <c r="T166" s="388" t="s">
        <v>69</v>
      </c>
      <c r="U166" s="388">
        <v>2</v>
      </c>
      <c r="V166" s="388"/>
      <c r="W166" s="388">
        <f t="shared" si="14"/>
        <v>2</v>
      </c>
      <c r="X166" s="388">
        <v>2</v>
      </c>
      <c r="Y166" s="389">
        <v>2020003630094</v>
      </c>
      <c r="Z166" s="188" t="s">
        <v>720</v>
      </c>
      <c r="AA166" s="546" t="s">
        <v>721</v>
      </c>
      <c r="AB166" s="185"/>
      <c r="AC166" s="185"/>
      <c r="AD166" s="185"/>
      <c r="AE166" s="185">
        <v>0</v>
      </c>
      <c r="AF166" s="185"/>
      <c r="AG166" s="185"/>
      <c r="AH166" s="185"/>
      <c r="AI166" s="185"/>
      <c r="AJ166" s="185"/>
      <c r="AK166" s="185"/>
      <c r="AL166" s="185"/>
      <c r="AM166" s="185"/>
      <c r="AN166" s="185">
        <v>0</v>
      </c>
      <c r="AO166" s="185"/>
      <c r="AP166" s="185"/>
      <c r="AQ166" s="185"/>
      <c r="AR166" s="185"/>
      <c r="AS166" s="185"/>
      <c r="AT166" s="189">
        <v>10000000</v>
      </c>
      <c r="AU166" s="189">
        <v>10000000</v>
      </c>
      <c r="AV166" s="189">
        <v>10000000</v>
      </c>
      <c r="AW166" s="185"/>
      <c r="AX166" s="185"/>
      <c r="AY166" s="185"/>
      <c r="AZ166" s="185"/>
      <c r="BA166" s="185"/>
      <c r="BB166" s="185"/>
      <c r="BC166" s="185">
        <v>0</v>
      </c>
      <c r="BD166" s="185"/>
      <c r="BE166" s="185"/>
      <c r="BF166" s="192">
        <f t="shared" si="15"/>
        <v>10000000</v>
      </c>
      <c r="BG166" s="192">
        <f t="shared" si="16"/>
        <v>10000000</v>
      </c>
      <c r="BH166" s="192">
        <f t="shared" si="17"/>
        <v>10000000</v>
      </c>
      <c r="BI166" s="398" t="s">
        <v>5</v>
      </c>
    </row>
    <row r="167" spans="1:61" s="394" customFormat="1" ht="66.75" customHeight="1">
      <c r="A167" s="423">
        <v>314</v>
      </c>
      <c r="B167" s="392" t="s">
        <v>644</v>
      </c>
      <c r="C167" s="423">
        <v>1</v>
      </c>
      <c r="D167" s="392" t="s">
        <v>148</v>
      </c>
      <c r="E167" s="423">
        <v>22</v>
      </c>
      <c r="F167" s="392" t="s">
        <v>160</v>
      </c>
      <c r="G167" s="423">
        <v>2201</v>
      </c>
      <c r="H167" s="392" t="s">
        <v>298</v>
      </c>
      <c r="I167" s="423">
        <v>2201</v>
      </c>
      <c r="J167" s="392" t="s">
        <v>162</v>
      </c>
      <c r="K167" s="392" t="s">
        <v>726</v>
      </c>
      <c r="L167" s="423">
        <v>2201034</v>
      </c>
      <c r="M167" s="397" t="s">
        <v>727</v>
      </c>
      <c r="N167" s="423">
        <v>2201034</v>
      </c>
      <c r="O167" s="392" t="s">
        <v>727</v>
      </c>
      <c r="P167" s="295">
        <v>220103400</v>
      </c>
      <c r="Q167" s="397" t="s">
        <v>728</v>
      </c>
      <c r="R167" s="295">
        <v>220103400</v>
      </c>
      <c r="S167" s="397" t="s">
        <v>728</v>
      </c>
      <c r="T167" s="388" t="s">
        <v>157</v>
      </c>
      <c r="U167" s="388">
        <v>4400</v>
      </c>
      <c r="V167" s="388">
        <v>0</v>
      </c>
      <c r="W167" s="388">
        <f t="shared" si="14"/>
        <v>4400</v>
      </c>
      <c r="X167" s="388">
        <v>4400</v>
      </c>
      <c r="Y167" s="389">
        <v>2020003630015</v>
      </c>
      <c r="Z167" s="188" t="s">
        <v>729</v>
      </c>
      <c r="AA167" s="546" t="s">
        <v>730</v>
      </c>
      <c r="AB167" s="185"/>
      <c r="AC167" s="185"/>
      <c r="AD167" s="185"/>
      <c r="AE167" s="185">
        <v>0</v>
      </c>
      <c r="AF167" s="185"/>
      <c r="AG167" s="185"/>
      <c r="AH167" s="185"/>
      <c r="AI167" s="185"/>
      <c r="AJ167" s="185"/>
      <c r="AK167" s="185"/>
      <c r="AL167" s="185"/>
      <c r="AM167" s="185"/>
      <c r="AN167" s="185">
        <v>0</v>
      </c>
      <c r="AO167" s="185"/>
      <c r="AP167" s="185"/>
      <c r="AQ167" s="185"/>
      <c r="AR167" s="185"/>
      <c r="AS167" s="185"/>
      <c r="AT167" s="189">
        <v>10000000</v>
      </c>
      <c r="AU167" s="189">
        <f>AT167</f>
        <v>10000000</v>
      </c>
      <c r="AV167" s="189">
        <v>10000000</v>
      </c>
      <c r="AW167" s="185"/>
      <c r="AX167" s="185"/>
      <c r="AY167" s="185"/>
      <c r="AZ167" s="185"/>
      <c r="BA167" s="185"/>
      <c r="BB167" s="185"/>
      <c r="BC167" s="185">
        <v>0</v>
      </c>
      <c r="BD167" s="185"/>
      <c r="BE167" s="185"/>
      <c r="BF167" s="192">
        <f t="shared" si="15"/>
        <v>10000000</v>
      </c>
      <c r="BG167" s="192">
        <f t="shared" si="16"/>
        <v>10000000</v>
      </c>
      <c r="BH167" s="192">
        <f t="shared" si="17"/>
        <v>10000000</v>
      </c>
      <c r="BI167" s="398" t="s">
        <v>5</v>
      </c>
    </row>
    <row r="168" spans="1:61" s="394" customFormat="1" ht="66.75" customHeight="1">
      <c r="A168" s="423">
        <v>314</v>
      </c>
      <c r="B168" s="392" t="s">
        <v>644</v>
      </c>
      <c r="C168" s="423">
        <v>1</v>
      </c>
      <c r="D168" s="392" t="s">
        <v>148</v>
      </c>
      <c r="E168" s="423">
        <v>22</v>
      </c>
      <c r="F168" s="392" t="s">
        <v>160</v>
      </c>
      <c r="G168" s="423">
        <v>2201</v>
      </c>
      <c r="H168" s="392" t="s">
        <v>298</v>
      </c>
      <c r="I168" s="423">
        <v>2201</v>
      </c>
      <c r="J168" s="392" t="s">
        <v>162</v>
      </c>
      <c r="K168" s="392" t="s">
        <v>726</v>
      </c>
      <c r="L168" s="423">
        <v>2201034</v>
      </c>
      <c r="M168" s="397" t="s">
        <v>731</v>
      </c>
      <c r="N168" s="423">
        <v>2201034</v>
      </c>
      <c r="O168" s="392" t="s">
        <v>731</v>
      </c>
      <c r="P168" s="191">
        <v>220103401</v>
      </c>
      <c r="Q168" s="397" t="s">
        <v>732</v>
      </c>
      <c r="R168" s="191">
        <v>220103401</v>
      </c>
      <c r="S168" s="397" t="s">
        <v>732</v>
      </c>
      <c r="T168" s="388" t="s">
        <v>69</v>
      </c>
      <c r="U168" s="388">
        <v>54</v>
      </c>
      <c r="V168" s="388">
        <v>0</v>
      </c>
      <c r="W168" s="388">
        <f t="shared" si="14"/>
        <v>54</v>
      </c>
      <c r="X168" s="388">
        <v>54</v>
      </c>
      <c r="Y168" s="389">
        <v>2020003630015</v>
      </c>
      <c r="Z168" s="188" t="s">
        <v>729</v>
      </c>
      <c r="AA168" s="546" t="s">
        <v>730</v>
      </c>
      <c r="AB168" s="185"/>
      <c r="AC168" s="185"/>
      <c r="AD168" s="185"/>
      <c r="AE168" s="185">
        <v>0</v>
      </c>
      <c r="AF168" s="185"/>
      <c r="AG168" s="185"/>
      <c r="AH168" s="185"/>
      <c r="AI168" s="185"/>
      <c r="AJ168" s="185"/>
      <c r="AK168" s="185"/>
      <c r="AL168" s="185"/>
      <c r="AM168" s="185"/>
      <c r="AN168" s="185">
        <v>0</v>
      </c>
      <c r="AO168" s="185"/>
      <c r="AP168" s="185"/>
      <c r="AQ168" s="185"/>
      <c r="AR168" s="185"/>
      <c r="AS168" s="185"/>
      <c r="AT168" s="189">
        <v>10000000</v>
      </c>
      <c r="AU168" s="189">
        <f>AT168</f>
        <v>10000000</v>
      </c>
      <c r="AV168" s="189">
        <v>10000000</v>
      </c>
      <c r="AW168" s="185"/>
      <c r="AX168" s="185"/>
      <c r="AY168" s="185"/>
      <c r="AZ168" s="185"/>
      <c r="BA168" s="185"/>
      <c r="BB168" s="185"/>
      <c r="BC168" s="185">
        <v>0</v>
      </c>
      <c r="BD168" s="185"/>
      <c r="BE168" s="185"/>
      <c r="BF168" s="192">
        <f t="shared" si="15"/>
        <v>10000000</v>
      </c>
      <c r="BG168" s="192">
        <f t="shared" si="16"/>
        <v>10000000</v>
      </c>
      <c r="BH168" s="192">
        <f t="shared" si="17"/>
        <v>10000000</v>
      </c>
      <c r="BI168" s="398" t="s">
        <v>5</v>
      </c>
    </row>
    <row r="169" spans="1:61" s="394" customFormat="1" ht="66.75" customHeight="1">
      <c r="A169" s="423">
        <v>314</v>
      </c>
      <c r="B169" s="392" t="s">
        <v>644</v>
      </c>
      <c r="C169" s="423">
        <v>1</v>
      </c>
      <c r="D169" s="392" t="s">
        <v>148</v>
      </c>
      <c r="E169" s="423">
        <v>22</v>
      </c>
      <c r="F169" s="392" t="s">
        <v>160</v>
      </c>
      <c r="G169" s="423">
        <v>2201</v>
      </c>
      <c r="H169" s="392" t="s">
        <v>298</v>
      </c>
      <c r="I169" s="423">
        <v>2201</v>
      </c>
      <c r="J169" s="392" t="s">
        <v>162</v>
      </c>
      <c r="K169" s="392" t="s">
        <v>726</v>
      </c>
      <c r="L169" s="423">
        <v>2201060</v>
      </c>
      <c r="M169" s="397" t="s">
        <v>733</v>
      </c>
      <c r="N169" s="423">
        <v>2201060</v>
      </c>
      <c r="O169" s="392" t="s">
        <v>733</v>
      </c>
      <c r="P169" s="295">
        <v>220106000</v>
      </c>
      <c r="Q169" s="397" t="s">
        <v>734</v>
      </c>
      <c r="R169" s="295">
        <v>220106000</v>
      </c>
      <c r="S169" s="397" t="s">
        <v>734</v>
      </c>
      <c r="T169" s="388" t="s">
        <v>157</v>
      </c>
      <c r="U169" s="388">
        <v>100</v>
      </c>
      <c r="V169" s="388">
        <v>13</v>
      </c>
      <c r="W169" s="388">
        <f t="shared" si="14"/>
        <v>113</v>
      </c>
      <c r="X169" s="388">
        <v>113</v>
      </c>
      <c r="Y169" s="389">
        <v>2020003630015</v>
      </c>
      <c r="Z169" s="188" t="s">
        <v>729</v>
      </c>
      <c r="AA169" s="546" t="s">
        <v>730</v>
      </c>
      <c r="AB169" s="185"/>
      <c r="AC169" s="185"/>
      <c r="AD169" s="185"/>
      <c r="AE169" s="185">
        <v>0</v>
      </c>
      <c r="AF169" s="185"/>
      <c r="AG169" s="185"/>
      <c r="AH169" s="185"/>
      <c r="AI169" s="185"/>
      <c r="AJ169" s="185"/>
      <c r="AK169" s="185"/>
      <c r="AL169" s="185"/>
      <c r="AM169" s="185"/>
      <c r="AN169" s="185">
        <v>0</v>
      </c>
      <c r="AO169" s="185"/>
      <c r="AP169" s="185"/>
      <c r="AQ169" s="185"/>
      <c r="AR169" s="185"/>
      <c r="AS169" s="185"/>
      <c r="AT169" s="189">
        <v>5000000</v>
      </c>
      <c r="AU169" s="189">
        <f>AT169</f>
        <v>5000000</v>
      </c>
      <c r="AV169" s="189">
        <v>5000000</v>
      </c>
      <c r="AW169" s="185"/>
      <c r="AX169" s="185"/>
      <c r="AY169" s="185"/>
      <c r="AZ169" s="185"/>
      <c r="BA169" s="185"/>
      <c r="BB169" s="185"/>
      <c r="BC169" s="185">
        <v>0</v>
      </c>
      <c r="BD169" s="185"/>
      <c r="BE169" s="185"/>
      <c r="BF169" s="192">
        <f t="shared" si="15"/>
        <v>5000000</v>
      </c>
      <c r="BG169" s="192">
        <f t="shared" si="16"/>
        <v>5000000</v>
      </c>
      <c r="BH169" s="192">
        <f t="shared" si="17"/>
        <v>5000000</v>
      </c>
      <c r="BI169" s="398" t="s">
        <v>5</v>
      </c>
    </row>
    <row r="170" spans="1:61" s="394" customFormat="1" ht="66.75" customHeight="1">
      <c r="A170" s="423">
        <v>314</v>
      </c>
      <c r="B170" s="392" t="s">
        <v>644</v>
      </c>
      <c r="C170" s="423">
        <v>1</v>
      </c>
      <c r="D170" s="392" t="s">
        <v>148</v>
      </c>
      <c r="E170" s="423">
        <v>22</v>
      </c>
      <c r="F170" s="392" t="s">
        <v>160</v>
      </c>
      <c r="G170" s="423">
        <v>2201</v>
      </c>
      <c r="H170" s="392" t="s">
        <v>298</v>
      </c>
      <c r="I170" s="423">
        <v>2201</v>
      </c>
      <c r="J170" s="392" t="s">
        <v>162</v>
      </c>
      <c r="K170" s="392" t="s">
        <v>707</v>
      </c>
      <c r="L170" s="423">
        <v>2201001</v>
      </c>
      <c r="M170" s="397" t="s">
        <v>254</v>
      </c>
      <c r="N170" s="423">
        <v>2201001</v>
      </c>
      <c r="O170" s="392" t="s">
        <v>254</v>
      </c>
      <c r="P170" s="191">
        <v>220100100</v>
      </c>
      <c r="Q170" s="397" t="s">
        <v>725</v>
      </c>
      <c r="R170" s="191">
        <v>220100100</v>
      </c>
      <c r="S170" s="397" t="s">
        <v>725</v>
      </c>
      <c r="T170" s="388" t="s">
        <v>69</v>
      </c>
      <c r="U170" s="388">
        <v>5</v>
      </c>
      <c r="V170" s="388"/>
      <c r="W170" s="388">
        <f t="shared" si="14"/>
        <v>5</v>
      </c>
      <c r="X170" s="388">
        <v>4</v>
      </c>
      <c r="Y170" s="389">
        <v>2020003630095</v>
      </c>
      <c r="Z170" s="188" t="s">
        <v>735</v>
      </c>
      <c r="AA170" s="553" t="s">
        <v>736</v>
      </c>
      <c r="AB170" s="185"/>
      <c r="AC170" s="185"/>
      <c r="AD170" s="185"/>
      <c r="AE170" s="185">
        <v>0</v>
      </c>
      <c r="AF170" s="185"/>
      <c r="AG170" s="185"/>
      <c r="AH170" s="185"/>
      <c r="AI170" s="185"/>
      <c r="AJ170" s="185"/>
      <c r="AK170" s="185"/>
      <c r="AL170" s="185"/>
      <c r="AM170" s="185"/>
      <c r="AN170" s="185">
        <v>0</v>
      </c>
      <c r="AO170" s="185"/>
      <c r="AP170" s="185"/>
      <c r="AQ170" s="185"/>
      <c r="AR170" s="185"/>
      <c r="AS170" s="185"/>
      <c r="AT170" s="189">
        <f>9000000+7200000</f>
        <v>16200000</v>
      </c>
      <c r="AU170" s="189">
        <v>16200000</v>
      </c>
      <c r="AV170" s="189">
        <v>16200000</v>
      </c>
      <c r="AW170" s="185"/>
      <c r="AX170" s="185"/>
      <c r="AY170" s="185"/>
      <c r="AZ170" s="185"/>
      <c r="BA170" s="185"/>
      <c r="BB170" s="185"/>
      <c r="BC170" s="185">
        <v>0</v>
      </c>
      <c r="BD170" s="185"/>
      <c r="BE170" s="185"/>
      <c r="BF170" s="192">
        <f t="shared" si="15"/>
        <v>16200000</v>
      </c>
      <c r="BG170" s="192">
        <f t="shared" si="16"/>
        <v>16200000</v>
      </c>
      <c r="BH170" s="192">
        <f t="shared" si="17"/>
        <v>16200000</v>
      </c>
      <c r="BI170" s="398" t="s">
        <v>5</v>
      </c>
    </row>
    <row r="171" spans="1:61" s="394" customFormat="1" ht="66.75" customHeight="1">
      <c r="A171" s="423">
        <v>314</v>
      </c>
      <c r="B171" s="392" t="s">
        <v>644</v>
      </c>
      <c r="C171" s="423">
        <v>1</v>
      </c>
      <c r="D171" s="392" t="s">
        <v>148</v>
      </c>
      <c r="E171" s="423">
        <v>22</v>
      </c>
      <c r="F171" s="392" t="s">
        <v>160</v>
      </c>
      <c r="G171" s="423">
        <v>2201</v>
      </c>
      <c r="H171" s="392" t="s">
        <v>298</v>
      </c>
      <c r="I171" s="423">
        <v>2201</v>
      </c>
      <c r="J171" s="392" t="s">
        <v>162</v>
      </c>
      <c r="K171" s="392" t="s">
        <v>659</v>
      </c>
      <c r="L171" s="423">
        <v>2201048</v>
      </c>
      <c r="M171" s="397" t="s">
        <v>737</v>
      </c>
      <c r="N171" s="423">
        <v>2201048</v>
      </c>
      <c r="O171" s="392" t="s">
        <v>737</v>
      </c>
      <c r="P171" s="191">
        <v>220104801</v>
      </c>
      <c r="Q171" s="397" t="s">
        <v>738</v>
      </c>
      <c r="R171" s="191">
        <v>220104801</v>
      </c>
      <c r="S171" s="397" t="s">
        <v>738</v>
      </c>
      <c r="T171" s="388" t="s">
        <v>69</v>
      </c>
      <c r="U171" s="388">
        <v>1</v>
      </c>
      <c r="V171" s="388"/>
      <c r="W171" s="388">
        <f t="shared" si="14"/>
        <v>1</v>
      </c>
      <c r="X171" s="388">
        <v>1</v>
      </c>
      <c r="Y171" s="389">
        <v>2020003630095</v>
      </c>
      <c r="Z171" s="188" t="s">
        <v>735</v>
      </c>
      <c r="AA171" s="553" t="s">
        <v>736</v>
      </c>
      <c r="AB171" s="185"/>
      <c r="AC171" s="185"/>
      <c r="AD171" s="185"/>
      <c r="AE171" s="185">
        <v>0</v>
      </c>
      <c r="AF171" s="185"/>
      <c r="AG171" s="185"/>
      <c r="AH171" s="185"/>
      <c r="AI171" s="185"/>
      <c r="AJ171" s="185"/>
      <c r="AK171" s="185"/>
      <c r="AL171" s="185"/>
      <c r="AM171" s="185"/>
      <c r="AN171" s="185">
        <v>0</v>
      </c>
      <c r="AO171" s="185"/>
      <c r="AP171" s="185"/>
      <c r="AQ171" s="185"/>
      <c r="AR171" s="185"/>
      <c r="AS171" s="185"/>
      <c r="AT171" s="189">
        <f>22484457+12000000</f>
        <v>34484457</v>
      </c>
      <c r="AU171" s="189">
        <v>34466665</v>
      </c>
      <c r="AV171" s="189">
        <v>34466665</v>
      </c>
      <c r="AW171" s="185"/>
      <c r="AX171" s="185"/>
      <c r="AY171" s="185"/>
      <c r="AZ171" s="185"/>
      <c r="BA171" s="185"/>
      <c r="BB171" s="185"/>
      <c r="BC171" s="185">
        <v>0</v>
      </c>
      <c r="BD171" s="185"/>
      <c r="BE171" s="185"/>
      <c r="BF171" s="192">
        <f t="shared" si="15"/>
        <v>34484457</v>
      </c>
      <c r="BG171" s="192">
        <f t="shared" si="16"/>
        <v>34466665</v>
      </c>
      <c r="BH171" s="192">
        <f t="shared" si="17"/>
        <v>34466665</v>
      </c>
      <c r="BI171" s="398" t="s">
        <v>5</v>
      </c>
    </row>
    <row r="172" spans="1:61" s="394" customFormat="1" ht="66.75" customHeight="1">
      <c r="A172" s="423">
        <v>314</v>
      </c>
      <c r="B172" s="392" t="s">
        <v>644</v>
      </c>
      <c r="C172" s="423">
        <v>1</v>
      </c>
      <c r="D172" s="392" t="s">
        <v>148</v>
      </c>
      <c r="E172" s="423">
        <v>22</v>
      </c>
      <c r="F172" s="392" t="s">
        <v>160</v>
      </c>
      <c r="G172" s="423" t="s">
        <v>61</v>
      </c>
      <c r="H172" s="392" t="s">
        <v>739</v>
      </c>
      <c r="I172" s="423">
        <v>2202</v>
      </c>
      <c r="J172" s="392" t="s">
        <v>740</v>
      </c>
      <c r="K172" s="392" t="s">
        <v>704</v>
      </c>
      <c r="L172" s="423" t="s">
        <v>61</v>
      </c>
      <c r="M172" s="397" t="s">
        <v>741</v>
      </c>
      <c r="N172" s="423">
        <v>2202006</v>
      </c>
      <c r="O172" s="392" t="s">
        <v>741</v>
      </c>
      <c r="P172" s="423" t="s">
        <v>61</v>
      </c>
      <c r="Q172" s="397" t="s">
        <v>742</v>
      </c>
      <c r="R172" s="423">
        <v>220200604</v>
      </c>
      <c r="S172" s="397" t="s">
        <v>743</v>
      </c>
      <c r="T172" s="388" t="s">
        <v>69</v>
      </c>
      <c r="U172" s="388">
        <v>2</v>
      </c>
      <c r="V172" s="388"/>
      <c r="W172" s="388">
        <f t="shared" si="14"/>
        <v>2</v>
      </c>
      <c r="X172" s="388">
        <v>2</v>
      </c>
      <c r="Y172" s="389">
        <v>2020003630096</v>
      </c>
      <c r="Z172" s="188" t="s">
        <v>744</v>
      </c>
      <c r="AA172" s="546" t="s">
        <v>745</v>
      </c>
      <c r="AB172" s="185"/>
      <c r="AC172" s="185"/>
      <c r="AD172" s="185"/>
      <c r="AE172" s="292">
        <f>70000000+100000000</f>
        <v>170000000</v>
      </c>
      <c r="AF172" s="292">
        <v>169797609</v>
      </c>
      <c r="AG172" s="292">
        <v>169797609</v>
      </c>
      <c r="AH172" s="185"/>
      <c r="AI172" s="185"/>
      <c r="AJ172" s="185"/>
      <c r="AK172" s="185"/>
      <c r="AL172" s="185"/>
      <c r="AM172" s="185"/>
      <c r="AN172" s="194">
        <v>0</v>
      </c>
      <c r="AO172" s="194"/>
      <c r="AP172" s="194"/>
      <c r="AQ172" s="185"/>
      <c r="AR172" s="185"/>
      <c r="AS172" s="185"/>
      <c r="AT172" s="189">
        <f>100000000-100000000+46733000</f>
        <v>46733000</v>
      </c>
      <c r="AU172" s="189">
        <v>36592336</v>
      </c>
      <c r="AV172" s="189">
        <v>36592336</v>
      </c>
      <c r="AW172" s="185"/>
      <c r="AX172" s="185"/>
      <c r="AY172" s="185"/>
      <c r="AZ172" s="185"/>
      <c r="BA172" s="185"/>
      <c r="BB172" s="185"/>
      <c r="BC172" s="185">
        <v>0</v>
      </c>
      <c r="BD172" s="185"/>
      <c r="BE172" s="185"/>
      <c r="BF172" s="192">
        <f t="shared" si="15"/>
        <v>216733000</v>
      </c>
      <c r="BG172" s="192">
        <f t="shared" si="16"/>
        <v>206389945</v>
      </c>
      <c r="BH172" s="192">
        <f t="shared" si="17"/>
        <v>206389945</v>
      </c>
      <c r="BI172" s="398" t="s">
        <v>5</v>
      </c>
    </row>
    <row r="173" spans="1:61" s="394" customFormat="1" ht="66.75" customHeight="1">
      <c r="A173" s="423">
        <v>314</v>
      </c>
      <c r="B173" s="392" t="s">
        <v>644</v>
      </c>
      <c r="C173" s="423">
        <v>2</v>
      </c>
      <c r="D173" s="392" t="s">
        <v>200</v>
      </c>
      <c r="E173" s="423">
        <v>39</v>
      </c>
      <c r="F173" s="392" t="s">
        <v>746</v>
      </c>
      <c r="G173" s="423">
        <v>3904</v>
      </c>
      <c r="H173" s="392" t="s">
        <v>747</v>
      </c>
      <c r="I173" s="423">
        <v>3904</v>
      </c>
      <c r="J173" s="392" t="s">
        <v>748</v>
      </c>
      <c r="K173" s="392" t="s">
        <v>749</v>
      </c>
      <c r="L173" s="423">
        <v>3904006</v>
      </c>
      <c r="M173" s="397" t="s">
        <v>750</v>
      </c>
      <c r="N173" s="423">
        <v>3904006</v>
      </c>
      <c r="O173" s="392" t="s">
        <v>750</v>
      </c>
      <c r="P173" s="388">
        <v>390400604</v>
      </c>
      <c r="Q173" s="397" t="s">
        <v>751</v>
      </c>
      <c r="R173" s="388">
        <v>390400604</v>
      </c>
      <c r="S173" s="397" t="s">
        <v>752</v>
      </c>
      <c r="T173" s="401" t="s">
        <v>157</v>
      </c>
      <c r="U173" s="388">
        <v>18</v>
      </c>
      <c r="V173" s="388"/>
      <c r="W173" s="388">
        <f t="shared" si="14"/>
        <v>18</v>
      </c>
      <c r="X173" s="388">
        <v>16</v>
      </c>
      <c r="Y173" s="389">
        <v>2020003630097</v>
      </c>
      <c r="Z173" s="188" t="s">
        <v>753</v>
      </c>
      <c r="AA173" s="546" t="s">
        <v>754</v>
      </c>
      <c r="AB173" s="185"/>
      <c r="AC173" s="185"/>
      <c r="AD173" s="185"/>
      <c r="AE173" s="292">
        <v>20000000</v>
      </c>
      <c r="AF173" s="292">
        <v>20000000</v>
      </c>
      <c r="AG173" s="292">
        <v>20000000</v>
      </c>
      <c r="AH173" s="185"/>
      <c r="AI173" s="185"/>
      <c r="AJ173" s="185"/>
      <c r="AK173" s="185"/>
      <c r="AL173" s="185"/>
      <c r="AM173" s="185"/>
      <c r="AN173" s="194">
        <v>30000000</v>
      </c>
      <c r="AO173" s="194">
        <v>30000000</v>
      </c>
      <c r="AP173" s="194">
        <v>30000000</v>
      </c>
      <c r="AQ173" s="185"/>
      <c r="AR173" s="185"/>
      <c r="AS173" s="185"/>
      <c r="AT173" s="189">
        <v>12514678</v>
      </c>
      <c r="AU173" s="189">
        <v>12510500</v>
      </c>
      <c r="AV173" s="189">
        <v>12510500</v>
      </c>
      <c r="AW173" s="185"/>
      <c r="AX173" s="185"/>
      <c r="AY173" s="185"/>
      <c r="AZ173" s="185"/>
      <c r="BA173" s="185"/>
      <c r="BB173" s="185"/>
      <c r="BC173" s="185">
        <v>0</v>
      </c>
      <c r="BD173" s="185"/>
      <c r="BE173" s="185"/>
      <c r="BF173" s="192">
        <f t="shared" si="15"/>
        <v>62514678</v>
      </c>
      <c r="BG173" s="192">
        <f t="shared" si="16"/>
        <v>62510500</v>
      </c>
      <c r="BH173" s="192">
        <f t="shared" si="17"/>
        <v>62510500</v>
      </c>
      <c r="BI173" s="398" t="s">
        <v>5</v>
      </c>
    </row>
    <row r="174" spans="1:61" s="394" customFormat="1" ht="66.75" customHeight="1">
      <c r="A174" s="423">
        <v>316</v>
      </c>
      <c r="B174" s="392" t="s">
        <v>755</v>
      </c>
      <c r="C174" s="423">
        <v>1</v>
      </c>
      <c r="D174" s="392" t="s">
        <v>148</v>
      </c>
      <c r="E174" s="423">
        <v>19</v>
      </c>
      <c r="F174" s="392" t="s">
        <v>756</v>
      </c>
      <c r="G174" s="423">
        <v>1905</v>
      </c>
      <c r="H174" s="392" t="s">
        <v>757</v>
      </c>
      <c r="I174" s="423">
        <v>1905</v>
      </c>
      <c r="J174" s="392" t="s">
        <v>758</v>
      </c>
      <c r="K174" s="392" t="s">
        <v>759</v>
      </c>
      <c r="L174" s="191">
        <v>1905021</v>
      </c>
      <c r="M174" s="397" t="s">
        <v>760</v>
      </c>
      <c r="N174" s="191">
        <v>1905021</v>
      </c>
      <c r="O174" s="392" t="s">
        <v>760</v>
      </c>
      <c r="P174" s="191">
        <v>190502100</v>
      </c>
      <c r="Q174" s="397" t="s">
        <v>761</v>
      </c>
      <c r="R174" s="191">
        <v>190502100</v>
      </c>
      <c r="S174" s="397" t="s">
        <v>761</v>
      </c>
      <c r="T174" s="388" t="s">
        <v>69</v>
      </c>
      <c r="U174" s="388">
        <v>12</v>
      </c>
      <c r="V174" s="388"/>
      <c r="W174" s="388">
        <f t="shared" si="14"/>
        <v>12</v>
      </c>
      <c r="X174" s="388">
        <v>12</v>
      </c>
      <c r="Y174" s="389">
        <v>2020003630011</v>
      </c>
      <c r="Z174" s="188" t="s">
        <v>762</v>
      </c>
      <c r="AA174" s="553" t="s">
        <v>763</v>
      </c>
      <c r="AB174" s="185"/>
      <c r="AC174" s="185"/>
      <c r="AD174" s="185"/>
      <c r="AE174" s="185"/>
      <c r="AF174" s="185"/>
      <c r="AG174" s="185"/>
      <c r="AH174" s="185"/>
      <c r="AI174" s="185"/>
      <c r="AJ174" s="185"/>
      <c r="AK174" s="185"/>
      <c r="AL174" s="185"/>
      <c r="AM174" s="185"/>
      <c r="AN174" s="185"/>
      <c r="AO174" s="185"/>
      <c r="AP174" s="185"/>
      <c r="AQ174" s="185"/>
      <c r="AR174" s="185"/>
      <c r="AS174" s="185"/>
      <c r="AT174" s="194">
        <f>60000000+3000000+76789640-2900000</f>
        <v>136889640</v>
      </c>
      <c r="AU174" s="194">
        <v>136889640</v>
      </c>
      <c r="AV174" s="194">
        <v>136889640</v>
      </c>
      <c r="AW174" s="185"/>
      <c r="AX174" s="185"/>
      <c r="AY174" s="185"/>
      <c r="AZ174" s="185"/>
      <c r="BA174" s="185"/>
      <c r="BB174" s="185"/>
      <c r="BC174" s="185"/>
      <c r="BD174" s="185"/>
      <c r="BE174" s="185"/>
      <c r="BF174" s="192">
        <f t="shared" si="15"/>
        <v>136889640</v>
      </c>
      <c r="BG174" s="192">
        <f t="shared" si="16"/>
        <v>136889640</v>
      </c>
      <c r="BH174" s="192">
        <f t="shared" si="17"/>
        <v>136889640</v>
      </c>
      <c r="BI174" s="398" t="s">
        <v>6</v>
      </c>
    </row>
    <row r="175" spans="1:61" s="394" customFormat="1" ht="66.75" customHeight="1">
      <c r="A175" s="423">
        <v>316</v>
      </c>
      <c r="B175" s="392" t="s">
        <v>755</v>
      </c>
      <c r="C175" s="423">
        <v>1</v>
      </c>
      <c r="D175" s="392" t="s">
        <v>148</v>
      </c>
      <c r="E175" s="423">
        <v>19</v>
      </c>
      <c r="F175" s="392" t="s">
        <v>756</v>
      </c>
      <c r="G175" s="423">
        <v>1905</v>
      </c>
      <c r="H175" s="392" t="s">
        <v>757</v>
      </c>
      <c r="I175" s="423">
        <v>1905</v>
      </c>
      <c r="J175" s="392" t="s">
        <v>758</v>
      </c>
      <c r="K175" s="392" t="s">
        <v>764</v>
      </c>
      <c r="L175" s="435">
        <v>1905022</v>
      </c>
      <c r="M175" s="397" t="s">
        <v>765</v>
      </c>
      <c r="N175" s="435">
        <v>1905022</v>
      </c>
      <c r="O175" s="411" t="s">
        <v>765</v>
      </c>
      <c r="P175" s="388">
        <v>190502200</v>
      </c>
      <c r="Q175" s="397" t="s">
        <v>766</v>
      </c>
      <c r="R175" s="388">
        <v>190502200</v>
      </c>
      <c r="S175" s="397" t="s">
        <v>766</v>
      </c>
      <c r="T175" s="388" t="s">
        <v>69</v>
      </c>
      <c r="U175" s="388">
        <v>12</v>
      </c>
      <c r="V175" s="388"/>
      <c r="W175" s="388">
        <f t="shared" si="14"/>
        <v>12</v>
      </c>
      <c r="X175" s="388">
        <v>12</v>
      </c>
      <c r="Y175" s="389">
        <v>2020003630011</v>
      </c>
      <c r="Z175" s="188" t="s">
        <v>762</v>
      </c>
      <c r="AA175" s="553" t="s">
        <v>763</v>
      </c>
      <c r="AB175" s="185"/>
      <c r="AC175" s="185"/>
      <c r="AD175" s="185"/>
      <c r="AE175" s="185"/>
      <c r="AF175" s="185"/>
      <c r="AG175" s="185"/>
      <c r="AH175" s="185"/>
      <c r="AI175" s="185"/>
      <c r="AJ175" s="185"/>
      <c r="AK175" s="185"/>
      <c r="AL175" s="185"/>
      <c r="AM175" s="185"/>
      <c r="AN175" s="185"/>
      <c r="AO175" s="185"/>
      <c r="AP175" s="185"/>
      <c r="AQ175" s="185"/>
      <c r="AR175" s="185"/>
      <c r="AS175" s="185"/>
      <c r="AT175" s="192">
        <f>40000000+30000000+29400000</f>
        <v>99400000</v>
      </c>
      <c r="AU175" s="192">
        <v>99377023</v>
      </c>
      <c r="AV175" s="194">
        <v>99377023</v>
      </c>
      <c r="AW175" s="185"/>
      <c r="AX175" s="185"/>
      <c r="AY175" s="185"/>
      <c r="AZ175" s="185"/>
      <c r="BA175" s="185"/>
      <c r="BB175" s="185"/>
      <c r="BC175" s="185"/>
      <c r="BD175" s="185"/>
      <c r="BE175" s="185"/>
      <c r="BF175" s="192">
        <f t="shared" si="15"/>
        <v>99400000</v>
      </c>
      <c r="BG175" s="192">
        <f t="shared" si="16"/>
        <v>99377023</v>
      </c>
      <c r="BH175" s="192">
        <f t="shared" si="17"/>
        <v>99377023</v>
      </c>
      <c r="BI175" s="398" t="s">
        <v>6</v>
      </c>
    </row>
    <row r="176" spans="1:61" s="394" customFormat="1" ht="66.75" customHeight="1">
      <c r="A176" s="423">
        <v>316</v>
      </c>
      <c r="B176" s="392" t="s">
        <v>755</v>
      </c>
      <c r="C176" s="423">
        <v>1</v>
      </c>
      <c r="D176" s="392" t="s">
        <v>148</v>
      </c>
      <c r="E176" s="423">
        <v>33</v>
      </c>
      <c r="F176" s="392" t="s">
        <v>170</v>
      </c>
      <c r="G176" s="423">
        <v>3301</v>
      </c>
      <c r="H176" s="393" t="s">
        <v>171</v>
      </c>
      <c r="I176" s="423">
        <v>3301</v>
      </c>
      <c r="J176" s="392" t="s">
        <v>172</v>
      </c>
      <c r="K176" s="392" t="s">
        <v>767</v>
      </c>
      <c r="L176" s="191">
        <v>3301051</v>
      </c>
      <c r="M176" s="397" t="s">
        <v>768</v>
      </c>
      <c r="N176" s="191">
        <v>3301051</v>
      </c>
      <c r="O176" s="392" t="s">
        <v>768</v>
      </c>
      <c r="P176" s="191">
        <v>330105110</v>
      </c>
      <c r="Q176" s="397" t="s">
        <v>769</v>
      </c>
      <c r="R176" s="191">
        <v>330105110</v>
      </c>
      <c r="S176" s="397" t="s">
        <v>769</v>
      </c>
      <c r="T176" s="388" t="s">
        <v>157</v>
      </c>
      <c r="U176" s="388">
        <v>350</v>
      </c>
      <c r="V176" s="388"/>
      <c r="W176" s="388">
        <f t="shared" si="14"/>
        <v>350</v>
      </c>
      <c r="X176" s="388">
        <v>350</v>
      </c>
      <c r="Y176" s="389">
        <v>2020003630098</v>
      </c>
      <c r="Z176" s="188" t="s">
        <v>770</v>
      </c>
      <c r="AA176" s="546" t="s">
        <v>771</v>
      </c>
      <c r="AB176" s="185"/>
      <c r="AC176" s="185"/>
      <c r="AD176" s="185"/>
      <c r="AE176" s="185"/>
      <c r="AF176" s="185"/>
      <c r="AG176" s="185"/>
      <c r="AH176" s="185"/>
      <c r="AI176" s="185"/>
      <c r="AJ176" s="185"/>
      <c r="AK176" s="185"/>
      <c r="AL176" s="185"/>
      <c r="AM176" s="185"/>
      <c r="AN176" s="185"/>
      <c r="AO176" s="185"/>
      <c r="AP176" s="185"/>
      <c r="AQ176" s="185"/>
      <c r="AR176" s="185"/>
      <c r="AS176" s="185"/>
      <c r="AT176" s="192">
        <f>14600000+4300000+12800000</f>
        <v>31700000</v>
      </c>
      <c r="AU176" s="192">
        <v>31528333</v>
      </c>
      <c r="AV176" s="194">
        <v>31528333</v>
      </c>
      <c r="AW176" s="185"/>
      <c r="AX176" s="185"/>
      <c r="AY176" s="185"/>
      <c r="AZ176" s="185"/>
      <c r="BA176" s="185"/>
      <c r="BB176" s="185"/>
      <c r="BC176" s="185"/>
      <c r="BD176" s="185"/>
      <c r="BE176" s="185"/>
      <c r="BF176" s="192">
        <f t="shared" si="15"/>
        <v>31700000</v>
      </c>
      <c r="BG176" s="192">
        <f t="shared" si="16"/>
        <v>31528333</v>
      </c>
      <c r="BH176" s="192">
        <f t="shared" si="17"/>
        <v>31528333</v>
      </c>
      <c r="BI176" s="398" t="s">
        <v>6</v>
      </c>
    </row>
    <row r="177" spans="1:61" s="394" customFormat="1" ht="66.75" customHeight="1">
      <c r="A177" s="423">
        <v>316</v>
      </c>
      <c r="B177" s="392" t="s">
        <v>755</v>
      </c>
      <c r="C177" s="423">
        <v>1</v>
      </c>
      <c r="D177" s="392" t="s">
        <v>148</v>
      </c>
      <c r="E177" s="423">
        <v>41</v>
      </c>
      <c r="F177" s="392" t="s">
        <v>772</v>
      </c>
      <c r="G177" s="423">
        <v>4102</v>
      </c>
      <c r="H177" s="392" t="s">
        <v>773</v>
      </c>
      <c r="I177" s="423">
        <v>4102</v>
      </c>
      <c r="J177" s="392" t="s">
        <v>774</v>
      </c>
      <c r="K177" s="392" t="s">
        <v>775</v>
      </c>
      <c r="L177" s="423" t="s">
        <v>61</v>
      </c>
      <c r="M177" s="397" t="s">
        <v>776</v>
      </c>
      <c r="N177" s="191">
        <v>4102035</v>
      </c>
      <c r="O177" s="392" t="s">
        <v>101</v>
      </c>
      <c r="P177" s="423" t="s">
        <v>61</v>
      </c>
      <c r="Q177" s="397" t="s">
        <v>777</v>
      </c>
      <c r="R177" s="186">
        <v>410203500</v>
      </c>
      <c r="S177" s="397" t="s">
        <v>103</v>
      </c>
      <c r="T177" s="186" t="s">
        <v>69</v>
      </c>
      <c r="U177" s="186">
        <v>1</v>
      </c>
      <c r="V177" s="186"/>
      <c r="W177" s="388">
        <f t="shared" si="14"/>
        <v>1</v>
      </c>
      <c r="X177" s="388">
        <v>0.75</v>
      </c>
      <c r="Y177" s="389">
        <v>2020003630099</v>
      </c>
      <c r="Z177" s="188" t="s">
        <v>778</v>
      </c>
      <c r="AA177" s="546" t="s">
        <v>779</v>
      </c>
      <c r="AB177" s="185"/>
      <c r="AC177" s="185"/>
      <c r="AD177" s="185"/>
      <c r="AE177" s="185"/>
      <c r="AF177" s="185"/>
      <c r="AG177" s="185"/>
      <c r="AH177" s="185"/>
      <c r="AI177" s="185"/>
      <c r="AJ177" s="185"/>
      <c r="AK177" s="185"/>
      <c r="AL177" s="185"/>
      <c r="AM177" s="185"/>
      <c r="AN177" s="185"/>
      <c r="AO177" s="185"/>
      <c r="AP177" s="185"/>
      <c r="AQ177" s="185"/>
      <c r="AR177" s="185"/>
      <c r="AS177" s="185"/>
      <c r="AT177" s="192">
        <f>20000000+7500000</f>
        <v>27500000</v>
      </c>
      <c r="AU177" s="192">
        <v>27500000</v>
      </c>
      <c r="AV177" s="194">
        <v>27500000</v>
      </c>
      <c r="AW177" s="185"/>
      <c r="AX177" s="185"/>
      <c r="AY177" s="185"/>
      <c r="AZ177" s="185"/>
      <c r="BA177" s="185"/>
      <c r="BB177" s="185"/>
      <c r="BC177" s="185"/>
      <c r="BD177" s="185"/>
      <c r="BE177" s="185"/>
      <c r="BF177" s="192">
        <f t="shared" si="15"/>
        <v>27500000</v>
      </c>
      <c r="BG177" s="192">
        <f t="shared" si="16"/>
        <v>27500000</v>
      </c>
      <c r="BH177" s="192">
        <f t="shared" si="17"/>
        <v>27500000</v>
      </c>
      <c r="BI177" s="398" t="s">
        <v>6</v>
      </c>
    </row>
    <row r="178" spans="1:61" s="394" customFormat="1" ht="66.75" customHeight="1">
      <c r="A178" s="423">
        <v>316</v>
      </c>
      <c r="B178" s="392" t="s">
        <v>755</v>
      </c>
      <c r="C178" s="423">
        <v>1</v>
      </c>
      <c r="D178" s="392" t="s">
        <v>148</v>
      </c>
      <c r="E178" s="423">
        <v>41</v>
      </c>
      <c r="F178" s="392" t="s">
        <v>772</v>
      </c>
      <c r="G178" s="423">
        <v>4102</v>
      </c>
      <c r="H178" s="392" t="s">
        <v>773</v>
      </c>
      <c r="I178" s="423">
        <v>4102</v>
      </c>
      <c r="J178" s="392" t="s">
        <v>774</v>
      </c>
      <c r="K178" s="392" t="s">
        <v>780</v>
      </c>
      <c r="L178" s="423" t="s">
        <v>61</v>
      </c>
      <c r="M178" s="397" t="s">
        <v>781</v>
      </c>
      <c r="N178" s="191">
        <v>4102001</v>
      </c>
      <c r="O178" s="392" t="s">
        <v>782</v>
      </c>
      <c r="P178" s="423" t="s">
        <v>61</v>
      </c>
      <c r="Q178" s="397" t="s">
        <v>783</v>
      </c>
      <c r="R178" s="191">
        <v>410200100</v>
      </c>
      <c r="S178" s="397" t="s">
        <v>784</v>
      </c>
      <c r="T178" s="186" t="s">
        <v>69</v>
      </c>
      <c r="U178" s="186">
        <v>12</v>
      </c>
      <c r="V178" s="186"/>
      <c r="W178" s="388">
        <f t="shared" si="14"/>
        <v>12</v>
      </c>
      <c r="X178" s="388">
        <v>9</v>
      </c>
      <c r="Y178" s="389">
        <v>2020003630099</v>
      </c>
      <c r="Z178" s="188" t="s">
        <v>778</v>
      </c>
      <c r="AA178" s="546" t="s">
        <v>779</v>
      </c>
      <c r="AB178" s="185"/>
      <c r="AC178" s="185"/>
      <c r="AD178" s="185"/>
      <c r="AE178" s="185"/>
      <c r="AF178" s="185"/>
      <c r="AG178" s="185"/>
      <c r="AH178" s="185"/>
      <c r="AI178" s="185"/>
      <c r="AJ178" s="185"/>
      <c r="AK178" s="185"/>
      <c r="AL178" s="185"/>
      <c r="AM178" s="185"/>
      <c r="AN178" s="185"/>
      <c r="AO178" s="185"/>
      <c r="AP178" s="185"/>
      <c r="AQ178" s="185"/>
      <c r="AR178" s="185"/>
      <c r="AS178" s="185"/>
      <c r="AT178" s="192">
        <f>37000000+14600000+500000</f>
        <v>52100000</v>
      </c>
      <c r="AU178" s="192">
        <v>51780000</v>
      </c>
      <c r="AV178" s="194">
        <v>51780000</v>
      </c>
      <c r="AW178" s="185"/>
      <c r="AX178" s="185"/>
      <c r="AY178" s="185"/>
      <c r="AZ178" s="185"/>
      <c r="BA178" s="185"/>
      <c r="BB178" s="185"/>
      <c r="BC178" s="185"/>
      <c r="BD178" s="185"/>
      <c r="BE178" s="185"/>
      <c r="BF178" s="192">
        <f t="shared" si="15"/>
        <v>52100000</v>
      </c>
      <c r="BG178" s="192">
        <f t="shared" si="16"/>
        <v>51780000</v>
      </c>
      <c r="BH178" s="192">
        <f t="shared" si="17"/>
        <v>51780000</v>
      </c>
      <c r="BI178" s="398" t="s">
        <v>6</v>
      </c>
    </row>
    <row r="179" spans="1:61" s="394" customFormat="1" ht="66.75" customHeight="1">
      <c r="A179" s="423">
        <v>316</v>
      </c>
      <c r="B179" s="392" t="s">
        <v>755</v>
      </c>
      <c r="C179" s="423">
        <v>1</v>
      </c>
      <c r="D179" s="392" t="s">
        <v>148</v>
      </c>
      <c r="E179" s="423">
        <v>41</v>
      </c>
      <c r="F179" s="392" t="s">
        <v>772</v>
      </c>
      <c r="G179" s="423">
        <v>4102</v>
      </c>
      <c r="H179" s="392" t="s">
        <v>773</v>
      </c>
      <c r="I179" s="423">
        <v>4102</v>
      </c>
      <c r="J179" s="392" t="s">
        <v>774</v>
      </c>
      <c r="K179" s="392" t="s">
        <v>785</v>
      </c>
      <c r="L179" s="423" t="s">
        <v>61</v>
      </c>
      <c r="M179" s="397" t="s">
        <v>786</v>
      </c>
      <c r="N179" s="436" t="s">
        <v>787</v>
      </c>
      <c r="O179" s="392" t="s">
        <v>788</v>
      </c>
      <c r="P179" s="423" t="s">
        <v>61</v>
      </c>
      <c r="Q179" s="397" t="s">
        <v>789</v>
      </c>
      <c r="R179" s="436" t="s">
        <v>790</v>
      </c>
      <c r="S179" s="397" t="s">
        <v>791</v>
      </c>
      <c r="T179" s="186" t="s">
        <v>69</v>
      </c>
      <c r="U179" s="186">
        <v>1</v>
      </c>
      <c r="V179" s="186"/>
      <c r="W179" s="388">
        <f t="shared" si="14"/>
        <v>1</v>
      </c>
      <c r="X179" s="388">
        <v>1</v>
      </c>
      <c r="Y179" s="389">
        <v>2020003630100</v>
      </c>
      <c r="Z179" s="188" t="s">
        <v>792</v>
      </c>
      <c r="AA179" s="546" t="s">
        <v>793</v>
      </c>
      <c r="AB179" s="185"/>
      <c r="AC179" s="185"/>
      <c r="AD179" s="185"/>
      <c r="AE179" s="185"/>
      <c r="AF179" s="185"/>
      <c r="AG179" s="185"/>
      <c r="AH179" s="185"/>
      <c r="AI179" s="185"/>
      <c r="AJ179" s="185"/>
      <c r="AK179" s="185"/>
      <c r="AL179" s="185"/>
      <c r="AM179" s="185"/>
      <c r="AN179" s="185"/>
      <c r="AO179" s="185"/>
      <c r="AP179" s="185"/>
      <c r="AQ179" s="185"/>
      <c r="AR179" s="185"/>
      <c r="AS179" s="185"/>
      <c r="AT179" s="192">
        <f>100200000+24600000+43540000+40000000-2829961</f>
        <v>205510039</v>
      </c>
      <c r="AU179" s="192">
        <v>204576666</v>
      </c>
      <c r="AV179" s="194">
        <v>204576666</v>
      </c>
      <c r="AW179" s="185"/>
      <c r="AX179" s="185"/>
      <c r="AY179" s="185"/>
      <c r="AZ179" s="185"/>
      <c r="BA179" s="185"/>
      <c r="BB179" s="185"/>
      <c r="BC179" s="185"/>
      <c r="BD179" s="185"/>
      <c r="BE179" s="185"/>
      <c r="BF179" s="192">
        <f t="shared" si="15"/>
        <v>205510039</v>
      </c>
      <c r="BG179" s="192">
        <f t="shared" si="16"/>
        <v>204576666</v>
      </c>
      <c r="BH179" s="192">
        <f t="shared" si="17"/>
        <v>204576666</v>
      </c>
      <c r="BI179" s="398" t="s">
        <v>6</v>
      </c>
    </row>
    <row r="180" spans="1:61" s="394" customFormat="1" ht="66.75" customHeight="1">
      <c r="A180" s="423">
        <v>316</v>
      </c>
      <c r="B180" s="392" t="s">
        <v>755</v>
      </c>
      <c r="C180" s="423">
        <v>1</v>
      </c>
      <c r="D180" s="392" t="s">
        <v>148</v>
      </c>
      <c r="E180" s="423">
        <v>41</v>
      </c>
      <c r="F180" s="392" t="s">
        <v>772</v>
      </c>
      <c r="G180" s="423">
        <v>4102</v>
      </c>
      <c r="H180" s="392" t="s">
        <v>773</v>
      </c>
      <c r="I180" s="423">
        <v>4102</v>
      </c>
      <c r="J180" s="393" t="s">
        <v>774</v>
      </c>
      <c r="K180" s="392" t="s">
        <v>794</v>
      </c>
      <c r="L180" s="423" t="s">
        <v>61</v>
      </c>
      <c r="M180" s="397" t="s">
        <v>795</v>
      </c>
      <c r="N180" s="436" t="s">
        <v>787</v>
      </c>
      <c r="O180" s="392" t="s">
        <v>796</v>
      </c>
      <c r="P180" s="423" t="s">
        <v>61</v>
      </c>
      <c r="Q180" s="393" t="s">
        <v>797</v>
      </c>
      <c r="R180" s="191">
        <v>410204301</v>
      </c>
      <c r="S180" s="392" t="s">
        <v>798</v>
      </c>
      <c r="T180" s="186" t="s">
        <v>69</v>
      </c>
      <c r="U180" s="186">
        <v>1</v>
      </c>
      <c r="V180" s="186"/>
      <c r="W180" s="388">
        <f t="shared" si="14"/>
        <v>1</v>
      </c>
      <c r="X180" s="388">
        <v>1</v>
      </c>
      <c r="Y180" s="389">
        <v>2020003630101</v>
      </c>
      <c r="Z180" s="188" t="s">
        <v>799</v>
      </c>
      <c r="AA180" s="546" t="s">
        <v>800</v>
      </c>
      <c r="AB180" s="185"/>
      <c r="AC180" s="185"/>
      <c r="AD180" s="185"/>
      <c r="AE180" s="185"/>
      <c r="AF180" s="185"/>
      <c r="AG180" s="185"/>
      <c r="AH180" s="185"/>
      <c r="AI180" s="185"/>
      <c r="AJ180" s="185"/>
      <c r="AK180" s="185"/>
      <c r="AL180" s="185"/>
      <c r="AM180" s="185"/>
      <c r="AN180" s="185"/>
      <c r="AO180" s="185"/>
      <c r="AP180" s="185"/>
      <c r="AQ180" s="185"/>
      <c r="AR180" s="185"/>
      <c r="AS180" s="185"/>
      <c r="AT180" s="192">
        <f>229000000+68700000+35000000+510696665-400000000+50000000+300000000</f>
        <v>793396665</v>
      </c>
      <c r="AU180" s="192">
        <v>486779497</v>
      </c>
      <c r="AV180" s="194">
        <v>486779497</v>
      </c>
      <c r="AW180" s="185"/>
      <c r="AX180" s="185"/>
      <c r="AY180" s="185"/>
      <c r="AZ180" s="185"/>
      <c r="BA180" s="185"/>
      <c r="BB180" s="185"/>
      <c r="BC180" s="185"/>
      <c r="BD180" s="185"/>
      <c r="BE180" s="185"/>
      <c r="BF180" s="192">
        <f t="shared" si="15"/>
        <v>793396665</v>
      </c>
      <c r="BG180" s="192">
        <f t="shared" si="16"/>
        <v>486779497</v>
      </c>
      <c r="BH180" s="192">
        <f t="shared" si="17"/>
        <v>486779497</v>
      </c>
      <c r="BI180" s="398" t="s">
        <v>6</v>
      </c>
    </row>
    <row r="181" spans="1:61" s="394" customFormat="1" ht="66.75" customHeight="1">
      <c r="A181" s="423">
        <v>316</v>
      </c>
      <c r="B181" s="392" t="s">
        <v>755</v>
      </c>
      <c r="C181" s="423">
        <v>1</v>
      </c>
      <c r="D181" s="392" t="s">
        <v>148</v>
      </c>
      <c r="E181" s="423">
        <v>41</v>
      </c>
      <c r="F181" s="392" t="s">
        <v>772</v>
      </c>
      <c r="G181" s="423">
        <v>4102</v>
      </c>
      <c r="H181" s="392" t="s">
        <v>773</v>
      </c>
      <c r="I181" s="423">
        <v>4102</v>
      </c>
      <c r="J181" s="392" t="s">
        <v>774</v>
      </c>
      <c r="K181" s="392" t="s">
        <v>801</v>
      </c>
      <c r="L181" s="423" t="s">
        <v>61</v>
      </c>
      <c r="M181" s="397" t="s">
        <v>802</v>
      </c>
      <c r="N181" s="191">
        <v>4102038</v>
      </c>
      <c r="O181" s="392" t="s">
        <v>803</v>
      </c>
      <c r="P181" s="423" t="s">
        <v>61</v>
      </c>
      <c r="Q181" s="397" t="s">
        <v>804</v>
      </c>
      <c r="R181" s="191">
        <v>410203800</v>
      </c>
      <c r="S181" s="392" t="s">
        <v>805</v>
      </c>
      <c r="T181" s="186" t="s">
        <v>69</v>
      </c>
      <c r="U181" s="186">
        <v>1</v>
      </c>
      <c r="V181" s="186"/>
      <c r="W181" s="388">
        <f t="shared" si="14"/>
        <v>1</v>
      </c>
      <c r="X181" s="388">
        <v>1</v>
      </c>
      <c r="Y181" s="389">
        <v>2020003630102</v>
      </c>
      <c r="Z181" s="393" t="s">
        <v>806</v>
      </c>
      <c r="AA181" s="546" t="s">
        <v>807</v>
      </c>
      <c r="AB181" s="185"/>
      <c r="AC181" s="185"/>
      <c r="AD181" s="185"/>
      <c r="AE181" s="185"/>
      <c r="AF181" s="185"/>
      <c r="AG181" s="185"/>
      <c r="AH181" s="185"/>
      <c r="AI181" s="185"/>
      <c r="AJ181" s="185"/>
      <c r="AK181" s="185"/>
      <c r="AL181" s="185"/>
      <c r="AM181" s="185"/>
      <c r="AN181" s="185"/>
      <c r="AO181" s="185"/>
      <c r="AP181" s="185"/>
      <c r="AQ181" s="185"/>
      <c r="AR181" s="185"/>
      <c r="AS181" s="185"/>
      <c r="AT181" s="192">
        <f>180000000+54000000+30000000+57592028+10000000+50753000+60000000-23526972</f>
        <v>418818056</v>
      </c>
      <c r="AU181" s="192">
        <v>401779056</v>
      </c>
      <c r="AV181" s="194">
        <v>397379056</v>
      </c>
      <c r="AW181" s="185"/>
      <c r="AX181" s="185"/>
      <c r="AY181" s="185"/>
      <c r="AZ181" s="185"/>
      <c r="BA181" s="185"/>
      <c r="BB181" s="185"/>
      <c r="BC181" s="185"/>
      <c r="BD181" s="185"/>
      <c r="BE181" s="185"/>
      <c r="BF181" s="192">
        <f t="shared" si="15"/>
        <v>418818056</v>
      </c>
      <c r="BG181" s="192">
        <f t="shared" si="16"/>
        <v>401779056</v>
      </c>
      <c r="BH181" s="192">
        <f t="shared" si="17"/>
        <v>397379056</v>
      </c>
      <c r="BI181" s="398" t="s">
        <v>6</v>
      </c>
    </row>
    <row r="182" spans="1:61" s="394" customFormat="1" ht="66.75" customHeight="1">
      <c r="A182" s="423">
        <v>316</v>
      </c>
      <c r="B182" s="392" t="s">
        <v>755</v>
      </c>
      <c r="C182" s="423">
        <v>1</v>
      </c>
      <c r="D182" s="392" t="s">
        <v>148</v>
      </c>
      <c r="E182" s="423">
        <v>41</v>
      </c>
      <c r="F182" s="392" t="s">
        <v>772</v>
      </c>
      <c r="G182" s="423">
        <v>4102</v>
      </c>
      <c r="H182" s="392" t="s">
        <v>773</v>
      </c>
      <c r="I182" s="423">
        <v>4102</v>
      </c>
      <c r="J182" s="392" t="s">
        <v>774</v>
      </c>
      <c r="K182" s="392" t="s">
        <v>808</v>
      </c>
      <c r="L182" s="423" t="s">
        <v>61</v>
      </c>
      <c r="M182" s="397" t="s">
        <v>809</v>
      </c>
      <c r="N182" s="191">
        <v>4102042</v>
      </c>
      <c r="O182" s="392" t="s">
        <v>810</v>
      </c>
      <c r="P182" s="423" t="s">
        <v>61</v>
      </c>
      <c r="Q182" s="397" t="s">
        <v>811</v>
      </c>
      <c r="R182" s="191">
        <v>410204200</v>
      </c>
      <c r="S182" s="397" t="s">
        <v>812</v>
      </c>
      <c r="T182" s="186" t="s">
        <v>69</v>
      </c>
      <c r="U182" s="186">
        <v>12</v>
      </c>
      <c r="V182" s="186"/>
      <c r="W182" s="388">
        <f t="shared" ref="W182:W204" si="18">U182+V182</f>
        <v>12</v>
      </c>
      <c r="X182" s="388">
        <v>12</v>
      </c>
      <c r="Y182" s="287">
        <v>2021003630010</v>
      </c>
      <c r="Z182" s="188" t="s">
        <v>813</v>
      </c>
      <c r="AA182" s="554" t="s">
        <v>814</v>
      </c>
      <c r="AB182" s="185"/>
      <c r="AC182" s="185"/>
      <c r="AD182" s="185"/>
      <c r="AE182" s="185"/>
      <c r="AF182" s="185"/>
      <c r="AG182" s="185"/>
      <c r="AH182" s="185"/>
      <c r="AI182" s="185"/>
      <c r="AJ182" s="185"/>
      <c r="AK182" s="185"/>
      <c r="AL182" s="185"/>
      <c r="AM182" s="185"/>
      <c r="AN182" s="185"/>
      <c r="AO182" s="185"/>
      <c r="AP182" s="185"/>
      <c r="AQ182" s="185"/>
      <c r="AR182" s="185"/>
      <c r="AS182" s="185"/>
      <c r="AT182" s="192">
        <f>18000000+5400000+20400000</f>
        <v>43800000</v>
      </c>
      <c r="AU182" s="192">
        <v>43799999</v>
      </c>
      <c r="AV182" s="194">
        <v>43799999</v>
      </c>
      <c r="AW182" s="185"/>
      <c r="AX182" s="185"/>
      <c r="AY182" s="185"/>
      <c r="AZ182" s="185"/>
      <c r="BA182" s="185"/>
      <c r="BB182" s="185"/>
      <c r="BC182" s="185"/>
      <c r="BD182" s="185"/>
      <c r="BE182" s="185"/>
      <c r="BF182" s="192">
        <f t="shared" si="15"/>
        <v>43800000</v>
      </c>
      <c r="BG182" s="192">
        <f t="shared" si="16"/>
        <v>43799999</v>
      </c>
      <c r="BH182" s="192">
        <f t="shared" si="17"/>
        <v>43799999</v>
      </c>
      <c r="BI182" s="398" t="s">
        <v>6</v>
      </c>
    </row>
    <row r="183" spans="1:61" s="394" customFormat="1" ht="66.75" customHeight="1">
      <c r="A183" s="423">
        <v>316</v>
      </c>
      <c r="B183" s="392" t="s">
        <v>755</v>
      </c>
      <c r="C183" s="423">
        <v>1</v>
      </c>
      <c r="D183" s="392" t="s">
        <v>148</v>
      </c>
      <c r="E183" s="423">
        <v>41</v>
      </c>
      <c r="F183" s="392" t="s">
        <v>772</v>
      </c>
      <c r="G183" s="423">
        <v>4102</v>
      </c>
      <c r="H183" s="392" t="s">
        <v>773</v>
      </c>
      <c r="I183" s="423">
        <v>4102</v>
      </c>
      <c r="J183" s="392" t="s">
        <v>774</v>
      </c>
      <c r="K183" s="392" t="s">
        <v>815</v>
      </c>
      <c r="L183" s="423" t="s">
        <v>61</v>
      </c>
      <c r="M183" s="397" t="s">
        <v>816</v>
      </c>
      <c r="N183" s="191">
        <v>4102001</v>
      </c>
      <c r="O183" s="188" t="s">
        <v>817</v>
      </c>
      <c r="P183" s="423" t="s">
        <v>61</v>
      </c>
      <c r="Q183" s="397" t="s">
        <v>818</v>
      </c>
      <c r="R183" s="191">
        <v>410200100</v>
      </c>
      <c r="S183" s="397" t="s">
        <v>819</v>
      </c>
      <c r="T183" s="186" t="s">
        <v>69</v>
      </c>
      <c r="U183" s="186">
        <v>1</v>
      </c>
      <c r="V183" s="186"/>
      <c r="W183" s="388">
        <f t="shared" si="18"/>
        <v>1</v>
      </c>
      <c r="X183" s="388">
        <v>1</v>
      </c>
      <c r="Y183" s="389">
        <v>2020003630033</v>
      </c>
      <c r="Z183" s="188" t="s">
        <v>820</v>
      </c>
      <c r="AA183" s="553" t="s">
        <v>821</v>
      </c>
      <c r="AB183" s="185"/>
      <c r="AC183" s="185"/>
      <c r="AD183" s="185"/>
      <c r="AE183" s="185"/>
      <c r="AF183" s="185"/>
      <c r="AG183" s="185"/>
      <c r="AH183" s="185"/>
      <c r="AI183" s="185"/>
      <c r="AJ183" s="185"/>
      <c r="AK183" s="185"/>
      <c r="AL183" s="185"/>
      <c r="AM183" s="185"/>
      <c r="AN183" s="185"/>
      <c r="AO183" s="185"/>
      <c r="AP183" s="185"/>
      <c r="AQ183" s="185"/>
      <c r="AR183" s="185"/>
      <c r="AS183" s="185"/>
      <c r="AT183" s="192">
        <f>15000000+55000000</f>
        <v>70000000</v>
      </c>
      <c r="AU183" s="192">
        <v>62057380</v>
      </c>
      <c r="AV183" s="194">
        <v>62057380</v>
      </c>
      <c r="AW183" s="185"/>
      <c r="AX183" s="185"/>
      <c r="AY183" s="185"/>
      <c r="AZ183" s="185"/>
      <c r="BA183" s="185"/>
      <c r="BB183" s="185"/>
      <c r="BC183" s="185"/>
      <c r="BD183" s="185"/>
      <c r="BE183" s="185"/>
      <c r="BF183" s="192">
        <f t="shared" si="15"/>
        <v>70000000</v>
      </c>
      <c r="BG183" s="192">
        <f t="shared" si="16"/>
        <v>62057380</v>
      </c>
      <c r="BH183" s="192">
        <f t="shared" si="17"/>
        <v>62057380</v>
      </c>
      <c r="BI183" s="398" t="s">
        <v>6</v>
      </c>
    </row>
    <row r="184" spans="1:61" s="394" customFormat="1" ht="66.75" customHeight="1">
      <c r="A184" s="423">
        <v>316</v>
      </c>
      <c r="B184" s="392" t="s">
        <v>755</v>
      </c>
      <c r="C184" s="423">
        <v>1</v>
      </c>
      <c r="D184" s="392" t="s">
        <v>148</v>
      </c>
      <c r="E184" s="423">
        <v>41</v>
      </c>
      <c r="F184" s="392" t="s">
        <v>772</v>
      </c>
      <c r="G184" s="423">
        <v>4102</v>
      </c>
      <c r="H184" s="392" t="s">
        <v>773</v>
      </c>
      <c r="I184" s="423">
        <v>4102</v>
      </c>
      <c r="J184" s="392" t="s">
        <v>774</v>
      </c>
      <c r="K184" s="392" t="s">
        <v>822</v>
      </c>
      <c r="L184" s="423">
        <v>4102022</v>
      </c>
      <c r="M184" s="397" t="s">
        <v>823</v>
      </c>
      <c r="N184" s="435">
        <v>4102046</v>
      </c>
      <c r="O184" s="411" t="s">
        <v>824</v>
      </c>
      <c r="P184" s="435" t="s">
        <v>825</v>
      </c>
      <c r="Q184" s="397" t="s">
        <v>826</v>
      </c>
      <c r="R184" s="435">
        <v>410204600</v>
      </c>
      <c r="S184" s="397" t="s">
        <v>827</v>
      </c>
      <c r="T184" s="186" t="s">
        <v>157</v>
      </c>
      <c r="U184" s="186">
        <v>21</v>
      </c>
      <c r="V184" s="186"/>
      <c r="W184" s="388">
        <f t="shared" si="18"/>
        <v>21</v>
      </c>
      <c r="X184" s="388">
        <v>21</v>
      </c>
      <c r="Y184" s="389">
        <v>2020003630033</v>
      </c>
      <c r="Z184" s="188" t="s">
        <v>820</v>
      </c>
      <c r="AA184" s="553" t="s">
        <v>821</v>
      </c>
      <c r="AB184" s="185"/>
      <c r="AC184" s="185"/>
      <c r="AD184" s="185"/>
      <c r="AE184" s="185"/>
      <c r="AF184" s="185"/>
      <c r="AG184" s="185"/>
      <c r="AH184" s="185"/>
      <c r="AI184" s="185"/>
      <c r="AJ184" s="185"/>
      <c r="AK184" s="185"/>
      <c r="AL184" s="185"/>
      <c r="AM184" s="185"/>
      <c r="AN184" s="185"/>
      <c r="AO184" s="185"/>
      <c r="AP184" s="185"/>
      <c r="AQ184" s="185"/>
      <c r="AR184" s="185"/>
      <c r="AS184" s="185"/>
      <c r="AT184" s="192">
        <v>18000000</v>
      </c>
      <c r="AU184" s="192">
        <v>17397635</v>
      </c>
      <c r="AV184" s="194">
        <v>17397635</v>
      </c>
      <c r="AW184" s="185"/>
      <c r="AX184" s="185"/>
      <c r="AY184" s="185"/>
      <c r="AZ184" s="185"/>
      <c r="BA184" s="185"/>
      <c r="BB184" s="185"/>
      <c r="BC184" s="185"/>
      <c r="BD184" s="185"/>
      <c r="BE184" s="185"/>
      <c r="BF184" s="192">
        <f t="shared" si="15"/>
        <v>18000000</v>
      </c>
      <c r="BG184" s="192">
        <f t="shared" si="16"/>
        <v>17397635</v>
      </c>
      <c r="BH184" s="192">
        <f t="shared" si="17"/>
        <v>17397635</v>
      </c>
      <c r="BI184" s="398" t="s">
        <v>6</v>
      </c>
    </row>
    <row r="185" spans="1:61" s="394" customFormat="1" ht="66.75" customHeight="1">
      <c r="A185" s="423">
        <v>316</v>
      </c>
      <c r="B185" s="392" t="s">
        <v>755</v>
      </c>
      <c r="C185" s="423">
        <v>1</v>
      </c>
      <c r="D185" s="392" t="s">
        <v>148</v>
      </c>
      <c r="E185" s="423">
        <v>41</v>
      </c>
      <c r="F185" s="392" t="s">
        <v>772</v>
      </c>
      <c r="G185" s="423">
        <v>4102</v>
      </c>
      <c r="H185" s="392" t="s">
        <v>773</v>
      </c>
      <c r="I185" s="423">
        <v>4102</v>
      </c>
      <c r="J185" s="392" t="s">
        <v>774</v>
      </c>
      <c r="K185" s="392" t="s">
        <v>828</v>
      </c>
      <c r="L185" s="423">
        <v>4102038</v>
      </c>
      <c r="M185" s="397" t="s">
        <v>829</v>
      </c>
      <c r="N185" s="423">
        <v>4102038</v>
      </c>
      <c r="O185" s="392" t="s">
        <v>829</v>
      </c>
      <c r="P185" s="388">
        <v>410203800</v>
      </c>
      <c r="Q185" s="397" t="s">
        <v>805</v>
      </c>
      <c r="R185" s="388">
        <v>410203800</v>
      </c>
      <c r="S185" s="397" t="s">
        <v>805</v>
      </c>
      <c r="T185" s="186" t="s">
        <v>157</v>
      </c>
      <c r="U185" s="186">
        <v>10</v>
      </c>
      <c r="V185" s="186"/>
      <c r="W185" s="388">
        <f t="shared" si="18"/>
        <v>10</v>
      </c>
      <c r="X185" s="388">
        <v>10</v>
      </c>
      <c r="Y185" s="389">
        <v>2020003630034</v>
      </c>
      <c r="Z185" s="392" t="s">
        <v>830</v>
      </c>
      <c r="AA185" s="554" t="s">
        <v>831</v>
      </c>
      <c r="AB185" s="185"/>
      <c r="AC185" s="185"/>
      <c r="AD185" s="185"/>
      <c r="AE185" s="185"/>
      <c r="AF185" s="185"/>
      <c r="AG185" s="185"/>
      <c r="AH185" s="185"/>
      <c r="AI185" s="185"/>
      <c r="AJ185" s="185"/>
      <c r="AK185" s="185"/>
      <c r="AL185" s="185"/>
      <c r="AM185" s="185"/>
      <c r="AN185" s="185"/>
      <c r="AO185" s="185"/>
      <c r="AP185" s="185"/>
      <c r="AQ185" s="185"/>
      <c r="AR185" s="185"/>
      <c r="AS185" s="185"/>
      <c r="AT185" s="192">
        <f>37000000+11100000+20381667-880000</f>
        <v>67601667</v>
      </c>
      <c r="AU185" s="192">
        <v>67601667</v>
      </c>
      <c r="AV185" s="194">
        <v>67601667</v>
      </c>
      <c r="AW185" s="185"/>
      <c r="AX185" s="185"/>
      <c r="AY185" s="185"/>
      <c r="AZ185" s="185"/>
      <c r="BA185" s="185"/>
      <c r="BB185" s="185"/>
      <c r="BC185" s="185"/>
      <c r="BD185" s="185"/>
      <c r="BE185" s="185"/>
      <c r="BF185" s="192">
        <f t="shared" si="15"/>
        <v>67601667</v>
      </c>
      <c r="BG185" s="192">
        <f t="shared" si="16"/>
        <v>67601667</v>
      </c>
      <c r="BH185" s="192">
        <f t="shared" si="17"/>
        <v>67601667</v>
      </c>
      <c r="BI185" s="398" t="s">
        <v>6</v>
      </c>
    </row>
    <row r="186" spans="1:61" s="394" customFormat="1" ht="66.75" customHeight="1">
      <c r="A186" s="423">
        <v>316</v>
      </c>
      <c r="B186" s="392" t="s">
        <v>755</v>
      </c>
      <c r="C186" s="423">
        <v>1</v>
      </c>
      <c r="D186" s="392" t="s">
        <v>148</v>
      </c>
      <c r="E186" s="423">
        <v>41</v>
      </c>
      <c r="F186" s="392" t="s">
        <v>772</v>
      </c>
      <c r="G186" s="423">
        <v>4103</v>
      </c>
      <c r="H186" s="392" t="s">
        <v>322</v>
      </c>
      <c r="I186" s="423">
        <v>4103</v>
      </c>
      <c r="J186" s="392" t="s">
        <v>323</v>
      </c>
      <c r="K186" s="392" t="s">
        <v>832</v>
      </c>
      <c r="L186" s="191">
        <v>4103059</v>
      </c>
      <c r="M186" s="397" t="s">
        <v>833</v>
      </c>
      <c r="N186" s="191">
        <v>4103059</v>
      </c>
      <c r="O186" s="392" t="s">
        <v>833</v>
      </c>
      <c r="P186" s="186">
        <v>410305900</v>
      </c>
      <c r="Q186" s="397" t="s">
        <v>834</v>
      </c>
      <c r="R186" s="186">
        <v>410305900</v>
      </c>
      <c r="S186" s="397" t="s">
        <v>834</v>
      </c>
      <c r="T186" s="388" t="s">
        <v>157</v>
      </c>
      <c r="U186" s="388">
        <v>16</v>
      </c>
      <c r="V186" s="388"/>
      <c r="W186" s="388">
        <f t="shared" si="18"/>
        <v>16</v>
      </c>
      <c r="X186" s="388">
        <v>16</v>
      </c>
      <c r="Y186" s="389">
        <v>2020003630103</v>
      </c>
      <c r="Z186" s="392" t="s">
        <v>835</v>
      </c>
      <c r="AA186" s="546" t="s">
        <v>836</v>
      </c>
      <c r="AB186" s="185"/>
      <c r="AC186" s="185"/>
      <c r="AD186" s="185"/>
      <c r="AE186" s="185"/>
      <c r="AF186" s="185"/>
      <c r="AG186" s="185"/>
      <c r="AH186" s="185"/>
      <c r="AI186" s="185"/>
      <c r="AJ186" s="185"/>
      <c r="AK186" s="185"/>
      <c r="AL186" s="185"/>
      <c r="AM186" s="185"/>
      <c r="AN186" s="185"/>
      <c r="AO186" s="185"/>
      <c r="AP186" s="185"/>
      <c r="AQ186" s="185"/>
      <c r="AR186" s="185"/>
      <c r="AS186" s="185"/>
      <c r="AT186" s="192">
        <f>35000000+10500000+18000000+12327000-5165333</f>
        <v>70661667</v>
      </c>
      <c r="AU186" s="192">
        <v>68661667</v>
      </c>
      <c r="AV186" s="194">
        <v>68661667</v>
      </c>
      <c r="AW186" s="185"/>
      <c r="AX186" s="185"/>
      <c r="AY186" s="185"/>
      <c r="AZ186" s="185"/>
      <c r="BA186" s="185"/>
      <c r="BB186" s="185"/>
      <c r="BC186" s="185"/>
      <c r="BD186" s="185"/>
      <c r="BE186" s="185"/>
      <c r="BF186" s="192">
        <f t="shared" si="15"/>
        <v>70661667</v>
      </c>
      <c r="BG186" s="192">
        <f t="shared" si="16"/>
        <v>68661667</v>
      </c>
      <c r="BH186" s="192">
        <f t="shared" si="17"/>
        <v>68661667</v>
      </c>
      <c r="BI186" s="398" t="s">
        <v>6</v>
      </c>
    </row>
    <row r="187" spans="1:61" s="394" customFormat="1" ht="66.75" customHeight="1">
      <c r="A187" s="423">
        <v>316</v>
      </c>
      <c r="B187" s="392" t="s">
        <v>755</v>
      </c>
      <c r="C187" s="423">
        <v>1</v>
      </c>
      <c r="D187" s="392" t="s">
        <v>148</v>
      </c>
      <c r="E187" s="423">
        <v>41</v>
      </c>
      <c r="F187" s="392" t="s">
        <v>772</v>
      </c>
      <c r="G187" s="423">
        <v>4103</v>
      </c>
      <c r="H187" s="392" t="s">
        <v>322</v>
      </c>
      <c r="I187" s="423">
        <v>4103</v>
      </c>
      <c r="J187" s="392" t="s">
        <v>323</v>
      </c>
      <c r="K187" s="392" t="s">
        <v>837</v>
      </c>
      <c r="L187" s="423">
        <v>4103052</v>
      </c>
      <c r="M187" s="397" t="s">
        <v>326</v>
      </c>
      <c r="N187" s="423">
        <v>4103052</v>
      </c>
      <c r="O187" s="392" t="s">
        <v>326</v>
      </c>
      <c r="P187" s="388">
        <v>410305202</v>
      </c>
      <c r="Q187" s="397" t="s">
        <v>838</v>
      </c>
      <c r="R187" s="388">
        <v>410305202</v>
      </c>
      <c r="S187" s="397" t="s">
        <v>839</v>
      </c>
      <c r="T187" s="388" t="s">
        <v>69</v>
      </c>
      <c r="U187" s="388">
        <v>1</v>
      </c>
      <c r="V187" s="388"/>
      <c r="W187" s="388">
        <f t="shared" si="18"/>
        <v>1</v>
      </c>
      <c r="X187" s="388">
        <v>1</v>
      </c>
      <c r="Y187" s="389">
        <v>2020003630104</v>
      </c>
      <c r="Z187" s="397" t="s">
        <v>840</v>
      </c>
      <c r="AA187" s="546" t="s">
        <v>841</v>
      </c>
      <c r="AB187" s="185"/>
      <c r="AC187" s="185"/>
      <c r="AD187" s="185"/>
      <c r="AE187" s="185"/>
      <c r="AF187" s="185"/>
      <c r="AG187" s="185"/>
      <c r="AH187" s="185"/>
      <c r="AI187" s="185"/>
      <c r="AJ187" s="185"/>
      <c r="AK187" s="185"/>
      <c r="AL187" s="185"/>
      <c r="AM187" s="185"/>
      <c r="AN187" s="185"/>
      <c r="AO187" s="185"/>
      <c r="AP187" s="185"/>
      <c r="AQ187" s="185"/>
      <c r="AR187" s="185"/>
      <c r="AS187" s="185"/>
      <c r="AT187" s="192">
        <f>32000000+9600000+12100000+20983000-6126334</f>
        <v>68556666</v>
      </c>
      <c r="AU187" s="192">
        <v>68031666</v>
      </c>
      <c r="AV187" s="194">
        <v>68031666</v>
      </c>
      <c r="AW187" s="185"/>
      <c r="AX187" s="185"/>
      <c r="AY187" s="185"/>
      <c r="AZ187" s="185"/>
      <c r="BA187" s="185"/>
      <c r="BB187" s="185"/>
      <c r="BC187" s="185"/>
      <c r="BD187" s="185"/>
      <c r="BE187" s="185"/>
      <c r="BF187" s="192">
        <f t="shared" si="15"/>
        <v>68556666</v>
      </c>
      <c r="BG187" s="192">
        <f t="shared" si="16"/>
        <v>68031666</v>
      </c>
      <c r="BH187" s="192">
        <f t="shared" si="17"/>
        <v>68031666</v>
      </c>
      <c r="BI187" s="398" t="s">
        <v>6</v>
      </c>
    </row>
    <row r="188" spans="1:61" s="394" customFormat="1" ht="66.75" customHeight="1">
      <c r="A188" s="423">
        <v>316</v>
      </c>
      <c r="B188" s="392" t="s">
        <v>755</v>
      </c>
      <c r="C188" s="423">
        <v>1</v>
      </c>
      <c r="D188" s="392" t="s">
        <v>148</v>
      </c>
      <c r="E188" s="423">
        <v>41</v>
      </c>
      <c r="F188" s="392" t="s">
        <v>772</v>
      </c>
      <c r="G188" s="423">
        <v>4103</v>
      </c>
      <c r="H188" s="392" t="s">
        <v>322</v>
      </c>
      <c r="I188" s="423">
        <v>4103</v>
      </c>
      <c r="J188" s="392" t="s">
        <v>323</v>
      </c>
      <c r="K188" s="392" t="s">
        <v>822</v>
      </c>
      <c r="L188" s="423">
        <v>4103050</v>
      </c>
      <c r="M188" s="397" t="s">
        <v>842</v>
      </c>
      <c r="N188" s="423">
        <v>4103050</v>
      </c>
      <c r="O188" s="392" t="s">
        <v>842</v>
      </c>
      <c r="P188" s="388">
        <v>410305001</v>
      </c>
      <c r="Q188" s="397" t="s">
        <v>843</v>
      </c>
      <c r="R188" s="388">
        <v>410305001</v>
      </c>
      <c r="S188" s="397" t="s">
        <v>843</v>
      </c>
      <c r="T188" s="388" t="s">
        <v>69</v>
      </c>
      <c r="U188" s="388">
        <v>12</v>
      </c>
      <c r="V188" s="388"/>
      <c r="W188" s="388">
        <f t="shared" si="18"/>
        <v>12</v>
      </c>
      <c r="X188" s="388">
        <v>12</v>
      </c>
      <c r="Y188" s="389">
        <v>2020003630105</v>
      </c>
      <c r="Z188" s="397" t="s">
        <v>844</v>
      </c>
      <c r="AA188" s="546" t="s">
        <v>845</v>
      </c>
      <c r="AB188" s="185"/>
      <c r="AC188" s="185"/>
      <c r="AD188" s="185"/>
      <c r="AE188" s="185"/>
      <c r="AF188" s="185"/>
      <c r="AG188" s="185"/>
      <c r="AH188" s="185"/>
      <c r="AI188" s="185"/>
      <c r="AJ188" s="185"/>
      <c r="AK188" s="185"/>
      <c r="AL188" s="185"/>
      <c r="AM188" s="185"/>
      <c r="AN188" s="185"/>
      <c r="AO188" s="185"/>
      <c r="AP188" s="185"/>
      <c r="AQ188" s="185"/>
      <c r="AR188" s="185"/>
      <c r="AS188" s="185"/>
      <c r="AT188" s="192">
        <f>29000000+8700000-1910000</f>
        <v>35790000</v>
      </c>
      <c r="AU188" s="192">
        <v>35790000</v>
      </c>
      <c r="AV188" s="194">
        <v>35790000</v>
      </c>
      <c r="AW188" s="185"/>
      <c r="AX188" s="185"/>
      <c r="AY188" s="185"/>
      <c r="AZ188" s="185"/>
      <c r="BA188" s="185"/>
      <c r="BB188" s="185"/>
      <c r="BC188" s="185"/>
      <c r="BD188" s="185"/>
      <c r="BE188" s="185"/>
      <c r="BF188" s="192">
        <f t="shared" si="15"/>
        <v>35790000</v>
      </c>
      <c r="BG188" s="192">
        <f t="shared" si="16"/>
        <v>35790000</v>
      </c>
      <c r="BH188" s="192">
        <f t="shared" si="17"/>
        <v>35790000</v>
      </c>
      <c r="BI188" s="398" t="s">
        <v>6</v>
      </c>
    </row>
    <row r="189" spans="1:61" s="394" customFormat="1" ht="66.75" customHeight="1">
      <c r="A189" s="423">
        <v>316</v>
      </c>
      <c r="B189" s="392" t="s">
        <v>755</v>
      </c>
      <c r="C189" s="423">
        <v>1</v>
      </c>
      <c r="D189" s="392" t="s">
        <v>148</v>
      </c>
      <c r="E189" s="423">
        <v>41</v>
      </c>
      <c r="F189" s="392" t="s">
        <v>772</v>
      </c>
      <c r="G189" s="423">
        <v>4103</v>
      </c>
      <c r="H189" s="392" t="s">
        <v>322</v>
      </c>
      <c r="I189" s="423">
        <v>4103</v>
      </c>
      <c r="J189" s="392" t="s">
        <v>323</v>
      </c>
      <c r="K189" s="392" t="s">
        <v>846</v>
      </c>
      <c r="L189" s="191">
        <v>4103058</v>
      </c>
      <c r="M189" s="397" t="s">
        <v>847</v>
      </c>
      <c r="N189" s="191">
        <v>4103058</v>
      </c>
      <c r="O189" s="392" t="s">
        <v>847</v>
      </c>
      <c r="P189" s="186">
        <v>410305800</v>
      </c>
      <c r="Q189" s="397" t="s">
        <v>848</v>
      </c>
      <c r="R189" s="186">
        <v>410305800</v>
      </c>
      <c r="S189" s="397" t="s">
        <v>848</v>
      </c>
      <c r="T189" s="388" t="s">
        <v>157</v>
      </c>
      <c r="U189" s="388">
        <v>5</v>
      </c>
      <c r="V189" s="388"/>
      <c r="W189" s="388">
        <f t="shared" si="18"/>
        <v>5</v>
      </c>
      <c r="X189" s="388">
        <v>5</v>
      </c>
      <c r="Y189" s="389">
        <v>2020003630106</v>
      </c>
      <c r="Z189" s="397" t="s">
        <v>849</v>
      </c>
      <c r="AA189" s="546" t="s">
        <v>850</v>
      </c>
      <c r="AB189" s="185"/>
      <c r="AC189" s="185"/>
      <c r="AD189" s="185"/>
      <c r="AE189" s="185"/>
      <c r="AF189" s="185"/>
      <c r="AG189" s="185"/>
      <c r="AH189" s="185"/>
      <c r="AI189" s="185"/>
      <c r="AJ189" s="185"/>
      <c r="AK189" s="185"/>
      <c r="AL189" s="185"/>
      <c r="AM189" s="185"/>
      <c r="AN189" s="185"/>
      <c r="AO189" s="185"/>
      <c r="AP189" s="185"/>
      <c r="AQ189" s="185"/>
      <c r="AR189" s="185"/>
      <c r="AS189" s="185"/>
      <c r="AT189" s="192">
        <f>30000000+9000000+14800000+11200000-3910000</f>
        <v>61090000</v>
      </c>
      <c r="AU189" s="192">
        <v>61090000</v>
      </c>
      <c r="AV189" s="194">
        <v>61090000</v>
      </c>
      <c r="AW189" s="185"/>
      <c r="AX189" s="185"/>
      <c r="AY189" s="185"/>
      <c r="AZ189" s="185"/>
      <c r="BA189" s="185"/>
      <c r="BB189" s="185"/>
      <c r="BC189" s="185"/>
      <c r="BD189" s="185"/>
      <c r="BE189" s="185"/>
      <c r="BF189" s="192">
        <f t="shared" si="15"/>
        <v>61090000</v>
      </c>
      <c r="BG189" s="192">
        <f t="shared" si="16"/>
        <v>61090000</v>
      </c>
      <c r="BH189" s="192">
        <f t="shared" si="17"/>
        <v>61090000</v>
      </c>
      <c r="BI189" s="398" t="s">
        <v>6</v>
      </c>
    </row>
    <row r="190" spans="1:61" s="394" customFormat="1" ht="66.75" customHeight="1">
      <c r="A190" s="423">
        <v>316</v>
      </c>
      <c r="B190" s="392" t="s">
        <v>755</v>
      </c>
      <c r="C190" s="423">
        <v>1</v>
      </c>
      <c r="D190" s="392" t="s">
        <v>148</v>
      </c>
      <c r="E190" s="423">
        <v>41</v>
      </c>
      <c r="F190" s="392" t="s">
        <v>772</v>
      </c>
      <c r="G190" s="423">
        <v>4103</v>
      </c>
      <c r="H190" s="392" t="s">
        <v>322</v>
      </c>
      <c r="I190" s="423">
        <v>4103</v>
      </c>
      <c r="J190" s="392" t="s">
        <v>323</v>
      </c>
      <c r="K190" s="188" t="s">
        <v>851</v>
      </c>
      <c r="L190" s="423" t="s">
        <v>61</v>
      </c>
      <c r="M190" s="397" t="s">
        <v>852</v>
      </c>
      <c r="N190" s="191">
        <v>4103060</v>
      </c>
      <c r="O190" s="392" t="s">
        <v>853</v>
      </c>
      <c r="P190" s="423" t="s">
        <v>61</v>
      </c>
      <c r="Q190" s="397" t="s">
        <v>854</v>
      </c>
      <c r="R190" s="191">
        <v>410306000</v>
      </c>
      <c r="S190" s="397" t="s">
        <v>855</v>
      </c>
      <c r="T190" s="388" t="s">
        <v>157</v>
      </c>
      <c r="U190" s="388">
        <v>5</v>
      </c>
      <c r="V190" s="388"/>
      <c r="W190" s="388">
        <f t="shared" si="18"/>
        <v>5</v>
      </c>
      <c r="X190" s="388">
        <v>5</v>
      </c>
      <c r="Y190" s="389">
        <v>2020003630036</v>
      </c>
      <c r="Z190" s="392" t="s">
        <v>856</v>
      </c>
      <c r="AA190" s="546" t="s">
        <v>857</v>
      </c>
      <c r="AB190" s="185"/>
      <c r="AC190" s="185"/>
      <c r="AD190" s="185"/>
      <c r="AE190" s="185"/>
      <c r="AF190" s="185"/>
      <c r="AG190" s="185"/>
      <c r="AH190" s="185"/>
      <c r="AI190" s="185"/>
      <c r="AJ190" s="185"/>
      <c r="AK190" s="185"/>
      <c r="AL190" s="185"/>
      <c r="AM190" s="185"/>
      <c r="AN190" s="185"/>
      <c r="AO190" s="185"/>
      <c r="AP190" s="185"/>
      <c r="AQ190" s="185"/>
      <c r="AR190" s="185"/>
      <c r="AS190" s="185"/>
      <c r="AT190" s="192">
        <f>55000000+2500000</f>
        <v>57500000</v>
      </c>
      <c r="AU190" s="192">
        <v>57500000</v>
      </c>
      <c r="AV190" s="194">
        <v>57500000</v>
      </c>
      <c r="AW190" s="185"/>
      <c r="AX190" s="185"/>
      <c r="AY190" s="185"/>
      <c r="AZ190" s="185"/>
      <c r="BA190" s="185"/>
      <c r="BB190" s="185"/>
      <c r="BC190" s="185"/>
      <c r="BD190" s="185"/>
      <c r="BE190" s="185"/>
      <c r="BF190" s="192">
        <f t="shared" si="15"/>
        <v>57500000</v>
      </c>
      <c r="BG190" s="192">
        <f t="shared" si="16"/>
        <v>57500000</v>
      </c>
      <c r="BH190" s="192">
        <f t="shared" si="17"/>
        <v>57500000</v>
      </c>
      <c r="BI190" s="398" t="s">
        <v>6</v>
      </c>
    </row>
    <row r="191" spans="1:61" s="394" customFormat="1" ht="66.75" customHeight="1">
      <c r="A191" s="423">
        <v>316</v>
      </c>
      <c r="B191" s="392" t="s">
        <v>755</v>
      </c>
      <c r="C191" s="423">
        <v>1</v>
      </c>
      <c r="D191" s="392" t="s">
        <v>148</v>
      </c>
      <c r="E191" s="423">
        <v>41</v>
      </c>
      <c r="F191" s="392" t="s">
        <v>772</v>
      </c>
      <c r="G191" s="423">
        <v>4103</v>
      </c>
      <c r="H191" s="392" t="s">
        <v>322</v>
      </c>
      <c r="I191" s="423">
        <v>4103</v>
      </c>
      <c r="J191" s="392" t="s">
        <v>323</v>
      </c>
      <c r="K191" s="188" t="s">
        <v>858</v>
      </c>
      <c r="L191" s="423" t="s">
        <v>61</v>
      </c>
      <c r="M191" s="397" t="s">
        <v>859</v>
      </c>
      <c r="N191" s="191">
        <v>4103060</v>
      </c>
      <c r="O191" s="392" t="s">
        <v>853</v>
      </c>
      <c r="P191" s="423" t="s">
        <v>61</v>
      </c>
      <c r="Q191" s="397" t="s">
        <v>860</v>
      </c>
      <c r="R191" s="191">
        <v>410306000</v>
      </c>
      <c r="S191" s="397" t="s">
        <v>855</v>
      </c>
      <c r="T191" s="388" t="s">
        <v>69</v>
      </c>
      <c r="U191" s="388">
        <v>2</v>
      </c>
      <c r="V191" s="388"/>
      <c r="W191" s="388">
        <f t="shared" si="18"/>
        <v>2</v>
      </c>
      <c r="X191" s="388">
        <v>2</v>
      </c>
      <c r="Y191" s="389">
        <v>2020003630036</v>
      </c>
      <c r="Z191" s="392" t="s">
        <v>856</v>
      </c>
      <c r="AA191" s="546" t="s">
        <v>857</v>
      </c>
      <c r="AB191" s="185"/>
      <c r="AC191" s="185"/>
      <c r="AD191" s="185"/>
      <c r="AE191" s="185"/>
      <c r="AF191" s="185"/>
      <c r="AG191" s="185"/>
      <c r="AH191" s="185"/>
      <c r="AI191" s="185"/>
      <c r="AJ191" s="185"/>
      <c r="AK191" s="185"/>
      <c r="AL191" s="185"/>
      <c r="AM191" s="185"/>
      <c r="AN191" s="185"/>
      <c r="AO191" s="185"/>
      <c r="AP191" s="185"/>
      <c r="AQ191" s="185"/>
      <c r="AR191" s="185"/>
      <c r="AS191" s="185"/>
      <c r="AT191" s="192">
        <f>40000000+2500000</f>
        <v>42500000</v>
      </c>
      <c r="AU191" s="192">
        <v>42218400</v>
      </c>
      <c r="AV191" s="194">
        <v>42218400</v>
      </c>
      <c r="AW191" s="185"/>
      <c r="AX191" s="185"/>
      <c r="AY191" s="185"/>
      <c r="AZ191" s="185"/>
      <c r="BA191" s="185"/>
      <c r="BB191" s="185"/>
      <c r="BC191" s="185"/>
      <c r="BD191" s="185"/>
      <c r="BE191" s="185"/>
      <c r="BF191" s="192">
        <f t="shared" si="15"/>
        <v>42500000</v>
      </c>
      <c r="BG191" s="192">
        <f t="shared" si="16"/>
        <v>42218400</v>
      </c>
      <c r="BH191" s="192">
        <f t="shared" si="17"/>
        <v>42218400</v>
      </c>
      <c r="BI191" s="398" t="s">
        <v>6</v>
      </c>
    </row>
    <row r="192" spans="1:61" s="394" customFormat="1" ht="66.75" customHeight="1">
      <c r="A192" s="423">
        <v>316</v>
      </c>
      <c r="B192" s="392" t="s">
        <v>755</v>
      </c>
      <c r="C192" s="423">
        <v>1</v>
      </c>
      <c r="D192" s="392" t="s">
        <v>148</v>
      </c>
      <c r="E192" s="423">
        <v>41</v>
      </c>
      <c r="F192" s="392" t="s">
        <v>772</v>
      </c>
      <c r="G192" s="423">
        <v>4103</v>
      </c>
      <c r="H192" s="392" t="s">
        <v>322</v>
      </c>
      <c r="I192" s="423">
        <v>4103</v>
      </c>
      <c r="J192" s="392" t="s">
        <v>323</v>
      </c>
      <c r="K192" s="392" t="s">
        <v>861</v>
      </c>
      <c r="L192" s="423" t="s">
        <v>61</v>
      </c>
      <c r="M192" s="397" t="s">
        <v>862</v>
      </c>
      <c r="N192" s="191">
        <v>4103052</v>
      </c>
      <c r="O192" s="392" t="s">
        <v>326</v>
      </c>
      <c r="P192" s="423" t="s">
        <v>61</v>
      </c>
      <c r="Q192" s="397" t="s">
        <v>863</v>
      </c>
      <c r="R192" s="191">
        <v>410305202</v>
      </c>
      <c r="S192" s="397" t="s">
        <v>838</v>
      </c>
      <c r="T192" s="388" t="s">
        <v>69</v>
      </c>
      <c r="U192" s="388">
        <v>1</v>
      </c>
      <c r="V192" s="388"/>
      <c r="W192" s="388">
        <f t="shared" si="18"/>
        <v>1</v>
      </c>
      <c r="X192" s="388">
        <v>1</v>
      </c>
      <c r="Y192" s="389">
        <v>2020003630037</v>
      </c>
      <c r="Z192" s="392" t="s">
        <v>864</v>
      </c>
      <c r="AA192" s="546" t="s">
        <v>865</v>
      </c>
      <c r="AB192" s="185"/>
      <c r="AC192" s="185"/>
      <c r="AD192" s="185"/>
      <c r="AE192" s="185"/>
      <c r="AF192" s="185"/>
      <c r="AG192" s="185"/>
      <c r="AH192" s="185"/>
      <c r="AI192" s="185"/>
      <c r="AJ192" s="185"/>
      <c r="AK192" s="185"/>
      <c r="AL192" s="185"/>
      <c r="AM192" s="185"/>
      <c r="AN192" s="185"/>
      <c r="AO192" s="185"/>
      <c r="AP192" s="185"/>
      <c r="AQ192" s="185"/>
      <c r="AR192" s="185"/>
      <c r="AS192" s="185"/>
      <c r="AT192" s="192">
        <f>40000000+22000000-6986667</f>
        <v>55013333</v>
      </c>
      <c r="AU192" s="192">
        <v>35013333</v>
      </c>
      <c r="AV192" s="194">
        <v>35013333</v>
      </c>
      <c r="AW192" s="185"/>
      <c r="AX192" s="185"/>
      <c r="AY192" s="185"/>
      <c r="AZ192" s="185"/>
      <c r="BA192" s="185"/>
      <c r="BB192" s="185"/>
      <c r="BC192" s="185"/>
      <c r="BD192" s="185"/>
      <c r="BE192" s="185"/>
      <c r="BF192" s="192">
        <f t="shared" si="15"/>
        <v>55013333</v>
      </c>
      <c r="BG192" s="192">
        <f t="shared" si="16"/>
        <v>35013333</v>
      </c>
      <c r="BH192" s="192">
        <f t="shared" si="17"/>
        <v>35013333</v>
      </c>
      <c r="BI192" s="398" t="s">
        <v>6</v>
      </c>
    </row>
    <row r="193" spans="1:61" s="394" customFormat="1" ht="66.75" customHeight="1">
      <c r="A193" s="423">
        <v>316</v>
      </c>
      <c r="B193" s="392" t="s">
        <v>755</v>
      </c>
      <c r="C193" s="423">
        <v>1</v>
      </c>
      <c r="D193" s="392" t="s">
        <v>148</v>
      </c>
      <c r="E193" s="423">
        <v>41</v>
      </c>
      <c r="F193" s="392" t="s">
        <v>772</v>
      </c>
      <c r="G193" s="423">
        <v>4104</v>
      </c>
      <c r="H193" s="392" t="s">
        <v>866</v>
      </c>
      <c r="I193" s="423">
        <v>4104</v>
      </c>
      <c r="J193" s="392" t="s">
        <v>182</v>
      </c>
      <c r="K193" s="397" t="s">
        <v>867</v>
      </c>
      <c r="L193" s="423">
        <v>4104035</v>
      </c>
      <c r="M193" s="397" t="s">
        <v>868</v>
      </c>
      <c r="N193" s="191">
        <v>4104020</v>
      </c>
      <c r="O193" s="392" t="s">
        <v>869</v>
      </c>
      <c r="P193" s="423">
        <v>410403500</v>
      </c>
      <c r="Q193" s="397" t="s">
        <v>870</v>
      </c>
      <c r="R193" s="191">
        <v>410402000</v>
      </c>
      <c r="S193" s="397" t="s">
        <v>871</v>
      </c>
      <c r="T193" s="388" t="s">
        <v>157</v>
      </c>
      <c r="U193" s="388">
        <v>315</v>
      </c>
      <c r="V193" s="388"/>
      <c r="W193" s="388">
        <f t="shared" si="18"/>
        <v>315</v>
      </c>
      <c r="X193" s="388">
        <v>315</v>
      </c>
      <c r="Y193" s="389">
        <v>2020003630035</v>
      </c>
      <c r="Z193" s="392" t="s">
        <v>872</v>
      </c>
      <c r="AA193" s="546" t="s">
        <v>873</v>
      </c>
      <c r="AB193" s="185"/>
      <c r="AC193" s="185"/>
      <c r="AD193" s="185"/>
      <c r="AE193" s="185"/>
      <c r="AF193" s="185"/>
      <c r="AG193" s="185"/>
      <c r="AH193" s="185"/>
      <c r="AI193" s="185"/>
      <c r="AJ193" s="185"/>
      <c r="AK193" s="185"/>
      <c r="AL193" s="185"/>
      <c r="AM193" s="185"/>
      <c r="AN193" s="185"/>
      <c r="AO193" s="185"/>
      <c r="AP193" s="185"/>
      <c r="AQ193" s="185"/>
      <c r="AR193" s="185"/>
      <c r="AS193" s="185"/>
      <c r="AT193" s="192">
        <v>80000000</v>
      </c>
      <c r="AU193" s="192">
        <f>AT193</f>
        <v>80000000</v>
      </c>
      <c r="AV193" s="194">
        <v>80000000</v>
      </c>
      <c r="AW193" s="185"/>
      <c r="AX193" s="185"/>
      <c r="AY193" s="185"/>
      <c r="AZ193" s="185"/>
      <c r="BA193" s="185"/>
      <c r="BB193" s="185"/>
      <c r="BC193" s="185"/>
      <c r="BD193" s="185"/>
      <c r="BE193" s="185"/>
      <c r="BF193" s="192">
        <f t="shared" si="15"/>
        <v>80000000</v>
      </c>
      <c r="BG193" s="192">
        <f t="shared" si="16"/>
        <v>80000000</v>
      </c>
      <c r="BH193" s="192">
        <f t="shared" si="17"/>
        <v>80000000</v>
      </c>
      <c r="BI193" s="398" t="s">
        <v>6</v>
      </c>
    </row>
    <row r="194" spans="1:61" s="394" customFormat="1" ht="66.75" customHeight="1">
      <c r="A194" s="423">
        <v>316</v>
      </c>
      <c r="B194" s="392" t="s">
        <v>755</v>
      </c>
      <c r="C194" s="423">
        <v>1</v>
      </c>
      <c r="D194" s="392" t="s">
        <v>148</v>
      </c>
      <c r="E194" s="423">
        <v>41</v>
      </c>
      <c r="F194" s="392" t="s">
        <v>772</v>
      </c>
      <c r="G194" s="423">
        <v>4104</v>
      </c>
      <c r="H194" s="392" t="s">
        <v>866</v>
      </c>
      <c r="I194" s="423">
        <v>4104</v>
      </c>
      <c r="J194" s="392" t="s">
        <v>182</v>
      </c>
      <c r="K194" s="397" t="s">
        <v>874</v>
      </c>
      <c r="L194" s="423">
        <v>4104035</v>
      </c>
      <c r="M194" s="397" t="s">
        <v>868</v>
      </c>
      <c r="N194" s="191">
        <v>4104020</v>
      </c>
      <c r="O194" s="392" t="s">
        <v>869</v>
      </c>
      <c r="P194" s="423" t="s">
        <v>61</v>
      </c>
      <c r="Q194" s="437" t="s">
        <v>875</v>
      </c>
      <c r="R194" s="191">
        <v>410402000</v>
      </c>
      <c r="S194" s="397" t="s">
        <v>871</v>
      </c>
      <c r="T194" s="426" t="s">
        <v>69</v>
      </c>
      <c r="U194" s="388">
        <v>12</v>
      </c>
      <c r="V194" s="388"/>
      <c r="W194" s="388">
        <f t="shared" si="18"/>
        <v>12</v>
      </c>
      <c r="X194" s="388">
        <v>12</v>
      </c>
      <c r="Y194" s="389">
        <v>2020003630035</v>
      </c>
      <c r="Z194" s="392" t="s">
        <v>872</v>
      </c>
      <c r="AA194" s="546" t="s">
        <v>873</v>
      </c>
      <c r="AB194" s="185"/>
      <c r="AC194" s="185"/>
      <c r="AD194" s="185"/>
      <c r="AE194" s="185"/>
      <c r="AF194" s="185"/>
      <c r="AG194" s="185"/>
      <c r="AH194" s="185"/>
      <c r="AI194" s="185"/>
      <c r="AJ194" s="185"/>
      <c r="AK194" s="185"/>
      <c r="AL194" s="185"/>
      <c r="AM194" s="185"/>
      <c r="AN194" s="185"/>
      <c r="AO194" s="185"/>
      <c r="AP194" s="185"/>
      <c r="AQ194" s="185"/>
      <c r="AR194" s="185"/>
      <c r="AS194" s="185"/>
      <c r="AT194" s="192">
        <f>81000000+48300000+3000000+103100000+60330000+40000000-40396669</f>
        <v>295333331</v>
      </c>
      <c r="AU194" s="192">
        <v>281833331</v>
      </c>
      <c r="AV194" s="194">
        <v>281833331</v>
      </c>
      <c r="AW194" s="185"/>
      <c r="AX194" s="185"/>
      <c r="AY194" s="185"/>
      <c r="AZ194" s="185"/>
      <c r="BA194" s="185"/>
      <c r="BB194" s="185"/>
      <c r="BC194" s="185"/>
      <c r="BD194" s="185"/>
      <c r="BE194" s="185"/>
      <c r="BF194" s="192">
        <f t="shared" si="15"/>
        <v>295333331</v>
      </c>
      <c r="BG194" s="192">
        <f t="shared" si="16"/>
        <v>281833331</v>
      </c>
      <c r="BH194" s="192">
        <f t="shared" si="17"/>
        <v>281833331</v>
      </c>
      <c r="BI194" s="398" t="s">
        <v>6</v>
      </c>
    </row>
    <row r="195" spans="1:61" s="394" customFormat="1" ht="66.75" customHeight="1">
      <c r="A195" s="423">
        <v>316</v>
      </c>
      <c r="B195" s="392" t="s">
        <v>755</v>
      </c>
      <c r="C195" s="423">
        <v>1</v>
      </c>
      <c r="D195" s="392" t="s">
        <v>148</v>
      </c>
      <c r="E195" s="423">
        <v>41</v>
      </c>
      <c r="F195" s="392" t="s">
        <v>772</v>
      </c>
      <c r="G195" s="423">
        <v>4104</v>
      </c>
      <c r="H195" s="392" t="s">
        <v>866</v>
      </c>
      <c r="I195" s="423">
        <v>4104</v>
      </c>
      <c r="J195" s="392" t="s">
        <v>182</v>
      </c>
      <c r="K195" s="392" t="s">
        <v>876</v>
      </c>
      <c r="L195" s="186">
        <v>4104026</v>
      </c>
      <c r="M195" s="397" t="s">
        <v>877</v>
      </c>
      <c r="N195" s="191">
        <v>4104027</v>
      </c>
      <c r="O195" s="392" t="s">
        <v>878</v>
      </c>
      <c r="P195" s="423" t="s">
        <v>61</v>
      </c>
      <c r="Q195" s="397" t="s">
        <v>879</v>
      </c>
      <c r="R195" s="191">
        <v>410402700</v>
      </c>
      <c r="S195" s="397" t="s">
        <v>880</v>
      </c>
      <c r="T195" s="388" t="s">
        <v>69</v>
      </c>
      <c r="U195" s="388">
        <v>12</v>
      </c>
      <c r="V195" s="388"/>
      <c r="W195" s="388">
        <f t="shared" si="18"/>
        <v>12</v>
      </c>
      <c r="X195" s="388">
        <v>12</v>
      </c>
      <c r="Y195" s="389">
        <v>2020003630012</v>
      </c>
      <c r="Z195" s="392" t="s">
        <v>881</v>
      </c>
      <c r="AA195" s="546" t="s">
        <v>882</v>
      </c>
      <c r="AB195" s="185"/>
      <c r="AC195" s="185"/>
      <c r="AD195" s="185"/>
      <c r="AE195" s="185"/>
      <c r="AF195" s="185"/>
      <c r="AG195" s="185"/>
      <c r="AH195" s="185"/>
      <c r="AI195" s="185"/>
      <c r="AJ195" s="185"/>
      <c r="AK195" s="185"/>
      <c r="AL195" s="185"/>
      <c r="AM195" s="185"/>
      <c r="AN195" s="185"/>
      <c r="AO195" s="185"/>
      <c r="AP195" s="185"/>
      <c r="AQ195" s="185"/>
      <c r="AR195" s="185"/>
      <c r="AS195" s="185"/>
      <c r="AT195" s="192">
        <f>40000000+12000000+70000000+21000000+22400000</f>
        <v>165400000</v>
      </c>
      <c r="AU195" s="192">
        <v>142606666</v>
      </c>
      <c r="AV195" s="194">
        <v>142606665</v>
      </c>
      <c r="AW195" s="185"/>
      <c r="AX195" s="185"/>
      <c r="AY195" s="185"/>
      <c r="AZ195" s="185"/>
      <c r="BA195" s="185"/>
      <c r="BB195" s="185"/>
      <c r="BC195" s="185"/>
      <c r="BD195" s="185"/>
      <c r="BE195" s="185"/>
      <c r="BF195" s="192">
        <f t="shared" si="15"/>
        <v>165400000</v>
      </c>
      <c r="BG195" s="192">
        <f t="shared" si="16"/>
        <v>142606666</v>
      </c>
      <c r="BH195" s="192">
        <f t="shared" si="17"/>
        <v>142606665</v>
      </c>
      <c r="BI195" s="398" t="s">
        <v>6</v>
      </c>
    </row>
    <row r="196" spans="1:61" s="394" customFormat="1" ht="66.75" customHeight="1">
      <c r="A196" s="423">
        <v>316</v>
      </c>
      <c r="B196" s="392" t="s">
        <v>755</v>
      </c>
      <c r="C196" s="423">
        <v>1</v>
      </c>
      <c r="D196" s="392" t="s">
        <v>148</v>
      </c>
      <c r="E196" s="423">
        <v>41</v>
      </c>
      <c r="F196" s="392" t="s">
        <v>772</v>
      </c>
      <c r="G196" s="423">
        <v>4104</v>
      </c>
      <c r="H196" s="392" t="s">
        <v>866</v>
      </c>
      <c r="I196" s="423">
        <v>4104</v>
      </c>
      <c r="J196" s="392" t="s">
        <v>182</v>
      </c>
      <c r="K196" s="392" t="s">
        <v>883</v>
      </c>
      <c r="L196" s="191">
        <v>4104015</v>
      </c>
      <c r="M196" s="397" t="s">
        <v>884</v>
      </c>
      <c r="N196" s="191">
        <v>4104015</v>
      </c>
      <c r="O196" s="411" t="s">
        <v>885</v>
      </c>
      <c r="P196" s="186">
        <v>410401500</v>
      </c>
      <c r="Q196" s="397" t="s">
        <v>886</v>
      </c>
      <c r="R196" s="186">
        <v>410401500</v>
      </c>
      <c r="S196" s="397" t="s">
        <v>887</v>
      </c>
      <c r="T196" s="388" t="s">
        <v>69</v>
      </c>
      <c r="U196" s="388">
        <v>7500</v>
      </c>
      <c r="V196" s="388"/>
      <c r="W196" s="388">
        <f t="shared" si="18"/>
        <v>7500</v>
      </c>
      <c r="X196" s="388">
        <v>7500</v>
      </c>
      <c r="Y196" s="389">
        <v>2020003630109</v>
      </c>
      <c r="Z196" s="392" t="s">
        <v>888</v>
      </c>
      <c r="AA196" s="549" t="s">
        <v>889</v>
      </c>
      <c r="AB196" s="185"/>
      <c r="AC196" s="185"/>
      <c r="AD196" s="185"/>
      <c r="AE196" s="185"/>
      <c r="AF196" s="185"/>
      <c r="AG196" s="185"/>
      <c r="AH196" s="185"/>
      <c r="AI196" s="185"/>
      <c r="AJ196" s="185"/>
      <c r="AK196" s="185"/>
      <c r="AL196" s="185"/>
      <c r="AM196" s="185"/>
      <c r="AN196" s="185"/>
      <c r="AO196" s="185"/>
      <c r="AP196" s="185"/>
      <c r="AQ196" s="185"/>
      <c r="AR196" s="185"/>
      <c r="AS196" s="185"/>
      <c r="AT196" s="192">
        <f>108700000+32400000+14000000+118300000+45327000+30000000-22064502</f>
        <v>326662498</v>
      </c>
      <c r="AU196" s="192">
        <v>299762498</v>
      </c>
      <c r="AV196" s="194">
        <v>299762498</v>
      </c>
      <c r="AW196" s="185"/>
      <c r="AX196" s="185"/>
      <c r="AY196" s="185"/>
      <c r="AZ196" s="185"/>
      <c r="BA196" s="185"/>
      <c r="BB196" s="185"/>
      <c r="BC196" s="185"/>
      <c r="BD196" s="185"/>
      <c r="BE196" s="185"/>
      <c r="BF196" s="192">
        <f t="shared" si="15"/>
        <v>326662498</v>
      </c>
      <c r="BG196" s="192">
        <f t="shared" si="16"/>
        <v>299762498</v>
      </c>
      <c r="BH196" s="192">
        <f t="shared" si="17"/>
        <v>299762498</v>
      </c>
      <c r="BI196" s="398" t="s">
        <v>6</v>
      </c>
    </row>
    <row r="197" spans="1:61" s="394" customFormat="1" ht="66.75" customHeight="1">
      <c r="A197" s="423">
        <v>316</v>
      </c>
      <c r="B197" s="392" t="s">
        <v>755</v>
      </c>
      <c r="C197" s="423">
        <v>1</v>
      </c>
      <c r="D197" s="392" t="s">
        <v>148</v>
      </c>
      <c r="E197" s="423">
        <v>41</v>
      </c>
      <c r="F197" s="392" t="s">
        <v>772</v>
      </c>
      <c r="G197" s="423">
        <v>4104</v>
      </c>
      <c r="H197" s="392" t="s">
        <v>866</v>
      </c>
      <c r="I197" s="423">
        <v>4104</v>
      </c>
      <c r="J197" s="392" t="s">
        <v>182</v>
      </c>
      <c r="K197" s="392" t="s">
        <v>890</v>
      </c>
      <c r="L197" s="423" t="s">
        <v>61</v>
      </c>
      <c r="M197" s="397" t="s">
        <v>891</v>
      </c>
      <c r="N197" s="423">
        <v>4104008</v>
      </c>
      <c r="O197" s="411" t="s">
        <v>892</v>
      </c>
      <c r="P197" s="423" t="s">
        <v>61</v>
      </c>
      <c r="Q197" s="437" t="s">
        <v>893</v>
      </c>
      <c r="R197" s="423">
        <v>410400800</v>
      </c>
      <c r="S197" s="437" t="s">
        <v>894</v>
      </c>
      <c r="T197" s="401" t="s">
        <v>69</v>
      </c>
      <c r="U197" s="388">
        <v>12</v>
      </c>
      <c r="V197" s="388"/>
      <c r="W197" s="388">
        <f t="shared" si="18"/>
        <v>12</v>
      </c>
      <c r="X197" s="388">
        <v>12</v>
      </c>
      <c r="Y197" s="389">
        <v>2020003630109</v>
      </c>
      <c r="Z197" s="392" t="s">
        <v>888</v>
      </c>
      <c r="AA197" s="549" t="s">
        <v>889</v>
      </c>
      <c r="AB197" s="185">
        <f>4406063424+1400016+934325106.43+408270300.95+4160000000</f>
        <v>9910058847.3800011</v>
      </c>
      <c r="AC197" s="185">
        <v>5099489653.8099995</v>
      </c>
      <c r="AD197" s="185">
        <v>5099489653.8099995</v>
      </c>
      <c r="AE197" s="185"/>
      <c r="AF197" s="185"/>
      <c r="AG197" s="185"/>
      <c r="AH197" s="185"/>
      <c r="AI197" s="185"/>
      <c r="AJ197" s="185"/>
      <c r="AK197" s="185"/>
      <c r="AL197" s="185"/>
      <c r="AM197" s="185"/>
      <c r="AN197" s="185"/>
      <c r="AO197" s="185"/>
      <c r="AP197" s="185"/>
      <c r="AQ197" s="185"/>
      <c r="AR197" s="185"/>
      <c r="AS197" s="185"/>
      <c r="AT197" s="192"/>
      <c r="AU197" s="192"/>
      <c r="AV197" s="194">
        <v>0</v>
      </c>
      <c r="AW197" s="185"/>
      <c r="AX197" s="185"/>
      <c r="AY197" s="185"/>
      <c r="AZ197" s="185"/>
      <c r="BA197" s="185"/>
      <c r="BB197" s="185"/>
      <c r="BC197" s="185"/>
      <c r="BD197" s="185"/>
      <c r="BE197" s="185"/>
      <c r="BF197" s="192">
        <f t="shared" si="15"/>
        <v>9910058847.3800011</v>
      </c>
      <c r="BG197" s="192">
        <f t="shared" si="16"/>
        <v>5099489653.8099995</v>
      </c>
      <c r="BH197" s="192">
        <f t="shared" si="17"/>
        <v>5099489653.8099995</v>
      </c>
      <c r="BI197" s="398" t="s">
        <v>6</v>
      </c>
    </row>
    <row r="198" spans="1:61" s="394" customFormat="1" ht="66.75" customHeight="1">
      <c r="A198" s="423">
        <v>316</v>
      </c>
      <c r="B198" s="392" t="s">
        <v>755</v>
      </c>
      <c r="C198" s="423">
        <v>2</v>
      </c>
      <c r="D198" s="392" t="s">
        <v>200</v>
      </c>
      <c r="E198" s="423">
        <v>17</v>
      </c>
      <c r="F198" s="392" t="s">
        <v>201</v>
      </c>
      <c r="G198" s="423">
        <v>1702</v>
      </c>
      <c r="H198" s="392" t="s">
        <v>464</v>
      </c>
      <c r="I198" s="423">
        <v>1702</v>
      </c>
      <c r="J198" s="392" t="s">
        <v>465</v>
      </c>
      <c r="K198" s="392" t="s">
        <v>895</v>
      </c>
      <c r="L198" s="191">
        <v>1702011</v>
      </c>
      <c r="M198" s="397" t="s">
        <v>896</v>
      </c>
      <c r="N198" s="191">
        <v>1702011</v>
      </c>
      <c r="O198" s="392" t="s">
        <v>896</v>
      </c>
      <c r="P198" s="186" t="s">
        <v>897</v>
      </c>
      <c r="Q198" s="397" t="s">
        <v>898</v>
      </c>
      <c r="R198" s="186" t="s">
        <v>897</v>
      </c>
      <c r="S198" s="397" t="s">
        <v>898</v>
      </c>
      <c r="T198" s="426" t="s">
        <v>157</v>
      </c>
      <c r="U198" s="388">
        <v>10</v>
      </c>
      <c r="V198" s="388"/>
      <c r="W198" s="388">
        <f t="shared" si="18"/>
        <v>10</v>
      </c>
      <c r="X198" s="388">
        <v>10</v>
      </c>
      <c r="Y198" s="389">
        <v>2020003630113</v>
      </c>
      <c r="Z198" s="392" t="s">
        <v>899</v>
      </c>
      <c r="AA198" s="546" t="s">
        <v>900</v>
      </c>
      <c r="AB198" s="185"/>
      <c r="AC198" s="185"/>
      <c r="AD198" s="185"/>
      <c r="AE198" s="185"/>
      <c r="AF198" s="185"/>
      <c r="AG198" s="185"/>
      <c r="AH198" s="185"/>
      <c r="AI198" s="185"/>
      <c r="AJ198" s="185"/>
      <c r="AK198" s="185"/>
      <c r="AL198" s="185"/>
      <c r="AM198" s="185"/>
      <c r="AN198" s="185"/>
      <c r="AO198" s="185"/>
      <c r="AP198" s="185"/>
      <c r="AQ198" s="185"/>
      <c r="AR198" s="185"/>
      <c r="AS198" s="185"/>
      <c r="AT198" s="192">
        <f>18000000+5400000+9900000+13000000-4040000</f>
        <v>42260000</v>
      </c>
      <c r="AU198" s="192">
        <v>42260000</v>
      </c>
      <c r="AV198" s="194">
        <v>42260000</v>
      </c>
      <c r="AW198" s="185"/>
      <c r="AX198" s="185"/>
      <c r="AY198" s="185"/>
      <c r="AZ198" s="185"/>
      <c r="BA198" s="185"/>
      <c r="BB198" s="185"/>
      <c r="BC198" s="185"/>
      <c r="BD198" s="185"/>
      <c r="BE198" s="185"/>
      <c r="BF198" s="192">
        <f t="shared" si="15"/>
        <v>42260000</v>
      </c>
      <c r="BG198" s="192">
        <f t="shared" si="16"/>
        <v>42260000</v>
      </c>
      <c r="BH198" s="192">
        <f t="shared" si="17"/>
        <v>42260000</v>
      </c>
      <c r="BI198" s="398" t="s">
        <v>6</v>
      </c>
    </row>
    <row r="199" spans="1:61" s="394" customFormat="1" ht="66.75" customHeight="1">
      <c r="A199" s="423">
        <v>316</v>
      </c>
      <c r="B199" s="392" t="s">
        <v>755</v>
      </c>
      <c r="C199" s="423">
        <v>2</v>
      </c>
      <c r="D199" s="392" t="s">
        <v>200</v>
      </c>
      <c r="E199" s="423">
        <v>36</v>
      </c>
      <c r="F199" s="392" t="s">
        <v>446</v>
      </c>
      <c r="G199" s="423">
        <v>3604</v>
      </c>
      <c r="H199" s="392" t="s">
        <v>901</v>
      </c>
      <c r="I199" s="423">
        <v>3604</v>
      </c>
      <c r="J199" s="392" t="s">
        <v>902</v>
      </c>
      <c r="K199" s="392" t="s">
        <v>903</v>
      </c>
      <c r="L199" s="423">
        <v>3604006</v>
      </c>
      <c r="M199" s="397" t="s">
        <v>904</v>
      </c>
      <c r="N199" s="423">
        <v>3604006</v>
      </c>
      <c r="O199" s="392" t="s">
        <v>904</v>
      </c>
      <c r="P199" s="186">
        <v>360400600</v>
      </c>
      <c r="Q199" s="397" t="s">
        <v>351</v>
      </c>
      <c r="R199" s="186">
        <v>360400600</v>
      </c>
      <c r="S199" s="397" t="s">
        <v>351</v>
      </c>
      <c r="T199" s="432" t="s">
        <v>157</v>
      </c>
      <c r="U199" s="432">
        <v>300</v>
      </c>
      <c r="V199" s="432"/>
      <c r="W199" s="388">
        <f t="shared" si="18"/>
        <v>300</v>
      </c>
      <c r="X199" s="388">
        <v>300</v>
      </c>
      <c r="Y199" s="389">
        <v>2020003630114</v>
      </c>
      <c r="Z199" s="411" t="s">
        <v>905</v>
      </c>
      <c r="AA199" s="554" t="s">
        <v>906</v>
      </c>
      <c r="AB199" s="185"/>
      <c r="AC199" s="185"/>
      <c r="AD199" s="185"/>
      <c r="AE199" s="185"/>
      <c r="AF199" s="185"/>
      <c r="AG199" s="185"/>
      <c r="AH199" s="185"/>
      <c r="AI199" s="185"/>
      <c r="AJ199" s="185"/>
      <c r="AK199" s="185"/>
      <c r="AL199" s="185"/>
      <c r="AM199" s="185"/>
      <c r="AN199" s="185"/>
      <c r="AO199" s="185"/>
      <c r="AP199" s="185"/>
      <c r="AQ199" s="185"/>
      <c r="AR199" s="185"/>
      <c r="AS199" s="185"/>
      <c r="AT199" s="192">
        <f>15000000+4000000</f>
        <v>19000000</v>
      </c>
      <c r="AU199" s="192">
        <v>19000000</v>
      </c>
      <c r="AV199" s="194">
        <v>19000000</v>
      </c>
      <c r="AW199" s="185"/>
      <c r="AX199" s="185"/>
      <c r="AY199" s="185"/>
      <c r="AZ199" s="185"/>
      <c r="BA199" s="185"/>
      <c r="BB199" s="185"/>
      <c r="BC199" s="185"/>
      <c r="BD199" s="185"/>
      <c r="BE199" s="185"/>
      <c r="BF199" s="192">
        <f t="shared" si="15"/>
        <v>19000000</v>
      </c>
      <c r="BG199" s="192">
        <f t="shared" si="16"/>
        <v>19000000</v>
      </c>
      <c r="BH199" s="192">
        <f t="shared" si="17"/>
        <v>19000000</v>
      </c>
      <c r="BI199" s="398" t="s">
        <v>6</v>
      </c>
    </row>
    <row r="200" spans="1:61" s="394" customFormat="1" ht="66.75" customHeight="1">
      <c r="A200" s="423">
        <v>316</v>
      </c>
      <c r="B200" s="392" t="s">
        <v>755</v>
      </c>
      <c r="C200" s="423">
        <v>4</v>
      </c>
      <c r="D200" s="392" t="s">
        <v>59</v>
      </c>
      <c r="E200" s="423">
        <v>45</v>
      </c>
      <c r="F200" s="392" t="s">
        <v>907</v>
      </c>
      <c r="G200" s="423">
        <v>4502</v>
      </c>
      <c r="H200" s="392" t="s">
        <v>78</v>
      </c>
      <c r="I200" s="423">
        <v>4502</v>
      </c>
      <c r="J200" s="392" t="s">
        <v>79</v>
      </c>
      <c r="K200" s="392" t="s">
        <v>908</v>
      </c>
      <c r="L200" s="191">
        <v>4502001</v>
      </c>
      <c r="M200" s="397" t="s">
        <v>90</v>
      </c>
      <c r="N200" s="191">
        <v>4502001</v>
      </c>
      <c r="O200" s="392" t="s">
        <v>90</v>
      </c>
      <c r="P200" s="423" t="s">
        <v>61</v>
      </c>
      <c r="Q200" s="397" t="s">
        <v>909</v>
      </c>
      <c r="R200" s="191">
        <v>450200108</v>
      </c>
      <c r="S200" s="397" t="s">
        <v>910</v>
      </c>
      <c r="T200" s="388" t="s">
        <v>157</v>
      </c>
      <c r="U200" s="388">
        <v>1</v>
      </c>
      <c r="V200" s="388">
        <v>1</v>
      </c>
      <c r="W200" s="388">
        <f t="shared" si="18"/>
        <v>2</v>
      </c>
      <c r="X200" s="388">
        <v>2</v>
      </c>
      <c r="Y200" s="389">
        <v>2020003630115</v>
      </c>
      <c r="Z200" s="392" t="s">
        <v>911</v>
      </c>
      <c r="AA200" s="546" t="s">
        <v>912</v>
      </c>
      <c r="AB200" s="185"/>
      <c r="AC200" s="185"/>
      <c r="AD200" s="185"/>
      <c r="AE200" s="185"/>
      <c r="AF200" s="185"/>
      <c r="AG200" s="185"/>
      <c r="AH200" s="185"/>
      <c r="AI200" s="185"/>
      <c r="AJ200" s="185"/>
      <c r="AK200" s="185"/>
      <c r="AL200" s="185"/>
      <c r="AM200" s="185"/>
      <c r="AN200" s="185"/>
      <c r="AO200" s="185"/>
      <c r="AP200" s="185"/>
      <c r="AQ200" s="185"/>
      <c r="AR200" s="185"/>
      <c r="AS200" s="185"/>
      <c r="AT200" s="192">
        <f>15000000-8600000</f>
        <v>6400000</v>
      </c>
      <c r="AU200" s="192">
        <v>6400000</v>
      </c>
      <c r="AV200" s="194">
        <v>6400000</v>
      </c>
      <c r="AW200" s="185"/>
      <c r="AX200" s="185"/>
      <c r="AY200" s="185"/>
      <c r="AZ200" s="185"/>
      <c r="BA200" s="185"/>
      <c r="BB200" s="185"/>
      <c r="BC200" s="185"/>
      <c r="BD200" s="185"/>
      <c r="BE200" s="185"/>
      <c r="BF200" s="192">
        <f t="shared" si="15"/>
        <v>6400000</v>
      </c>
      <c r="BG200" s="192">
        <f t="shared" si="16"/>
        <v>6400000</v>
      </c>
      <c r="BH200" s="192">
        <f t="shared" si="17"/>
        <v>6400000</v>
      </c>
      <c r="BI200" s="398" t="s">
        <v>6</v>
      </c>
    </row>
    <row r="201" spans="1:61" s="394" customFormat="1" ht="66.75" customHeight="1">
      <c r="A201" s="423">
        <v>316</v>
      </c>
      <c r="B201" s="392" t="s">
        <v>755</v>
      </c>
      <c r="C201" s="423">
        <v>4</v>
      </c>
      <c r="D201" s="392" t="s">
        <v>59</v>
      </c>
      <c r="E201" s="423">
        <v>45</v>
      </c>
      <c r="F201" s="392" t="s">
        <v>907</v>
      </c>
      <c r="G201" s="423">
        <v>4502</v>
      </c>
      <c r="H201" s="392" t="s">
        <v>78</v>
      </c>
      <c r="I201" s="423">
        <v>4502</v>
      </c>
      <c r="J201" s="392" t="s">
        <v>79</v>
      </c>
      <c r="K201" s="397" t="s">
        <v>913</v>
      </c>
      <c r="L201" s="423" t="s">
        <v>61</v>
      </c>
      <c r="M201" s="397" t="s">
        <v>914</v>
      </c>
      <c r="N201" s="435">
        <v>4502038</v>
      </c>
      <c r="O201" s="392" t="s">
        <v>915</v>
      </c>
      <c r="P201" s="423" t="s">
        <v>61</v>
      </c>
      <c r="Q201" s="397" t="s">
        <v>916</v>
      </c>
      <c r="R201" s="388">
        <v>450203800</v>
      </c>
      <c r="S201" s="397" t="s">
        <v>917</v>
      </c>
      <c r="T201" s="388" t="s">
        <v>69</v>
      </c>
      <c r="U201" s="388">
        <v>1</v>
      </c>
      <c r="V201" s="388"/>
      <c r="W201" s="388">
        <f t="shared" si="18"/>
        <v>1</v>
      </c>
      <c r="X201" s="388">
        <v>1</v>
      </c>
      <c r="Y201" s="287">
        <v>2021003630008</v>
      </c>
      <c r="Z201" s="392" t="s">
        <v>918</v>
      </c>
      <c r="AA201" s="546" t="s">
        <v>919</v>
      </c>
      <c r="AB201" s="185"/>
      <c r="AC201" s="185"/>
      <c r="AD201" s="185"/>
      <c r="AE201" s="185"/>
      <c r="AF201" s="185"/>
      <c r="AG201" s="185"/>
      <c r="AH201" s="185"/>
      <c r="AI201" s="185"/>
      <c r="AJ201" s="185"/>
      <c r="AK201" s="185"/>
      <c r="AL201" s="185"/>
      <c r="AM201" s="185"/>
      <c r="AN201" s="185"/>
      <c r="AO201" s="185"/>
      <c r="AP201" s="185"/>
      <c r="AQ201" s="185"/>
      <c r="AR201" s="185"/>
      <c r="AS201" s="185"/>
      <c r="AT201" s="192">
        <f>80000000+24000000+2000000+71600000+65600000+30000000-47049028</f>
        <v>226150972</v>
      </c>
      <c r="AU201" s="192">
        <v>224438972</v>
      </c>
      <c r="AV201" s="194">
        <v>224438972</v>
      </c>
      <c r="AW201" s="185"/>
      <c r="AX201" s="185"/>
      <c r="AY201" s="185"/>
      <c r="AZ201" s="185"/>
      <c r="BA201" s="185"/>
      <c r="BB201" s="185"/>
      <c r="BC201" s="185"/>
      <c r="BD201" s="185"/>
      <c r="BE201" s="185"/>
      <c r="BF201" s="192">
        <f t="shared" si="15"/>
        <v>226150972</v>
      </c>
      <c r="BG201" s="192">
        <f t="shared" si="16"/>
        <v>224438972</v>
      </c>
      <c r="BH201" s="192">
        <f t="shared" si="17"/>
        <v>224438972</v>
      </c>
      <c r="BI201" s="398" t="s">
        <v>6</v>
      </c>
    </row>
    <row r="202" spans="1:61" s="394" customFormat="1" ht="66.75" customHeight="1">
      <c r="A202" s="423">
        <v>316</v>
      </c>
      <c r="B202" s="392" t="s">
        <v>755</v>
      </c>
      <c r="C202" s="423">
        <v>4</v>
      </c>
      <c r="D202" s="392" t="s">
        <v>59</v>
      </c>
      <c r="E202" s="423">
        <v>45</v>
      </c>
      <c r="F202" s="392" t="s">
        <v>907</v>
      </c>
      <c r="G202" s="423">
        <v>4502</v>
      </c>
      <c r="H202" s="392" t="s">
        <v>78</v>
      </c>
      <c r="I202" s="423">
        <v>4502</v>
      </c>
      <c r="J202" s="392" t="s">
        <v>79</v>
      </c>
      <c r="K202" s="392" t="s">
        <v>913</v>
      </c>
      <c r="L202" s="423" t="s">
        <v>61</v>
      </c>
      <c r="M202" s="397" t="s">
        <v>920</v>
      </c>
      <c r="N202" s="435">
        <v>4502038</v>
      </c>
      <c r="O202" s="392" t="s">
        <v>915</v>
      </c>
      <c r="P202" s="423" t="s">
        <v>61</v>
      </c>
      <c r="Q202" s="397" t="s">
        <v>921</v>
      </c>
      <c r="R202" s="388">
        <v>450203800</v>
      </c>
      <c r="S202" s="397" t="s">
        <v>917</v>
      </c>
      <c r="T202" s="388" t="s">
        <v>69</v>
      </c>
      <c r="U202" s="388">
        <v>1</v>
      </c>
      <c r="V202" s="388"/>
      <c r="W202" s="388">
        <f t="shared" si="18"/>
        <v>1</v>
      </c>
      <c r="X202" s="388">
        <v>1</v>
      </c>
      <c r="Y202" s="287">
        <v>2021003630007</v>
      </c>
      <c r="Z202" s="392" t="s">
        <v>922</v>
      </c>
      <c r="AA202" s="546" t="s">
        <v>923</v>
      </c>
      <c r="AB202" s="185"/>
      <c r="AC202" s="185"/>
      <c r="AD202" s="185"/>
      <c r="AE202" s="185"/>
      <c r="AF202" s="185"/>
      <c r="AG202" s="185"/>
      <c r="AH202" s="185"/>
      <c r="AI202" s="185"/>
      <c r="AJ202" s="185"/>
      <c r="AK202" s="185"/>
      <c r="AL202" s="185"/>
      <c r="AM202" s="185"/>
      <c r="AN202" s="185"/>
      <c r="AO202" s="185"/>
      <c r="AP202" s="185"/>
      <c r="AQ202" s="185"/>
      <c r="AR202" s="185"/>
      <c r="AS202" s="185"/>
      <c r="AT202" s="192">
        <f>78000000+23400000+24600000+51200000+30000000-43008743</f>
        <v>164191257</v>
      </c>
      <c r="AU202" s="192">
        <v>152775140</v>
      </c>
      <c r="AV202" s="194">
        <v>152775140</v>
      </c>
      <c r="AW202" s="185"/>
      <c r="AX202" s="185"/>
      <c r="AY202" s="185"/>
      <c r="AZ202" s="185"/>
      <c r="BA202" s="185"/>
      <c r="BB202" s="185"/>
      <c r="BC202" s="185"/>
      <c r="BD202" s="185"/>
      <c r="BE202" s="185"/>
      <c r="BF202" s="192">
        <f t="shared" si="15"/>
        <v>164191257</v>
      </c>
      <c r="BG202" s="192">
        <f t="shared" si="16"/>
        <v>152775140</v>
      </c>
      <c r="BH202" s="192">
        <f t="shared" si="17"/>
        <v>152775140</v>
      </c>
      <c r="BI202" s="398" t="s">
        <v>6</v>
      </c>
    </row>
    <row r="203" spans="1:61" s="394" customFormat="1" ht="66.75" customHeight="1">
      <c r="A203" s="423">
        <v>316</v>
      </c>
      <c r="B203" s="392" t="s">
        <v>755</v>
      </c>
      <c r="C203" s="423">
        <v>4</v>
      </c>
      <c r="D203" s="392" t="s">
        <v>59</v>
      </c>
      <c r="E203" s="423">
        <v>45</v>
      </c>
      <c r="F203" s="392" t="s">
        <v>907</v>
      </c>
      <c r="G203" s="423">
        <v>4502</v>
      </c>
      <c r="H203" s="392" t="s">
        <v>78</v>
      </c>
      <c r="I203" s="423">
        <v>4502</v>
      </c>
      <c r="J203" s="392" t="s">
        <v>79</v>
      </c>
      <c r="K203" s="397" t="s">
        <v>924</v>
      </c>
      <c r="L203" s="191">
        <v>4502024</v>
      </c>
      <c r="M203" s="397" t="s">
        <v>361</v>
      </c>
      <c r="N203" s="191">
        <v>4502024</v>
      </c>
      <c r="O203" s="392" t="s">
        <v>361</v>
      </c>
      <c r="P203" s="423" t="s">
        <v>61</v>
      </c>
      <c r="Q203" s="397" t="s">
        <v>925</v>
      </c>
      <c r="R203" s="191">
        <v>450202401</v>
      </c>
      <c r="S203" s="393" t="s">
        <v>926</v>
      </c>
      <c r="T203" s="388" t="s">
        <v>69</v>
      </c>
      <c r="U203" s="388">
        <v>1</v>
      </c>
      <c r="V203" s="388"/>
      <c r="W203" s="388">
        <f t="shared" si="18"/>
        <v>1</v>
      </c>
      <c r="X203" s="388">
        <v>1</v>
      </c>
      <c r="Y203" s="287">
        <v>2020003630111</v>
      </c>
      <c r="Z203" s="392" t="s">
        <v>927</v>
      </c>
      <c r="AA203" s="546" t="s">
        <v>928</v>
      </c>
      <c r="AB203" s="185"/>
      <c r="AC203" s="185"/>
      <c r="AD203" s="185"/>
      <c r="AE203" s="185"/>
      <c r="AF203" s="185"/>
      <c r="AG203" s="185"/>
      <c r="AH203" s="185"/>
      <c r="AI203" s="185"/>
      <c r="AJ203" s="185"/>
      <c r="AK203" s="185"/>
      <c r="AL203" s="185"/>
      <c r="AM203" s="185"/>
      <c r="AN203" s="185"/>
      <c r="AO203" s="185"/>
      <c r="AP203" s="185"/>
      <c r="AQ203" s="185"/>
      <c r="AR203" s="185"/>
      <c r="AS203" s="185"/>
      <c r="AT203" s="192">
        <f>30172972+9000000+3000000+45000000+42880000+20000000-27880757</f>
        <v>122172215</v>
      </c>
      <c r="AU203" s="192">
        <v>119560548</v>
      </c>
      <c r="AV203" s="194">
        <v>119560548</v>
      </c>
      <c r="AW203" s="185"/>
      <c r="AX203" s="185"/>
      <c r="AY203" s="185"/>
      <c r="AZ203" s="185"/>
      <c r="BA203" s="185"/>
      <c r="BB203" s="185"/>
      <c r="BC203" s="185"/>
      <c r="BD203" s="185"/>
      <c r="BE203" s="185"/>
      <c r="BF203" s="192">
        <f t="shared" si="15"/>
        <v>122172215</v>
      </c>
      <c r="BG203" s="192">
        <f t="shared" si="16"/>
        <v>119560548</v>
      </c>
      <c r="BH203" s="192">
        <f t="shared" si="17"/>
        <v>119560548</v>
      </c>
      <c r="BI203" s="398" t="s">
        <v>6</v>
      </c>
    </row>
    <row r="204" spans="1:61" s="394" customFormat="1" ht="66.75" customHeight="1">
      <c r="A204" s="423">
        <v>316</v>
      </c>
      <c r="B204" s="392" t="s">
        <v>755</v>
      </c>
      <c r="C204" s="423">
        <v>4</v>
      </c>
      <c r="D204" s="392" t="s">
        <v>59</v>
      </c>
      <c r="E204" s="423">
        <v>45</v>
      </c>
      <c r="F204" s="392" t="s">
        <v>907</v>
      </c>
      <c r="G204" s="423">
        <v>4502</v>
      </c>
      <c r="H204" s="392" t="s">
        <v>78</v>
      </c>
      <c r="I204" s="423">
        <v>4502</v>
      </c>
      <c r="J204" s="392" t="s">
        <v>79</v>
      </c>
      <c r="K204" s="305" t="s">
        <v>929</v>
      </c>
      <c r="L204" s="191">
        <v>4502024</v>
      </c>
      <c r="M204" s="397" t="s">
        <v>361</v>
      </c>
      <c r="N204" s="191">
        <v>4502024</v>
      </c>
      <c r="O204" s="392" t="s">
        <v>361</v>
      </c>
      <c r="P204" s="423" t="s">
        <v>61</v>
      </c>
      <c r="Q204" s="397" t="s">
        <v>930</v>
      </c>
      <c r="R204" s="191">
        <v>450202401</v>
      </c>
      <c r="S204" s="397" t="s">
        <v>926</v>
      </c>
      <c r="T204" s="388" t="s">
        <v>69</v>
      </c>
      <c r="U204" s="388">
        <v>1</v>
      </c>
      <c r="V204" s="388"/>
      <c r="W204" s="388">
        <f t="shared" si="18"/>
        <v>1</v>
      </c>
      <c r="X204" s="388">
        <v>0.8</v>
      </c>
      <c r="Y204" s="389">
        <v>2020003630112</v>
      </c>
      <c r="Z204" s="392" t="s">
        <v>931</v>
      </c>
      <c r="AA204" s="546" t="s">
        <v>932</v>
      </c>
      <c r="AB204" s="185"/>
      <c r="AC204" s="185"/>
      <c r="AD204" s="185"/>
      <c r="AE204" s="185"/>
      <c r="AF204" s="185"/>
      <c r="AG204" s="185"/>
      <c r="AH204" s="185"/>
      <c r="AI204" s="185"/>
      <c r="AJ204" s="185"/>
      <c r="AK204" s="185"/>
      <c r="AL204" s="185"/>
      <c r="AM204" s="185"/>
      <c r="AN204" s="185"/>
      <c r="AO204" s="185"/>
      <c r="AP204" s="185"/>
      <c r="AQ204" s="185"/>
      <c r="AR204" s="185"/>
      <c r="AS204" s="185"/>
      <c r="AT204" s="192">
        <f>50000000+15000000+50000000-52725034</f>
        <v>62274966</v>
      </c>
      <c r="AU204" s="192">
        <v>48000000</v>
      </c>
      <c r="AV204" s="194">
        <v>48000000</v>
      </c>
      <c r="AW204" s="185"/>
      <c r="AX204" s="185"/>
      <c r="AY204" s="185"/>
      <c r="AZ204" s="185"/>
      <c r="BA204" s="185"/>
      <c r="BB204" s="185"/>
      <c r="BC204" s="185"/>
      <c r="BD204" s="185"/>
      <c r="BE204" s="185"/>
      <c r="BF204" s="192">
        <f t="shared" si="15"/>
        <v>62274966</v>
      </c>
      <c r="BG204" s="192">
        <f t="shared" si="16"/>
        <v>48000000</v>
      </c>
      <c r="BH204" s="192">
        <f t="shared" si="17"/>
        <v>48000000</v>
      </c>
      <c r="BI204" s="398" t="s">
        <v>6</v>
      </c>
    </row>
    <row r="205" spans="1:61" s="394" customFormat="1" ht="66.75" customHeight="1">
      <c r="A205" s="423">
        <v>318</v>
      </c>
      <c r="B205" s="392" t="s">
        <v>933</v>
      </c>
      <c r="C205" s="423">
        <v>1</v>
      </c>
      <c r="D205" s="392" t="s">
        <v>148</v>
      </c>
      <c r="E205" s="423">
        <v>19</v>
      </c>
      <c r="F205" s="392" t="s">
        <v>756</v>
      </c>
      <c r="G205" s="423">
        <v>1903</v>
      </c>
      <c r="H205" s="392" t="s">
        <v>934</v>
      </c>
      <c r="I205" s="423">
        <v>1903</v>
      </c>
      <c r="J205" s="392" t="s">
        <v>935</v>
      </c>
      <c r="K205" s="392" t="s">
        <v>936</v>
      </c>
      <c r="L205" s="423">
        <v>1903009</v>
      </c>
      <c r="M205" s="397" t="s">
        <v>937</v>
      </c>
      <c r="N205" s="423">
        <v>1903009</v>
      </c>
      <c r="O205" s="392" t="s">
        <v>938</v>
      </c>
      <c r="P205" s="388">
        <v>190300900</v>
      </c>
      <c r="Q205" s="397" t="s">
        <v>939</v>
      </c>
      <c r="R205" s="388">
        <v>190300900</v>
      </c>
      <c r="S205" s="397" t="s">
        <v>940</v>
      </c>
      <c r="T205" s="388" t="s">
        <v>157</v>
      </c>
      <c r="U205" s="388">
        <v>960</v>
      </c>
      <c r="V205" s="388"/>
      <c r="W205" s="388">
        <v>960</v>
      </c>
      <c r="X205" s="388">
        <v>1082</v>
      </c>
      <c r="Y205" s="389">
        <v>2020003630116</v>
      </c>
      <c r="Z205" s="392" t="s">
        <v>941</v>
      </c>
      <c r="AA205" s="546" t="s">
        <v>942</v>
      </c>
      <c r="AB205" s="185"/>
      <c r="AC205" s="185"/>
      <c r="AD205" s="185"/>
      <c r="AE205" s="185"/>
      <c r="AF205" s="185"/>
      <c r="AG205" s="185"/>
      <c r="AH205" s="185">
        <f>35000000+21600000</f>
        <v>56600000</v>
      </c>
      <c r="AI205" s="185">
        <v>46546665</v>
      </c>
      <c r="AJ205" s="185">
        <v>46546665</v>
      </c>
      <c r="AK205" s="185"/>
      <c r="AL205" s="185"/>
      <c r="AM205" s="185"/>
      <c r="AN205" s="185"/>
      <c r="AO205" s="185"/>
      <c r="AP205" s="185"/>
      <c r="AQ205" s="185"/>
      <c r="AR205" s="185"/>
      <c r="AS205" s="185"/>
      <c r="AT205" s="189"/>
      <c r="AU205" s="189"/>
      <c r="AV205" s="189"/>
      <c r="AW205" s="185"/>
      <c r="AX205" s="185"/>
      <c r="AY205" s="185"/>
      <c r="AZ205" s="185"/>
      <c r="BA205" s="185"/>
      <c r="BB205" s="185"/>
      <c r="BC205" s="185"/>
      <c r="BD205" s="185"/>
      <c r="BE205" s="185"/>
      <c r="BF205" s="192">
        <f t="shared" si="15"/>
        <v>56600000</v>
      </c>
      <c r="BG205" s="192">
        <f t="shared" si="16"/>
        <v>46546665</v>
      </c>
      <c r="BH205" s="192">
        <f t="shared" si="17"/>
        <v>46546665</v>
      </c>
      <c r="BI205" s="398" t="s">
        <v>14</v>
      </c>
    </row>
    <row r="206" spans="1:61" s="394" customFormat="1" ht="66.75" customHeight="1">
      <c r="A206" s="423">
        <v>318</v>
      </c>
      <c r="B206" s="392" t="s">
        <v>933</v>
      </c>
      <c r="C206" s="423">
        <v>1</v>
      </c>
      <c r="D206" s="392" t="s">
        <v>148</v>
      </c>
      <c r="E206" s="423">
        <v>19</v>
      </c>
      <c r="F206" s="392" t="s">
        <v>756</v>
      </c>
      <c r="G206" s="423">
        <v>1903</v>
      </c>
      <c r="H206" s="392" t="s">
        <v>934</v>
      </c>
      <c r="I206" s="423">
        <v>1903</v>
      </c>
      <c r="J206" s="392" t="s">
        <v>935</v>
      </c>
      <c r="K206" s="392" t="s">
        <v>943</v>
      </c>
      <c r="L206" s="423">
        <v>1903031</v>
      </c>
      <c r="M206" s="397" t="s">
        <v>944</v>
      </c>
      <c r="N206" s="423">
        <v>1903031</v>
      </c>
      <c r="O206" s="392" t="s">
        <v>944</v>
      </c>
      <c r="P206" s="388">
        <v>190303100</v>
      </c>
      <c r="Q206" s="397" t="s">
        <v>945</v>
      </c>
      <c r="R206" s="388">
        <v>190303100</v>
      </c>
      <c r="S206" s="397" t="s">
        <v>945</v>
      </c>
      <c r="T206" s="388" t="s">
        <v>69</v>
      </c>
      <c r="U206" s="388">
        <v>12</v>
      </c>
      <c r="V206" s="388"/>
      <c r="W206" s="388">
        <v>12</v>
      </c>
      <c r="X206" s="388">
        <v>11</v>
      </c>
      <c r="Y206" s="389">
        <v>2020003630116</v>
      </c>
      <c r="Z206" s="392" t="s">
        <v>941</v>
      </c>
      <c r="AA206" s="546" t="s">
        <v>942</v>
      </c>
      <c r="AB206" s="185"/>
      <c r="AC206" s="185"/>
      <c r="AD206" s="185"/>
      <c r="AE206" s="185"/>
      <c r="AF206" s="185"/>
      <c r="AG206" s="185"/>
      <c r="AH206" s="185">
        <v>37500000</v>
      </c>
      <c r="AI206" s="185">
        <v>34833000</v>
      </c>
      <c r="AJ206" s="185">
        <v>34833000</v>
      </c>
      <c r="AK206" s="185"/>
      <c r="AL206" s="185"/>
      <c r="AM206" s="185"/>
      <c r="AN206" s="185"/>
      <c r="AO206" s="185"/>
      <c r="AP206" s="185"/>
      <c r="AQ206" s="185"/>
      <c r="AR206" s="185"/>
      <c r="AS206" s="185"/>
      <c r="AT206" s="189"/>
      <c r="AU206" s="189"/>
      <c r="AV206" s="189"/>
      <c r="AW206" s="185"/>
      <c r="AX206" s="185"/>
      <c r="AY206" s="185"/>
      <c r="AZ206" s="185"/>
      <c r="BA206" s="185"/>
      <c r="BB206" s="185"/>
      <c r="BC206" s="185"/>
      <c r="BD206" s="185"/>
      <c r="BE206" s="185"/>
      <c r="BF206" s="192">
        <f t="shared" si="15"/>
        <v>37500000</v>
      </c>
      <c r="BG206" s="192">
        <f t="shared" si="16"/>
        <v>34833000</v>
      </c>
      <c r="BH206" s="192">
        <f t="shared" si="17"/>
        <v>34833000</v>
      </c>
      <c r="BI206" s="398" t="s">
        <v>14</v>
      </c>
    </row>
    <row r="207" spans="1:61" s="394" customFormat="1" ht="66.75" customHeight="1">
      <c r="A207" s="423">
        <v>318</v>
      </c>
      <c r="B207" s="392" t="s">
        <v>933</v>
      </c>
      <c r="C207" s="423">
        <v>1</v>
      </c>
      <c r="D207" s="392" t="s">
        <v>148</v>
      </c>
      <c r="E207" s="423">
        <v>19</v>
      </c>
      <c r="F207" s="392" t="s">
        <v>756</v>
      </c>
      <c r="G207" s="423">
        <v>1903</v>
      </c>
      <c r="H207" s="392" t="s">
        <v>934</v>
      </c>
      <c r="I207" s="423">
        <v>1903</v>
      </c>
      <c r="J207" s="392" t="s">
        <v>935</v>
      </c>
      <c r="K207" s="392" t="s">
        <v>946</v>
      </c>
      <c r="L207" s="423">
        <v>1903023</v>
      </c>
      <c r="M207" s="397" t="s">
        <v>947</v>
      </c>
      <c r="N207" s="423">
        <v>1903023</v>
      </c>
      <c r="O207" s="392" t="s">
        <v>947</v>
      </c>
      <c r="P207" s="388">
        <v>190302300</v>
      </c>
      <c r="Q207" s="397" t="s">
        <v>948</v>
      </c>
      <c r="R207" s="388">
        <v>190302300</v>
      </c>
      <c r="S207" s="397" t="s">
        <v>948</v>
      </c>
      <c r="T207" s="388" t="s">
        <v>69</v>
      </c>
      <c r="U207" s="388">
        <v>12</v>
      </c>
      <c r="V207" s="388"/>
      <c r="W207" s="388">
        <v>12</v>
      </c>
      <c r="X207" s="388">
        <v>11</v>
      </c>
      <c r="Y207" s="389">
        <v>2020003630116</v>
      </c>
      <c r="Z207" s="392" t="s">
        <v>941</v>
      </c>
      <c r="AA207" s="546" t="s">
        <v>942</v>
      </c>
      <c r="AB207" s="185"/>
      <c r="AC207" s="185"/>
      <c r="AD207" s="185"/>
      <c r="AE207" s="185"/>
      <c r="AF207" s="185"/>
      <c r="AG207" s="185"/>
      <c r="AH207" s="185">
        <v>20000000</v>
      </c>
      <c r="AI207" s="185">
        <v>19946666</v>
      </c>
      <c r="AJ207" s="185">
        <v>17600000</v>
      </c>
      <c r="AK207" s="185"/>
      <c r="AL207" s="185"/>
      <c r="AM207" s="185"/>
      <c r="AN207" s="185"/>
      <c r="AO207" s="185"/>
      <c r="AP207" s="185"/>
      <c r="AQ207" s="185"/>
      <c r="AR207" s="185"/>
      <c r="AS207" s="185"/>
      <c r="AT207" s="194"/>
      <c r="AU207" s="194"/>
      <c r="AV207" s="194"/>
      <c r="AW207" s="185"/>
      <c r="AX207" s="185"/>
      <c r="AY207" s="185"/>
      <c r="AZ207" s="185"/>
      <c r="BA207" s="185"/>
      <c r="BB207" s="185"/>
      <c r="BC207" s="185"/>
      <c r="BD207" s="185"/>
      <c r="BE207" s="185"/>
      <c r="BF207" s="192">
        <f t="shared" si="15"/>
        <v>20000000</v>
      </c>
      <c r="BG207" s="192">
        <f t="shared" si="16"/>
        <v>19946666</v>
      </c>
      <c r="BH207" s="192">
        <f t="shared" si="17"/>
        <v>17600000</v>
      </c>
      <c r="BI207" s="398" t="s">
        <v>14</v>
      </c>
    </row>
    <row r="208" spans="1:61" s="394" customFormat="1" ht="66.75" customHeight="1">
      <c r="A208" s="423">
        <v>318</v>
      </c>
      <c r="B208" s="392" t="s">
        <v>933</v>
      </c>
      <c r="C208" s="423">
        <v>1</v>
      </c>
      <c r="D208" s="392" t="s">
        <v>148</v>
      </c>
      <c r="E208" s="423">
        <v>19</v>
      </c>
      <c r="F208" s="392" t="s">
        <v>756</v>
      </c>
      <c r="G208" s="423">
        <v>1903</v>
      </c>
      <c r="H208" s="392" t="s">
        <v>934</v>
      </c>
      <c r="I208" s="423">
        <v>1903</v>
      </c>
      <c r="J208" s="392" t="s">
        <v>935</v>
      </c>
      <c r="K208" s="392" t="s">
        <v>949</v>
      </c>
      <c r="L208" s="423" t="s">
        <v>61</v>
      </c>
      <c r="M208" s="397" t="s">
        <v>950</v>
      </c>
      <c r="N208" s="423">
        <v>1903023</v>
      </c>
      <c r="O208" s="392" t="s">
        <v>951</v>
      </c>
      <c r="P208" s="423" t="s">
        <v>61</v>
      </c>
      <c r="Q208" s="397" t="s">
        <v>952</v>
      </c>
      <c r="R208" s="388">
        <v>190302300</v>
      </c>
      <c r="S208" s="397" t="s">
        <v>953</v>
      </c>
      <c r="T208" s="388" t="s">
        <v>69</v>
      </c>
      <c r="U208" s="388">
        <v>12</v>
      </c>
      <c r="V208" s="388"/>
      <c r="W208" s="388">
        <v>12</v>
      </c>
      <c r="X208" s="388">
        <v>10</v>
      </c>
      <c r="Y208" s="389">
        <v>2020003630116</v>
      </c>
      <c r="Z208" s="392" t="s">
        <v>941</v>
      </c>
      <c r="AA208" s="546" t="s">
        <v>942</v>
      </c>
      <c r="AB208" s="185"/>
      <c r="AC208" s="185"/>
      <c r="AD208" s="185"/>
      <c r="AE208" s="185"/>
      <c r="AF208" s="185"/>
      <c r="AG208" s="185"/>
      <c r="AH208" s="185">
        <v>22500000</v>
      </c>
      <c r="AI208" s="185">
        <v>21333332</v>
      </c>
      <c r="AJ208" s="185">
        <v>21333332</v>
      </c>
      <c r="AK208" s="194"/>
      <c r="AL208" s="194"/>
      <c r="AM208" s="194"/>
      <c r="AN208" s="185"/>
      <c r="AO208" s="185"/>
      <c r="AP208" s="185"/>
      <c r="AQ208" s="185"/>
      <c r="AR208" s="185"/>
      <c r="AS208" s="185"/>
      <c r="AT208" s="194"/>
      <c r="AU208" s="194"/>
      <c r="AV208" s="194"/>
      <c r="AW208" s="185"/>
      <c r="AX208" s="185"/>
      <c r="AY208" s="185"/>
      <c r="AZ208" s="185"/>
      <c r="BA208" s="185"/>
      <c r="BB208" s="185"/>
      <c r="BC208" s="185"/>
      <c r="BD208" s="185"/>
      <c r="BE208" s="185"/>
      <c r="BF208" s="192">
        <f t="shared" si="15"/>
        <v>22500000</v>
      </c>
      <c r="BG208" s="192">
        <f t="shared" si="16"/>
        <v>21333332</v>
      </c>
      <c r="BH208" s="192">
        <f t="shared" si="17"/>
        <v>21333332</v>
      </c>
      <c r="BI208" s="398" t="s">
        <v>14</v>
      </c>
    </row>
    <row r="209" spans="1:69" s="394" customFormat="1" ht="66.75" customHeight="1">
      <c r="A209" s="423">
        <v>318</v>
      </c>
      <c r="B209" s="392" t="s">
        <v>933</v>
      </c>
      <c r="C209" s="423">
        <v>1</v>
      </c>
      <c r="D209" s="392" t="s">
        <v>148</v>
      </c>
      <c r="E209" s="423">
        <v>19</v>
      </c>
      <c r="F209" s="392" t="s">
        <v>756</v>
      </c>
      <c r="G209" s="423">
        <v>1903</v>
      </c>
      <c r="H209" s="392" t="s">
        <v>934</v>
      </c>
      <c r="I209" s="423">
        <v>1903</v>
      </c>
      <c r="J209" s="392" t="s">
        <v>935</v>
      </c>
      <c r="K209" s="392" t="s">
        <v>936</v>
      </c>
      <c r="L209" s="423" t="s">
        <v>61</v>
      </c>
      <c r="M209" s="397" t="s">
        <v>954</v>
      </c>
      <c r="N209" s="423">
        <v>1903038</v>
      </c>
      <c r="O209" s="392" t="s">
        <v>955</v>
      </c>
      <c r="P209" s="423" t="s">
        <v>61</v>
      </c>
      <c r="Q209" s="397" t="s">
        <v>956</v>
      </c>
      <c r="R209" s="423">
        <v>190303801</v>
      </c>
      <c r="S209" s="397" t="s">
        <v>957</v>
      </c>
      <c r="T209" s="388" t="s">
        <v>69</v>
      </c>
      <c r="U209" s="423">
        <v>1</v>
      </c>
      <c r="V209" s="423"/>
      <c r="W209" s="388">
        <v>1</v>
      </c>
      <c r="X209" s="388">
        <v>0.8</v>
      </c>
      <c r="Y209" s="389">
        <v>2020003630116</v>
      </c>
      <c r="Z209" s="392" t="s">
        <v>941</v>
      </c>
      <c r="AA209" s="546" t="s">
        <v>942</v>
      </c>
      <c r="AB209" s="185"/>
      <c r="AC209" s="185"/>
      <c r="AD209" s="185"/>
      <c r="AE209" s="185"/>
      <c r="AF209" s="185"/>
      <c r="AG209" s="185"/>
      <c r="AH209" s="185">
        <v>0</v>
      </c>
      <c r="AI209" s="185"/>
      <c r="AJ209" s="185"/>
      <c r="AK209" s="185"/>
      <c r="AL209" s="185"/>
      <c r="AM209" s="185"/>
      <c r="AN209" s="185"/>
      <c r="AO209" s="185"/>
      <c r="AP209" s="185"/>
      <c r="AQ209" s="185"/>
      <c r="AR209" s="185"/>
      <c r="AS209" s="185"/>
      <c r="AT209" s="194"/>
      <c r="AU209" s="194"/>
      <c r="AV209" s="194"/>
      <c r="AW209" s="185"/>
      <c r="AX209" s="185"/>
      <c r="AY209" s="185"/>
      <c r="AZ209" s="185"/>
      <c r="BA209" s="185"/>
      <c r="BB209" s="185"/>
      <c r="BC209" s="192">
        <f>400000000+696605698.65+60600</f>
        <v>1096666298.6500001</v>
      </c>
      <c r="BD209" s="192">
        <v>372526175</v>
      </c>
      <c r="BE209" s="192">
        <v>370255575</v>
      </c>
      <c r="BF209" s="192">
        <f t="shared" si="15"/>
        <v>1096666298.6500001</v>
      </c>
      <c r="BG209" s="192">
        <f t="shared" si="16"/>
        <v>372526175</v>
      </c>
      <c r="BH209" s="192">
        <f t="shared" si="17"/>
        <v>370255575</v>
      </c>
      <c r="BI209" s="398" t="s">
        <v>14</v>
      </c>
    </row>
    <row r="210" spans="1:69" s="394" customFormat="1" ht="66.75" customHeight="1">
      <c r="A210" s="423">
        <v>318</v>
      </c>
      <c r="B210" s="392" t="s">
        <v>933</v>
      </c>
      <c r="C210" s="423">
        <v>1</v>
      </c>
      <c r="D210" s="392" t="s">
        <v>148</v>
      </c>
      <c r="E210" s="423">
        <v>19</v>
      </c>
      <c r="F210" s="392" t="s">
        <v>756</v>
      </c>
      <c r="G210" s="423">
        <v>1903</v>
      </c>
      <c r="H210" s="392" t="s">
        <v>934</v>
      </c>
      <c r="I210" s="423">
        <v>1903</v>
      </c>
      <c r="J210" s="392" t="s">
        <v>935</v>
      </c>
      <c r="K210" s="392" t="s">
        <v>958</v>
      </c>
      <c r="L210" s="423">
        <v>1903038</v>
      </c>
      <c r="M210" s="397" t="s">
        <v>955</v>
      </c>
      <c r="N210" s="423">
        <v>1903038</v>
      </c>
      <c r="O210" s="392" t="s">
        <v>955</v>
      </c>
      <c r="P210" s="388">
        <v>190303801</v>
      </c>
      <c r="Q210" s="393" t="s">
        <v>959</v>
      </c>
      <c r="R210" s="388">
        <v>190303801</v>
      </c>
      <c r="S210" s="397" t="s">
        <v>959</v>
      </c>
      <c r="T210" s="388" t="s">
        <v>69</v>
      </c>
      <c r="U210" s="388">
        <v>11</v>
      </c>
      <c r="V210" s="388"/>
      <c r="W210" s="388">
        <v>11</v>
      </c>
      <c r="X210" s="388">
        <v>11</v>
      </c>
      <c r="Y210" s="389">
        <v>2020003630116</v>
      </c>
      <c r="Z210" s="392" t="s">
        <v>941</v>
      </c>
      <c r="AA210" s="546" t="s">
        <v>942</v>
      </c>
      <c r="AB210" s="185"/>
      <c r="AC210" s="185"/>
      <c r="AD210" s="185"/>
      <c r="AE210" s="185"/>
      <c r="AF210" s="185"/>
      <c r="AG210" s="185"/>
      <c r="AH210" s="192">
        <f>17500000+300000000+80000000</f>
        <v>397500000</v>
      </c>
      <c r="AI210" s="192">
        <v>306536322</v>
      </c>
      <c r="AJ210" s="185">
        <v>306536322</v>
      </c>
      <c r="AK210" s="185"/>
      <c r="AL210" s="185"/>
      <c r="AM210" s="185"/>
      <c r="AN210" s="185"/>
      <c r="AO210" s="185"/>
      <c r="AP210" s="185"/>
      <c r="AQ210" s="185"/>
      <c r="AR210" s="185"/>
      <c r="AS210" s="185"/>
      <c r="AT210" s="194"/>
      <c r="AU210" s="194"/>
      <c r="AV210" s="194"/>
      <c r="AW210" s="185"/>
      <c r="AX210" s="185"/>
      <c r="AY210" s="185"/>
      <c r="AZ210" s="185"/>
      <c r="BA210" s="185"/>
      <c r="BB210" s="185"/>
      <c r="BC210" s="185"/>
      <c r="BD210" s="185"/>
      <c r="BE210" s="185"/>
      <c r="BF210" s="192">
        <f t="shared" si="15"/>
        <v>397500000</v>
      </c>
      <c r="BG210" s="192">
        <f t="shared" si="16"/>
        <v>306536322</v>
      </c>
      <c r="BH210" s="192">
        <f t="shared" si="17"/>
        <v>306536322</v>
      </c>
      <c r="BI210" s="398" t="s">
        <v>14</v>
      </c>
    </row>
    <row r="211" spans="1:69" s="394" customFormat="1" ht="66.75" customHeight="1">
      <c r="A211" s="423">
        <v>318</v>
      </c>
      <c r="B211" s="392" t="s">
        <v>933</v>
      </c>
      <c r="C211" s="423">
        <v>1</v>
      </c>
      <c r="D211" s="392" t="s">
        <v>148</v>
      </c>
      <c r="E211" s="423">
        <v>19</v>
      </c>
      <c r="F211" s="392" t="s">
        <v>756</v>
      </c>
      <c r="G211" s="423">
        <v>1903</v>
      </c>
      <c r="H211" s="393" t="s">
        <v>934</v>
      </c>
      <c r="I211" s="423">
        <v>1903</v>
      </c>
      <c r="J211" s="393" t="s">
        <v>935</v>
      </c>
      <c r="K211" s="392" t="s">
        <v>943</v>
      </c>
      <c r="L211" s="423">
        <v>1903027</v>
      </c>
      <c r="M211" s="397" t="s">
        <v>960</v>
      </c>
      <c r="N211" s="423">
        <v>1903027</v>
      </c>
      <c r="O211" s="392" t="s">
        <v>960</v>
      </c>
      <c r="P211" s="388">
        <v>190302700</v>
      </c>
      <c r="Q211" s="397" t="s">
        <v>961</v>
      </c>
      <c r="R211" s="388">
        <v>190302700</v>
      </c>
      <c r="S211" s="397" t="s">
        <v>961</v>
      </c>
      <c r="T211" s="388" t="s">
        <v>69</v>
      </c>
      <c r="U211" s="388">
        <v>5</v>
      </c>
      <c r="V211" s="388"/>
      <c r="W211" s="388">
        <v>5</v>
      </c>
      <c r="X211" s="388">
        <v>5</v>
      </c>
      <c r="Y211" s="389">
        <v>2020003630116</v>
      </c>
      <c r="Z211" s="392" t="s">
        <v>941</v>
      </c>
      <c r="AA211" s="546" t="s">
        <v>942</v>
      </c>
      <c r="AB211" s="185"/>
      <c r="AC211" s="185"/>
      <c r="AD211" s="185"/>
      <c r="AE211" s="185"/>
      <c r="AF211" s="185"/>
      <c r="AG211" s="185"/>
      <c r="AH211" s="192">
        <v>12500000</v>
      </c>
      <c r="AI211" s="192">
        <v>12499999</v>
      </c>
      <c r="AJ211" s="185">
        <v>12499999</v>
      </c>
      <c r="AK211" s="185"/>
      <c r="AL211" s="185"/>
      <c r="AM211" s="185"/>
      <c r="AN211" s="185"/>
      <c r="AO211" s="185"/>
      <c r="AP211" s="185"/>
      <c r="AQ211" s="185"/>
      <c r="AR211" s="185"/>
      <c r="AS211" s="185"/>
      <c r="AT211" s="194"/>
      <c r="AU211" s="194"/>
      <c r="AV211" s="194"/>
      <c r="AW211" s="185"/>
      <c r="AX211" s="185"/>
      <c r="AY211" s="185"/>
      <c r="AZ211" s="185"/>
      <c r="BA211" s="185"/>
      <c r="BB211" s="185"/>
      <c r="BC211" s="185"/>
      <c r="BD211" s="185"/>
      <c r="BE211" s="185"/>
      <c r="BF211" s="192">
        <f t="shared" si="15"/>
        <v>12500000</v>
      </c>
      <c r="BG211" s="192">
        <f t="shared" si="16"/>
        <v>12499999</v>
      </c>
      <c r="BH211" s="192">
        <f t="shared" si="17"/>
        <v>12499999</v>
      </c>
      <c r="BI211" s="398" t="s">
        <v>14</v>
      </c>
    </row>
    <row r="212" spans="1:69" s="394" customFormat="1" ht="66.75" customHeight="1">
      <c r="A212" s="423">
        <v>318</v>
      </c>
      <c r="B212" s="392" t="s">
        <v>933</v>
      </c>
      <c r="C212" s="423">
        <v>1</v>
      </c>
      <c r="D212" s="392" t="s">
        <v>148</v>
      </c>
      <c r="E212" s="423">
        <v>19</v>
      </c>
      <c r="F212" s="392" t="s">
        <v>756</v>
      </c>
      <c r="G212" s="423">
        <v>1903</v>
      </c>
      <c r="H212" s="392" t="s">
        <v>934</v>
      </c>
      <c r="I212" s="423">
        <v>1903</v>
      </c>
      <c r="J212" s="392" t="s">
        <v>935</v>
      </c>
      <c r="K212" s="397" t="s">
        <v>962</v>
      </c>
      <c r="L212" s="423">
        <v>1903011</v>
      </c>
      <c r="M212" s="397" t="s">
        <v>963</v>
      </c>
      <c r="N212" s="423">
        <v>1903011</v>
      </c>
      <c r="O212" s="392" t="s">
        <v>963</v>
      </c>
      <c r="P212" s="388">
        <v>190301100</v>
      </c>
      <c r="Q212" s="397" t="s">
        <v>964</v>
      </c>
      <c r="R212" s="388">
        <v>190301100</v>
      </c>
      <c r="S212" s="397" t="s">
        <v>965</v>
      </c>
      <c r="T212" s="388" t="s">
        <v>69</v>
      </c>
      <c r="U212" s="388">
        <v>140</v>
      </c>
      <c r="V212" s="388"/>
      <c r="W212" s="388">
        <v>140</v>
      </c>
      <c r="X212" s="388">
        <v>252</v>
      </c>
      <c r="Y212" s="389">
        <v>2020003630116</v>
      </c>
      <c r="Z212" s="392" t="s">
        <v>941</v>
      </c>
      <c r="AA212" s="546" t="s">
        <v>942</v>
      </c>
      <c r="AB212" s="185"/>
      <c r="AC212" s="185"/>
      <c r="AD212" s="185"/>
      <c r="AE212" s="185"/>
      <c r="AF212" s="185"/>
      <c r="AG212" s="185"/>
      <c r="AH212" s="192">
        <v>22500000</v>
      </c>
      <c r="AI212" s="192">
        <v>22493333</v>
      </c>
      <c r="AJ212" s="185">
        <v>22493333</v>
      </c>
      <c r="AK212" s="185"/>
      <c r="AL212" s="185"/>
      <c r="AM212" s="185"/>
      <c r="AN212" s="185"/>
      <c r="AO212" s="185"/>
      <c r="AP212" s="185"/>
      <c r="AQ212" s="185"/>
      <c r="AR212" s="185"/>
      <c r="AS212" s="185"/>
      <c r="AT212" s="194"/>
      <c r="AU212" s="194"/>
      <c r="AV212" s="194"/>
      <c r="AW212" s="185"/>
      <c r="AX212" s="185"/>
      <c r="AY212" s="185"/>
      <c r="AZ212" s="185"/>
      <c r="BA212" s="185"/>
      <c r="BB212" s="185"/>
      <c r="BC212" s="185"/>
      <c r="BD212" s="185"/>
      <c r="BE212" s="185"/>
      <c r="BF212" s="192">
        <f t="shared" si="15"/>
        <v>22500000</v>
      </c>
      <c r="BG212" s="192">
        <f t="shared" si="16"/>
        <v>22493333</v>
      </c>
      <c r="BH212" s="192">
        <f t="shared" si="17"/>
        <v>22493333</v>
      </c>
      <c r="BI212" s="398" t="s">
        <v>14</v>
      </c>
    </row>
    <row r="213" spans="1:69" s="394" customFormat="1" ht="66.75" customHeight="1">
      <c r="A213" s="423">
        <v>318</v>
      </c>
      <c r="B213" s="392" t="s">
        <v>933</v>
      </c>
      <c r="C213" s="423">
        <v>1</v>
      </c>
      <c r="D213" s="392" t="s">
        <v>148</v>
      </c>
      <c r="E213" s="423">
        <v>19</v>
      </c>
      <c r="F213" s="392" t="s">
        <v>756</v>
      </c>
      <c r="G213" s="423">
        <v>1903</v>
      </c>
      <c r="H213" s="392" t="s">
        <v>934</v>
      </c>
      <c r="I213" s="423">
        <v>1903</v>
      </c>
      <c r="J213" s="392" t="s">
        <v>935</v>
      </c>
      <c r="K213" s="392" t="s">
        <v>966</v>
      </c>
      <c r="L213" s="423">
        <v>1903001</v>
      </c>
      <c r="M213" s="397" t="s">
        <v>101</v>
      </c>
      <c r="N213" s="423">
        <v>1903001</v>
      </c>
      <c r="O213" s="392" t="s">
        <v>101</v>
      </c>
      <c r="P213" s="388">
        <v>190300100</v>
      </c>
      <c r="Q213" s="397" t="s">
        <v>967</v>
      </c>
      <c r="R213" s="388">
        <v>190300100</v>
      </c>
      <c r="S213" s="397" t="s">
        <v>967</v>
      </c>
      <c r="T213" s="388" t="s">
        <v>69</v>
      </c>
      <c r="U213" s="388">
        <v>2</v>
      </c>
      <c r="V213" s="388"/>
      <c r="W213" s="388">
        <v>2</v>
      </c>
      <c r="X213" s="388">
        <v>1</v>
      </c>
      <c r="Y213" s="389">
        <v>2020003630117</v>
      </c>
      <c r="Z213" s="392" t="s">
        <v>968</v>
      </c>
      <c r="AA213" s="546" t="s">
        <v>969</v>
      </c>
      <c r="AB213" s="185"/>
      <c r="AC213" s="185"/>
      <c r="AD213" s="185"/>
      <c r="AE213" s="185"/>
      <c r="AF213" s="185"/>
      <c r="AG213" s="185"/>
      <c r="AH213" s="185">
        <v>62500000</v>
      </c>
      <c r="AI213" s="185">
        <v>61450000</v>
      </c>
      <c r="AJ213" s="185">
        <v>61450000</v>
      </c>
      <c r="AK213" s="185">
        <v>38240000</v>
      </c>
      <c r="AL213" s="185">
        <v>38240000</v>
      </c>
      <c r="AM213" s="185">
        <v>38240000</v>
      </c>
      <c r="AN213" s="185"/>
      <c r="AO213" s="185"/>
      <c r="AP213" s="185"/>
      <c r="AQ213" s="185"/>
      <c r="AR213" s="185"/>
      <c r="AS213" s="185"/>
      <c r="AT213" s="189"/>
      <c r="AU213" s="189"/>
      <c r="AV213" s="189"/>
      <c r="AW213" s="185"/>
      <c r="AX213" s="185"/>
      <c r="AY213" s="185"/>
      <c r="AZ213" s="185"/>
      <c r="BA213" s="185"/>
      <c r="BB213" s="185"/>
      <c r="BC213" s="185"/>
      <c r="BD213" s="185"/>
      <c r="BE213" s="185"/>
      <c r="BF213" s="192">
        <f t="shared" si="15"/>
        <v>100740000</v>
      </c>
      <c r="BG213" s="192">
        <f t="shared" si="16"/>
        <v>99690000</v>
      </c>
      <c r="BH213" s="192">
        <f t="shared" si="17"/>
        <v>99690000</v>
      </c>
      <c r="BI213" s="398" t="s">
        <v>14</v>
      </c>
    </row>
    <row r="214" spans="1:69" s="394" customFormat="1" ht="66.75" customHeight="1">
      <c r="A214" s="423">
        <v>318</v>
      </c>
      <c r="B214" s="392" t="s">
        <v>933</v>
      </c>
      <c r="C214" s="423">
        <v>1</v>
      </c>
      <c r="D214" s="392" t="s">
        <v>148</v>
      </c>
      <c r="E214" s="423">
        <v>19</v>
      </c>
      <c r="F214" s="392" t="s">
        <v>756</v>
      </c>
      <c r="G214" s="423">
        <v>1903</v>
      </c>
      <c r="H214" s="392" t="s">
        <v>934</v>
      </c>
      <c r="I214" s="423">
        <v>1903</v>
      </c>
      <c r="J214" s="392" t="s">
        <v>935</v>
      </c>
      <c r="K214" s="392" t="s">
        <v>970</v>
      </c>
      <c r="L214" s="423">
        <v>1903012</v>
      </c>
      <c r="M214" s="397" t="s">
        <v>971</v>
      </c>
      <c r="N214" s="423">
        <v>1903012</v>
      </c>
      <c r="O214" s="392" t="s">
        <v>971</v>
      </c>
      <c r="P214" s="388">
        <v>190301200</v>
      </c>
      <c r="Q214" s="393" t="s">
        <v>972</v>
      </c>
      <c r="R214" s="388">
        <v>190301200</v>
      </c>
      <c r="S214" s="397" t="s">
        <v>972</v>
      </c>
      <c r="T214" s="388" t="s">
        <v>69</v>
      </c>
      <c r="U214" s="388">
        <v>4000</v>
      </c>
      <c r="V214" s="388"/>
      <c r="W214" s="388">
        <v>4000</v>
      </c>
      <c r="X214" s="388">
        <v>4277</v>
      </c>
      <c r="Y214" s="389">
        <v>2020003630118</v>
      </c>
      <c r="Z214" s="392" t="s">
        <v>973</v>
      </c>
      <c r="AA214" s="546" t="s">
        <v>974</v>
      </c>
      <c r="AB214" s="185"/>
      <c r="AC214" s="185"/>
      <c r="AD214" s="185"/>
      <c r="AE214" s="185"/>
      <c r="AF214" s="185"/>
      <c r="AG214" s="185"/>
      <c r="AH214" s="185">
        <f>1134356161-71000000</f>
        <v>1063356161</v>
      </c>
      <c r="AI214" s="185">
        <v>984165398</v>
      </c>
      <c r="AJ214" s="185">
        <v>976815398</v>
      </c>
      <c r="AK214" s="194"/>
      <c r="AL214" s="194"/>
      <c r="AM214" s="194"/>
      <c r="AN214" s="185"/>
      <c r="AO214" s="185"/>
      <c r="AP214" s="185"/>
      <c r="AQ214" s="185"/>
      <c r="AR214" s="185"/>
      <c r="AS214" s="185"/>
      <c r="AT214" s="189"/>
      <c r="AU214" s="189"/>
      <c r="AV214" s="189"/>
      <c r="AW214" s="185"/>
      <c r="AX214" s="185"/>
      <c r="AY214" s="185"/>
      <c r="AZ214" s="185"/>
      <c r="BA214" s="185"/>
      <c r="BB214" s="185"/>
      <c r="BC214" s="190"/>
      <c r="BD214" s="190"/>
      <c r="BE214" s="190"/>
      <c r="BF214" s="192">
        <f t="shared" si="15"/>
        <v>1063356161</v>
      </c>
      <c r="BG214" s="192">
        <f t="shared" si="16"/>
        <v>984165398</v>
      </c>
      <c r="BH214" s="192">
        <f t="shared" si="17"/>
        <v>976815398</v>
      </c>
      <c r="BI214" s="398" t="s">
        <v>14</v>
      </c>
    </row>
    <row r="215" spans="1:69" s="394" customFormat="1" ht="66.75" customHeight="1">
      <c r="A215" s="423">
        <v>318</v>
      </c>
      <c r="B215" s="392" t="s">
        <v>933</v>
      </c>
      <c r="C215" s="423">
        <v>1</v>
      </c>
      <c r="D215" s="392" t="s">
        <v>148</v>
      </c>
      <c r="E215" s="423">
        <v>19</v>
      </c>
      <c r="F215" s="392" t="s">
        <v>756</v>
      </c>
      <c r="G215" s="423">
        <v>1903</v>
      </c>
      <c r="H215" s="392" t="s">
        <v>934</v>
      </c>
      <c r="I215" s="423">
        <v>1903</v>
      </c>
      <c r="J215" s="392" t="s">
        <v>935</v>
      </c>
      <c r="K215" s="392" t="s">
        <v>975</v>
      </c>
      <c r="L215" s="423">
        <v>1903016</v>
      </c>
      <c r="M215" s="397" t="s">
        <v>976</v>
      </c>
      <c r="N215" s="423">
        <v>1903016</v>
      </c>
      <c r="O215" s="392" t="s">
        <v>976</v>
      </c>
      <c r="P215" s="388">
        <v>190301600</v>
      </c>
      <c r="Q215" s="397" t="s">
        <v>977</v>
      </c>
      <c r="R215" s="388">
        <v>190301600</v>
      </c>
      <c r="S215" s="397" t="s">
        <v>977</v>
      </c>
      <c r="T215" s="388" t="s">
        <v>69</v>
      </c>
      <c r="U215" s="388">
        <v>240</v>
      </c>
      <c r="V215" s="388"/>
      <c r="W215" s="388">
        <v>240</v>
      </c>
      <c r="X215" s="388">
        <v>242</v>
      </c>
      <c r="Y215" s="389">
        <v>2020003630118</v>
      </c>
      <c r="Z215" s="392" t="s">
        <v>973</v>
      </c>
      <c r="AA215" s="546" t="s">
        <v>974</v>
      </c>
      <c r="AB215" s="185"/>
      <c r="AC215" s="185"/>
      <c r="AD215" s="185"/>
      <c r="AE215" s="185"/>
      <c r="AF215" s="185"/>
      <c r="AG215" s="185"/>
      <c r="AH215" s="185">
        <v>135772557</v>
      </c>
      <c r="AI215" s="185">
        <v>126434264</v>
      </c>
      <c r="AJ215" s="185">
        <v>126434264</v>
      </c>
      <c r="AK215" s="185"/>
      <c r="AL215" s="185"/>
      <c r="AM215" s="185"/>
      <c r="AN215" s="185"/>
      <c r="AO215" s="185"/>
      <c r="AP215" s="185"/>
      <c r="AQ215" s="185"/>
      <c r="AR215" s="185"/>
      <c r="AS215" s="185"/>
      <c r="AT215" s="189"/>
      <c r="AU215" s="189"/>
      <c r="AV215" s="189"/>
      <c r="AW215" s="185"/>
      <c r="AX215" s="185"/>
      <c r="AY215" s="185"/>
      <c r="AZ215" s="185"/>
      <c r="BA215" s="185"/>
      <c r="BB215" s="185"/>
      <c r="BC215" s="185"/>
      <c r="BD215" s="185"/>
      <c r="BE215" s="185"/>
      <c r="BF215" s="192">
        <f t="shared" si="15"/>
        <v>135772557</v>
      </c>
      <c r="BG215" s="192">
        <f t="shared" si="16"/>
        <v>126434264</v>
      </c>
      <c r="BH215" s="192">
        <f t="shared" si="17"/>
        <v>126434264</v>
      </c>
      <c r="BI215" s="398" t="s">
        <v>14</v>
      </c>
    </row>
    <row r="216" spans="1:69" s="394" customFormat="1" ht="66.75" customHeight="1">
      <c r="A216" s="423">
        <v>318</v>
      </c>
      <c r="B216" s="392" t="s">
        <v>933</v>
      </c>
      <c r="C216" s="423">
        <v>1</v>
      </c>
      <c r="D216" s="392" t="s">
        <v>148</v>
      </c>
      <c r="E216" s="423">
        <v>19</v>
      </c>
      <c r="F216" s="392" t="s">
        <v>756</v>
      </c>
      <c r="G216" s="423">
        <v>1903</v>
      </c>
      <c r="H216" s="393" t="s">
        <v>934</v>
      </c>
      <c r="I216" s="423">
        <v>1903</v>
      </c>
      <c r="J216" s="392" t="s">
        <v>935</v>
      </c>
      <c r="K216" s="392" t="s">
        <v>978</v>
      </c>
      <c r="L216" s="423">
        <v>1903011</v>
      </c>
      <c r="M216" s="397" t="s">
        <v>963</v>
      </c>
      <c r="N216" s="423">
        <v>1903011</v>
      </c>
      <c r="O216" s="392" t="s">
        <v>963</v>
      </c>
      <c r="P216" s="388">
        <v>190301101</v>
      </c>
      <c r="Q216" s="392" t="s">
        <v>979</v>
      </c>
      <c r="R216" s="388">
        <v>190301101</v>
      </c>
      <c r="S216" s="397" t="s">
        <v>979</v>
      </c>
      <c r="T216" s="388" t="s">
        <v>69</v>
      </c>
      <c r="U216" s="388">
        <v>12</v>
      </c>
      <c r="V216" s="388"/>
      <c r="W216" s="388">
        <v>12</v>
      </c>
      <c r="X216" s="388">
        <v>12</v>
      </c>
      <c r="Y216" s="389">
        <v>2020003630118</v>
      </c>
      <c r="Z216" s="392" t="s">
        <v>973</v>
      </c>
      <c r="AA216" s="546" t="s">
        <v>974</v>
      </c>
      <c r="AB216" s="185"/>
      <c r="AC216" s="185"/>
      <c r="AD216" s="185"/>
      <c r="AE216" s="185"/>
      <c r="AF216" s="185"/>
      <c r="AG216" s="185"/>
      <c r="AH216" s="185">
        <f>157350078+71000000</f>
        <v>228350078</v>
      </c>
      <c r="AI216" s="185">
        <v>106891926.95999999</v>
      </c>
      <c r="AJ216" s="185">
        <v>106891926</v>
      </c>
      <c r="AK216" s="185"/>
      <c r="AL216" s="185"/>
      <c r="AM216" s="185"/>
      <c r="AN216" s="185"/>
      <c r="AO216" s="185"/>
      <c r="AP216" s="185"/>
      <c r="AQ216" s="185"/>
      <c r="AR216" s="185"/>
      <c r="AS216" s="185"/>
      <c r="AT216" s="189"/>
      <c r="AU216" s="189"/>
      <c r="AV216" s="189"/>
      <c r="AW216" s="185"/>
      <c r="AX216" s="185"/>
      <c r="AY216" s="185"/>
      <c r="AZ216" s="185"/>
      <c r="BA216" s="185"/>
      <c r="BB216" s="185"/>
      <c r="BC216" s="185"/>
      <c r="BD216" s="185"/>
      <c r="BE216" s="185"/>
      <c r="BF216" s="192">
        <f t="shared" si="15"/>
        <v>228350078</v>
      </c>
      <c r="BG216" s="192">
        <f t="shared" si="16"/>
        <v>106891926.95999999</v>
      </c>
      <c r="BH216" s="192">
        <f t="shared" si="17"/>
        <v>106891926</v>
      </c>
      <c r="BI216" s="398" t="s">
        <v>14</v>
      </c>
    </row>
    <row r="217" spans="1:69" s="394" customFormat="1" ht="66.75" customHeight="1">
      <c r="A217" s="423">
        <v>318</v>
      </c>
      <c r="B217" s="392" t="s">
        <v>933</v>
      </c>
      <c r="C217" s="423">
        <v>1</v>
      </c>
      <c r="D217" s="392" t="s">
        <v>148</v>
      </c>
      <c r="E217" s="423">
        <v>19</v>
      </c>
      <c r="F217" s="392" t="s">
        <v>756</v>
      </c>
      <c r="G217" s="423">
        <v>1903</v>
      </c>
      <c r="H217" s="392" t="s">
        <v>934</v>
      </c>
      <c r="I217" s="423">
        <v>1903</v>
      </c>
      <c r="J217" s="392" t="s">
        <v>935</v>
      </c>
      <c r="K217" s="392" t="s">
        <v>978</v>
      </c>
      <c r="L217" s="423">
        <v>1903034</v>
      </c>
      <c r="M217" s="397" t="s">
        <v>119</v>
      </c>
      <c r="N217" s="423">
        <v>1903034</v>
      </c>
      <c r="O217" s="392" t="s">
        <v>119</v>
      </c>
      <c r="P217" s="388">
        <v>190303400</v>
      </c>
      <c r="Q217" s="397" t="s">
        <v>980</v>
      </c>
      <c r="R217" s="388">
        <v>190303400</v>
      </c>
      <c r="S217" s="397" t="s">
        <v>980</v>
      </c>
      <c r="T217" s="388" t="s">
        <v>69</v>
      </c>
      <c r="U217" s="388">
        <v>12</v>
      </c>
      <c r="V217" s="388"/>
      <c r="W217" s="388">
        <v>12</v>
      </c>
      <c r="X217" s="388">
        <v>12</v>
      </c>
      <c r="Y217" s="389">
        <v>2020003630119</v>
      </c>
      <c r="Z217" s="392" t="s">
        <v>981</v>
      </c>
      <c r="AA217" s="546" t="s">
        <v>982</v>
      </c>
      <c r="AB217" s="185"/>
      <c r="AC217" s="185"/>
      <c r="AD217" s="185"/>
      <c r="AE217" s="185"/>
      <c r="AF217" s="185"/>
      <c r="AG217" s="185"/>
      <c r="AH217" s="185"/>
      <c r="AI217" s="185"/>
      <c r="AJ217" s="185"/>
      <c r="AK217" s="194"/>
      <c r="AL217" s="194"/>
      <c r="AM217" s="194"/>
      <c r="AN217" s="185"/>
      <c r="AO217" s="185"/>
      <c r="AP217" s="185"/>
      <c r="AQ217" s="185"/>
      <c r="AR217" s="185"/>
      <c r="AS217" s="185"/>
      <c r="AT217" s="189">
        <v>92585478</v>
      </c>
      <c r="AU217" s="189">
        <v>92399997</v>
      </c>
      <c r="AV217" s="189">
        <v>92399997</v>
      </c>
      <c r="AW217" s="185"/>
      <c r="AX217" s="185"/>
      <c r="AY217" s="185"/>
      <c r="AZ217" s="185"/>
      <c r="BA217" s="185"/>
      <c r="BB217" s="185"/>
      <c r="BC217" s="185"/>
      <c r="BD217" s="185"/>
      <c r="BE217" s="185"/>
      <c r="BF217" s="192">
        <f t="shared" si="15"/>
        <v>92585478</v>
      </c>
      <c r="BG217" s="192">
        <f t="shared" si="16"/>
        <v>92399997</v>
      </c>
      <c r="BH217" s="192">
        <f t="shared" si="17"/>
        <v>92399997</v>
      </c>
      <c r="BI217" s="398" t="s">
        <v>14</v>
      </c>
    </row>
    <row r="218" spans="1:69" s="394" customFormat="1" ht="66.75" customHeight="1">
      <c r="A218" s="423">
        <v>318</v>
      </c>
      <c r="B218" s="392" t="s">
        <v>933</v>
      </c>
      <c r="C218" s="423">
        <v>1</v>
      </c>
      <c r="D218" s="392" t="s">
        <v>148</v>
      </c>
      <c r="E218" s="423">
        <v>19</v>
      </c>
      <c r="F218" s="392" t="s">
        <v>756</v>
      </c>
      <c r="G218" s="423">
        <v>1903</v>
      </c>
      <c r="H218" s="392" t="s">
        <v>934</v>
      </c>
      <c r="I218" s="423">
        <v>1903</v>
      </c>
      <c r="J218" s="392" t="s">
        <v>935</v>
      </c>
      <c r="K218" s="392" t="s">
        <v>983</v>
      </c>
      <c r="L218" s="423">
        <v>1903045</v>
      </c>
      <c r="M218" s="397" t="s">
        <v>984</v>
      </c>
      <c r="N218" s="423">
        <v>1903045</v>
      </c>
      <c r="O218" s="392" t="s">
        <v>984</v>
      </c>
      <c r="P218" s="388">
        <v>190304500</v>
      </c>
      <c r="Q218" s="397" t="s">
        <v>985</v>
      </c>
      <c r="R218" s="388">
        <v>190304500</v>
      </c>
      <c r="S218" s="397" t="s">
        <v>985</v>
      </c>
      <c r="T218" s="388" t="s">
        <v>157</v>
      </c>
      <c r="U218" s="388">
        <v>1058</v>
      </c>
      <c r="V218" s="388">
        <v>840</v>
      </c>
      <c r="W218" s="388">
        <f>U218+V218</f>
        <v>1898</v>
      </c>
      <c r="X218" s="388">
        <v>1536</v>
      </c>
      <c r="Y218" s="389">
        <v>2020003630120</v>
      </c>
      <c r="Z218" s="392" t="s">
        <v>986</v>
      </c>
      <c r="AA218" s="546" t="s">
        <v>987</v>
      </c>
      <c r="AB218" s="185"/>
      <c r="AC218" s="185"/>
      <c r="AD218" s="185"/>
      <c r="AE218" s="185"/>
      <c r="AF218" s="185"/>
      <c r="AG218" s="185"/>
      <c r="AH218" s="185"/>
      <c r="AI218" s="185"/>
      <c r="AJ218" s="185"/>
      <c r="AK218" s="194">
        <v>30898000</v>
      </c>
      <c r="AL218" s="194">
        <v>30646666</v>
      </c>
      <c r="AM218" s="194">
        <v>30646666</v>
      </c>
      <c r="AN218" s="185"/>
      <c r="AO218" s="185"/>
      <c r="AP218" s="185"/>
      <c r="AQ218" s="185"/>
      <c r="AR218" s="185"/>
      <c r="AS218" s="185"/>
      <c r="AT218" s="189">
        <v>19000000</v>
      </c>
      <c r="AU218" s="189">
        <v>18547000</v>
      </c>
      <c r="AV218" s="189">
        <v>18547000</v>
      </c>
      <c r="AW218" s="185"/>
      <c r="AX218" s="185"/>
      <c r="AY218" s="185"/>
      <c r="AZ218" s="185"/>
      <c r="BA218" s="185"/>
      <c r="BB218" s="185"/>
      <c r="BC218" s="185"/>
      <c r="BD218" s="185"/>
      <c r="BE218" s="185"/>
      <c r="BF218" s="192">
        <f t="shared" si="15"/>
        <v>49898000</v>
      </c>
      <c r="BG218" s="192">
        <f t="shared" si="16"/>
        <v>49193666</v>
      </c>
      <c r="BH218" s="192">
        <f t="shared" si="17"/>
        <v>49193666</v>
      </c>
      <c r="BI218" s="398" t="s">
        <v>14</v>
      </c>
    </row>
    <row r="219" spans="1:69" s="394" customFormat="1" ht="66.75" customHeight="1">
      <c r="A219" s="423">
        <v>318</v>
      </c>
      <c r="B219" s="392" t="s">
        <v>933</v>
      </c>
      <c r="C219" s="423">
        <v>1</v>
      </c>
      <c r="D219" s="392" t="s">
        <v>148</v>
      </c>
      <c r="E219" s="423">
        <v>19</v>
      </c>
      <c r="F219" s="392" t="s">
        <v>756</v>
      </c>
      <c r="G219" s="423">
        <v>1903</v>
      </c>
      <c r="H219" s="392" t="s">
        <v>934</v>
      </c>
      <c r="I219" s="423">
        <v>1903</v>
      </c>
      <c r="J219" s="392" t="s">
        <v>935</v>
      </c>
      <c r="K219" s="392" t="s">
        <v>966</v>
      </c>
      <c r="L219" s="423">
        <v>1903001</v>
      </c>
      <c r="M219" s="397" t="s">
        <v>101</v>
      </c>
      <c r="N219" s="423">
        <v>1903001</v>
      </c>
      <c r="O219" s="392" t="s">
        <v>101</v>
      </c>
      <c r="P219" s="388">
        <v>190300100</v>
      </c>
      <c r="Q219" s="397" t="s">
        <v>967</v>
      </c>
      <c r="R219" s="388">
        <v>190300100</v>
      </c>
      <c r="S219" s="397" t="s">
        <v>967</v>
      </c>
      <c r="T219" s="388" t="s">
        <v>69</v>
      </c>
      <c r="U219" s="423">
        <v>2</v>
      </c>
      <c r="V219" s="423"/>
      <c r="W219" s="388">
        <v>2</v>
      </c>
      <c r="X219" s="388">
        <v>2</v>
      </c>
      <c r="Y219" s="389">
        <v>2020003630120</v>
      </c>
      <c r="Z219" s="392" t="s">
        <v>986</v>
      </c>
      <c r="AA219" s="546" t="s">
        <v>987</v>
      </c>
      <c r="AB219" s="185"/>
      <c r="AC219" s="185"/>
      <c r="AD219" s="185"/>
      <c r="AE219" s="185"/>
      <c r="AF219" s="185"/>
      <c r="AG219" s="185"/>
      <c r="AH219" s="185"/>
      <c r="AI219" s="185"/>
      <c r="AJ219" s="185"/>
      <c r="AK219" s="185"/>
      <c r="AL219" s="185"/>
      <c r="AM219" s="185"/>
      <c r="AN219" s="185"/>
      <c r="AO219" s="185"/>
      <c r="AP219" s="185"/>
      <c r="AQ219" s="185"/>
      <c r="AR219" s="185"/>
      <c r="AS219" s="185"/>
      <c r="AT219" s="189">
        <v>15000000</v>
      </c>
      <c r="AU219" s="189">
        <v>11333334</v>
      </c>
      <c r="AV219" s="189">
        <v>11333334</v>
      </c>
      <c r="AW219" s="185"/>
      <c r="AX219" s="185"/>
      <c r="AY219" s="185"/>
      <c r="AZ219" s="185"/>
      <c r="BA219" s="185"/>
      <c r="BB219" s="185"/>
      <c r="BC219" s="185"/>
      <c r="BD219" s="185"/>
      <c r="BE219" s="185"/>
      <c r="BF219" s="192">
        <f t="shared" si="15"/>
        <v>15000000</v>
      </c>
      <c r="BG219" s="192">
        <f t="shared" si="16"/>
        <v>11333334</v>
      </c>
      <c r="BH219" s="192">
        <f t="shared" si="17"/>
        <v>11333334</v>
      </c>
      <c r="BI219" s="398" t="s">
        <v>14</v>
      </c>
    </row>
    <row r="220" spans="1:69" s="394" customFormat="1" ht="66.75" customHeight="1">
      <c r="A220" s="423">
        <v>318</v>
      </c>
      <c r="B220" s="392" t="s">
        <v>933</v>
      </c>
      <c r="C220" s="423">
        <v>1</v>
      </c>
      <c r="D220" s="392" t="s">
        <v>148</v>
      </c>
      <c r="E220" s="423">
        <v>19</v>
      </c>
      <c r="F220" s="392" t="s">
        <v>756</v>
      </c>
      <c r="G220" s="423">
        <v>1903</v>
      </c>
      <c r="H220" s="392" t="s">
        <v>934</v>
      </c>
      <c r="I220" s="423">
        <v>1903</v>
      </c>
      <c r="J220" s="392" t="s">
        <v>935</v>
      </c>
      <c r="K220" s="397" t="s">
        <v>988</v>
      </c>
      <c r="L220" s="388">
        <v>1903010</v>
      </c>
      <c r="M220" s="397" t="s">
        <v>989</v>
      </c>
      <c r="N220" s="388">
        <v>1903010</v>
      </c>
      <c r="O220" s="397" t="s">
        <v>989</v>
      </c>
      <c r="P220" s="388">
        <v>190301000</v>
      </c>
      <c r="Q220" s="397" t="s">
        <v>990</v>
      </c>
      <c r="R220" s="388">
        <v>190301000</v>
      </c>
      <c r="S220" s="397" t="s">
        <v>990</v>
      </c>
      <c r="T220" s="388" t="s">
        <v>69</v>
      </c>
      <c r="U220" s="388">
        <v>12</v>
      </c>
      <c r="V220" s="388"/>
      <c r="W220" s="388">
        <v>12</v>
      </c>
      <c r="X220" s="388">
        <v>12</v>
      </c>
      <c r="Y220" s="389">
        <v>2020003630120</v>
      </c>
      <c r="Z220" s="392" t="s">
        <v>986</v>
      </c>
      <c r="AA220" s="546" t="s">
        <v>987</v>
      </c>
      <c r="AB220" s="185"/>
      <c r="AC220" s="185"/>
      <c r="AD220" s="185"/>
      <c r="AE220" s="185"/>
      <c r="AF220" s="185"/>
      <c r="AG220" s="185"/>
      <c r="AH220" s="185"/>
      <c r="AI220" s="185"/>
      <c r="AJ220" s="185"/>
      <c r="AK220" s="194"/>
      <c r="AL220" s="194"/>
      <c r="AM220" s="194"/>
      <c r="AN220" s="185"/>
      <c r="AO220" s="185"/>
      <c r="AP220" s="185"/>
      <c r="AQ220" s="185"/>
      <c r="AR220" s="185"/>
      <c r="AS220" s="185"/>
      <c r="AT220" s="189">
        <v>15000000</v>
      </c>
      <c r="AU220" s="189">
        <v>14533333</v>
      </c>
      <c r="AV220" s="189">
        <v>14533333</v>
      </c>
      <c r="AW220" s="185"/>
      <c r="AX220" s="185"/>
      <c r="AY220" s="185"/>
      <c r="AZ220" s="185"/>
      <c r="BA220" s="185"/>
      <c r="BB220" s="185"/>
      <c r="BC220" s="185"/>
      <c r="BD220" s="185"/>
      <c r="BE220" s="185"/>
      <c r="BF220" s="192">
        <f t="shared" si="15"/>
        <v>15000000</v>
      </c>
      <c r="BG220" s="192">
        <f t="shared" si="16"/>
        <v>14533333</v>
      </c>
      <c r="BH220" s="192">
        <f t="shared" si="17"/>
        <v>14533333</v>
      </c>
      <c r="BI220" s="398" t="s">
        <v>14</v>
      </c>
    </row>
    <row r="221" spans="1:69" s="394" customFormat="1" ht="66.75" customHeight="1">
      <c r="A221" s="423">
        <v>318</v>
      </c>
      <c r="B221" s="392" t="s">
        <v>933</v>
      </c>
      <c r="C221" s="423">
        <v>1</v>
      </c>
      <c r="D221" s="392" t="s">
        <v>148</v>
      </c>
      <c r="E221" s="423">
        <v>19</v>
      </c>
      <c r="F221" s="392" t="s">
        <v>756</v>
      </c>
      <c r="G221" s="423">
        <v>1903</v>
      </c>
      <c r="H221" s="392" t="s">
        <v>934</v>
      </c>
      <c r="I221" s="423">
        <v>1903</v>
      </c>
      <c r="J221" s="392" t="s">
        <v>935</v>
      </c>
      <c r="K221" s="397" t="s">
        <v>978</v>
      </c>
      <c r="L221" s="423">
        <v>1903011</v>
      </c>
      <c r="M221" s="397" t="s">
        <v>963</v>
      </c>
      <c r="N221" s="423">
        <v>1903011</v>
      </c>
      <c r="O221" s="392" t="s">
        <v>963</v>
      </c>
      <c r="P221" s="388">
        <v>190301101</v>
      </c>
      <c r="Q221" s="392" t="s">
        <v>979</v>
      </c>
      <c r="R221" s="388">
        <v>190301101</v>
      </c>
      <c r="S221" s="397" t="s">
        <v>979</v>
      </c>
      <c r="T221" s="388" t="s">
        <v>69</v>
      </c>
      <c r="U221" s="388">
        <v>12</v>
      </c>
      <c r="V221" s="388"/>
      <c r="W221" s="388">
        <v>12</v>
      </c>
      <c r="X221" s="388">
        <v>12</v>
      </c>
      <c r="Y221" s="389">
        <v>2020003630120</v>
      </c>
      <c r="Z221" s="392" t="s">
        <v>986</v>
      </c>
      <c r="AA221" s="546" t="s">
        <v>987</v>
      </c>
      <c r="AB221" s="185"/>
      <c r="AC221" s="185"/>
      <c r="AD221" s="185"/>
      <c r="AE221" s="185"/>
      <c r="AF221" s="185"/>
      <c r="AG221" s="185"/>
      <c r="AH221" s="185"/>
      <c r="AI221" s="185"/>
      <c r="AJ221" s="185"/>
      <c r="AK221" s="194">
        <v>19202000</v>
      </c>
      <c r="AL221" s="194">
        <v>18016000</v>
      </c>
      <c r="AM221" s="194">
        <v>18016000</v>
      </c>
      <c r="AN221" s="185"/>
      <c r="AO221" s="185"/>
      <c r="AP221" s="185"/>
      <c r="AQ221" s="185"/>
      <c r="AR221" s="185"/>
      <c r="AS221" s="185"/>
      <c r="AT221" s="189">
        <v>15000000</v>
      </c>
      <c r="AU221" s="189">
        <v>15000000</v>
      </c>
      <c r="AV221" s="189">
        <v>15000000</v>
      </c>
      <c r="AW221" s="185"/>
      <c r="AX221" s="185"/>
      <c r="AY221" s="185"/>
      <c r="AZ221" s="185"/>
      <c r="BA221" s="185"/>
      <c r="BB221" s="185"/>
      <c r="BC221" s="185"/>
      <c r="BD221" s="185"/>
      <c r="BE221" s="185"/>
      <c r="BF221" s="192">
        <f t="shared" si="15"/>
        <v>34202000</v>
      </c>
      <c r="BG221" s="192">
        <f t="shared" si="16"/>
        <v>33016000</v>
      </c>
      <c r="BH221" s="192">
        <f t="shared" si="17"/>
        <v>33016000</v>
      </c>
      <c r="BI221" s="398" t="s">
        <v>14</v>
      </c>
    </row>
    <row r="222" spans="1:69" s="394" customFormat="1" ht="66.75" customHeight="1">
      <c r="A222" s="423">
        <v>318</v>
      </c>
      <c r="B222" s="392" t="s">
        <v>933</v>
      </c>
      <c r="C222" s="423">
        <v>1</v>
      </c>
      <c r="D222" s="392" t="s">
        <v>148</v>
      </c>
      <c r="E222" s="423">
        <v>19</v>
      </c>
      <c r="F222" s="392" t="s">
        <v>756</v>
      </c>
      <c r="G222" s="423">
        <v>1903</v>
      </c>
      <c r="H222" s="392" t="s">
        <v>934</v>
      </c>
      <c r="I222" s="423">
        <v>1903</v>
      </c>
      <c r="J222" s="392" t="s">
        <v>935</v>
      </c>
      <c r="K222" s="392" t="s">
        <v>991</v>
      </c>
      <c r="L222" s="423">
        <v>1903047</v>
      </c>
      <c r="M222" s="397" t="s">
        <v>992</v>
      </c>
      <c r="N222" s="423">
        <v>1903047</v>
      </c>
      <c r="O222" s="392" t="s">
        <v>992</v>
      </c>
      <c r="P222" s="388">
        <v>190304701</v>
      </c>
      <c r="Q222" s="397" t="s">
        <v>993</v>
      </c>
      <c r="R222" s="388">
        <v>190304701</v>
      </c>
      <c r="S222" s="397" t="s">
        <v>993</v>
      </c>
      <c r="T222" s="388" t="s">
        <v>69</v>
      </c>
      <c r="U222" s="388">
        <v>1</v>
      </c>
      <c r="V222" s="388"/>
      <c r="W222" s="388">
        <v>1</v>
      </c>
      <c r="X222" s="388">
        <v>1</v>
      </c>
      <c r="Y222" s="389">
        <v>2020003630121</v>
      </c>
      <c r="Z222" s="392" t="s">
        <v>994</v>
      </c>
      <c r="AA222" s="546" t="s">
        <v>995</v>
      </c>
      <c r="AB222" s="185"/>
      <c r="AC222" s="185"/>
      <c r="AD222" s="185"/>
      <c r="AE222" s="185"/>
      <c r="AF222" s="185"/>
      <c r="AG222" s="185"/>
      <c r="AH222" s="185"/>
      <c r="AI222" s="185"/>
      <c r="AJ222" s="185"/>
      <c r="AK222" s="194">
        <v>20000000</v>
      </c>
      <c r="AL222" s="194">
        <v>20000000</v>
      </c>
      <c r="AM222" s="194">
        <v>20000000</v>
      </c>
      <c r="AN222" s="185"/>
      <c r="AO222" s="185"/>
      <c r="AP222" s="185"/>
      <c r="AQ222" s="185"/>
      <c r="AR222" s="185"/>
      <c r="AS222" s="185"/>
      <c r="AT222" s="189"/>
      <c r="AU222" s="189"/>
      <c r="AV222" s="189"/>
      <c r="AW222" s="185"/>
      <c r="AX222" s="185"/>
      <c r="AY222" s="185"/>
      <c r="AZ222" s="185"/>
      <c r="BA222" s="185"/>
      <c r="BB222" s="185"/>
      <c r="BC222" s="185"/>
      <c r="BD222" s="185"/>
      <c r="BE222" s="185"/>
      <c r="BF222" s="192">
        <f t="shared" si="15"/>
        <v>20000000</v>
      </c>
      <c r="BG222" s="192">
        <f t="shared" si="16"/>
        <v>20000000</v>
      </c>
      <c r="BH222" s="192">
        <f t="shared" si="17"/>
        <v>20000000</v>
      </c>
      <c r="BI222" s="398" t="s">
        <v>14</v>
      </c>
    </row>
    <row r="223" spans="1:69" s="394" customFormat="1" ht="66.75" customHeight="1">
      <c r="A223" s="423">
        <v>318</v>
      </c>
      <c r="B223" s="392" t="s">
        <v>933</v>
      </c>
      <c r="C223" s="423">
        <v>1</v>
      </c>
      <c r="D223" s="392" t="s">
        <v>148</v>
      </c>
      <c r="E223" s="423">
        <v>19</v>
      </c>
      <c r="F223" s="392" t="s">
        <v>756</v>
      </c>
      <c r="G223" s="423">
        <v>1903</v>
      </c>
      <c r="H223" s="392" t="s">
        <v>934</v>
      </c>
      <c r="I223" s="423">
        <v>1903</v>
      </c>
      <c r="J223" s="392" t="s">
        <v>935</v>
      </c>
      <c r="K223" s="392" t="s">
        <v>996</v>
      </c>
      <c r="L223" s="423">
        <v>1903019</v>
      </c>
      <c r="M223" s="397" t="s">
        <v>997</v>
      </c>
      <c r="N223" s="423">
        <v>1903019</v>
      </c>
      <c r="O223" s="392" t="s">
        <v>997</v>
      </c>
      <c r="P223" s="388">
        <v>190301900</v>
      </c>
      <c r="Q223" s="397" t="s">
        <v>998</v>
      </c>
      <c r="R223" s="388">
        <v>190301900</v>
      </c>
      <c r="S223" s="397" t="s">
        <v>998</v>
      </c>
      <c r="T223" s="388" t="s">
        <v>69</v>
      </c>
      <c r="U223" s="388">
        <v>75</v>
      </c>
      <c r="V223" s="388"/>
      <c r="W223" s="388">
        <v>75</v>
      </c>
      <c r="X223" s="388">
        <v>119</v>
      </c>
      <c r="Y223" s="389">
        <v>2020003630121</v>
      </c>
      <c r="Z223" s="392" t="s">
        <v>994</v>
      </c>
      <c r="AA223" s="546" t="s">
        <v>995</v>
      </c>
      <c r="AB223" s="185"/>
      <c r="AC223" s="185"/>
      <c r="AD223" s="185"/>
      <c r="AE223" s="185"/>
      <c r="AF223" s="185"/>
      <c r="AG223" s="185"/>
      <c r="AH223" s="185"/>
      <c r="AI223" s="185"/>
      <c r="AJ223" s="185"/>
      <c r="AK223" s="194">
        <f>50000000-10748334</f>
        <v>39251666</v>
      </c>
      <c r="AL223" s="194">
        <v>39251666</v>
      </c>
      <c r="AM223" s="194">
        <v>39251666</v>
      </c>
      <c r="AN223" s="189"/>
      <c r="AO223" s="189"/>
      <c r="AP223" s="189"/>
      <c r="AQ223" s="185"/>
      <c r="AR223" s="185"/>
      <c r="AS223" s="185"/>
      <c r="AT223" s="189"/>
      <c r="AU223" s="189"/>
      <c r="AV223" s="189"/>
      <c r="AW223" s="185"/>
      <c r="AX223" s="185"/>
      <c r="AY223" s="185"/>
      <c r="AZ223" s="185"/>
      <c r="BA223" s="185"/>
      <c r="BB223" s="185"/>
      <c r="BC223" s="185"/>
      <c r="BD223" s="185"/>
      <c r="BE223" s="185"/>
      <c r="BF223" s="192">
        <f t="shared" ref="BF223:BF286" si="19">AB223+AE223+AH223+AK223+AN223+AQ223+AT223+AW223+BC223+AZ223</f>
        <v>39251666</v>
      </c>
      <c r="BG223" s="192">
        <f t="shared" ref="BG223:BG286" si="20">AC223+AF223+AI223+AL223+AO223+AR223+AU223+AX223+BD223+BA223</f>
        <v>39251666</v>
      </c>
      <c r="BH223" s="192">
        <f t="shared" ref="BH223:BH286" si="21">AD223+AG223+AJ223+AM223+AP223+AS223+AV223+AY223+BE223+BB223</f>
        <v>39251666</v>
      </c>
      <c r="BI223" s="398" t="s">
        <v>14</v>
      </c>
    </row>
    <row r="224" spans="1:69" s="413" customFormat="1" ht="66.75" customHeight="1">
      <c r="A224" s="423">
        <v>318</v>
      </c>
      <c r="B224" s="392" t="s">
        <v>933</v>
      </c>
      <c r="C224" s="423">
        <v>1</v>
      </c>
      <c r="D224" s="392" t="s">
        <v>148</v>
      </c>
      <c r="E224" s="423">
        <v>19</v>
      </c>
      <c r="F224" s="392" t="s">
        <v>756</v>
      </c>
      <c r="G224" s="423">
        <v>1903</v>
      </c>
      <c r="H224" s="392" t="s">
        <v>934</v>
      </c>
      <c r="I224" s="423">
        <v>1903</v>
      </c>
      <c r="J224" s="392" t="s">
        <v>935</v>
      </c>
      <c r="K224" s="392" t="s">
        <v>999</v>
      </c>
      <c r="L224" s="423">
        <v>1903028</v>
      </c>
      <c r="M224" s="397" t="s">
        <v>1000</v>
      </c>
      <c r="N224" s="423">
        <v>1903028</v>
      </c>
      <c r="O224" s="392" t="s">
        <v>1000</v>
      </c>
      <c r="P224" s="388">
        <v>190302800</v>
      </c>
      <c r="Q224" s="397" t="s">
        <v>1001</v>
      </c>
      <c r="R224" s="388">
        <v>190302800</v>
      </c>
      <c r="S224" s="397" t="s">
        <v>1001</v>
      </c>
      <c r="T224" s="388" t="s">
        <v>69</v>
      </c>
      <c r="U224" s="388">
        <v>250</v>
      </c>
      <c r="V224" s="388"/>
      <c r="W224" s="388">
        <v>250</v>
      </c>
      <c r="X224" s="388">
        <v>546</v>
      </c>
      <c r="Y224" s="389">
        <v>2020003630121</v>
      </c>
      <c r="Z224" s="392" t="s">
        <v>994</v>
      </c>
      <c r="AA224" s="546" t="s">
        <v>995</v>
      </c>
      <c r="AB224" s="185"/>
      <c r="AC224" s="185"/>
      <c r="AD224" s="185"/>
      <c r="AE224" s="185"/>
      <c r="AF224" s="185"/>
      <c r="AG224" s="185"/>
      <c r="AH224" s="185"/>
      <c r="AI224" s="185"/>
      <c r="AJ224" s="185"/>
      <c r="AK224" s="194">
        <f>40000000+64100000</f>
        <v>104100000</v>
      </c>
      <c r="AL224" s="194">
        <v>104100000</v>
      </c>
      <c r="AM224" s="194">
        <v>104100000</v>
      </c>
      <c r="AN224" s="185"/>
      <c r="AO224" s="185"/>
      <c r="AP224" s="185"/>
      <c r="AQ224" s="185"/>
      <c r="AR224" s="185"/>
      <c r="AS224" s="185"/>
      <c r="AT224" s="189"/>
      <c r="AU224" s="189"/>
      <c r="AV224" s="189"/>
      <c r="AW224" s="185"/>
      <c r="AX224" s="185"/>
      <c r="AY224" s="185"/>
      <c r="AZ224" s="185"/>
      <c r="BA224" s="185"/>
      <c r="BB224" s="185"/>
      <c r="BC224" s="185"/>
      <c r="BD224" s="185"/>
      <c r="BE224" s="185"/>
      <c r="BF224" s="192">
        <f t="shared" si="19"/>
        <v>104100000</v>
      </c>
      <c r="BG224" s="192">
        <f t="shared" si="20"/>
        <v>104100000</v>
      </c>
      <c r="BH224" s="192">
        <f t="shared" si="21"/>
        <v>104100000</v>
      </c>
      <c r="BI224" s="398" t="s">
        <v>14</v>
      </c>
      <c r="BJ224" s="394"/>
      <c r="BK224" s="394"/>
      <c r="BL224" s="394"/>
      <c r="BM224" s="394"/>
      <c r="BN224" s="394"/>
      <c r="BO224" s="394"/>
      <c r="BP224" s="394"/>
      <c r="BQ224" s="394"/>
    </row>
    <row r="225" spans="1:69" s="413" customFormat="1" ht="66.75" customHeight="1">
      <c r="A225" s="423">
        <v>318</v>
      </c>
      <c r="B225" s="392" t="s">
        <v>933</v>
      </c>
      <c r="C225" s="423">
        <v>1</v>
      </c>
      <c r="D225" s="392" t="s">
        <v>148</v>
      </c>
      <c r="E225" s="423">
        <v>19</v>
      </c>
      <c r="F225" s="392" t="s">
        <v>756</v>
      </c>
      <c r="G225" s="423">
        <v>1903</v>
      </c>
      <c r="H225" s="392" t="s">
        <v>934</v>
      </c>
      <c r="I225" s="423">
        <v>1903</v>
      </c>
      <c r="J225" s="392" t="s">
        <v>935</v>
      </c>
      <c r="K225" s="392" t="s">
        <v>1002</v>
      </c>
      <c r="L225" s="423">
        <v>1903025</v>
      </c>
      <c r="M225" s="397" t="s">
        <v>1003</v>
      </c>
      <c r="N225" s="423">
        <v>1903025</v>
      </c>
      <c r="O225" s="392" t="s">
        <v>1003</v>
      </c>
      <c r="P225" s="388">
        <v>190302500</v>
      </c>
      <c r="Q225" s="397" t="s">
        <v>1004</v>
      </c>
      <c r="R225" s="388">
        <v>190302500</v>
      </c>
      <c r="S225" s="397" t="s">
        <v>1004</v>
      </c>
      <c r="T225" s="426" t="s">
        <v>69</v>
      </c>
      <c r="U225" s="388">
        <v>12</v>
      </c>
      <c r="V225" s="388"/>
      <c r="W225" s="388">
        <v>12</v>
      </c>
      <c r="X225" s="388">
        <v>12</v>
      </c>
      <c r="Y225" s="389">
        <v>2020003630121</v>
      </c>
      <c r="Z225" s="392" t="s">
        <v>994</v>
      </c>
      <c r="AA225" s="546" t="s">
        <v>995</v>
      </c>
      <c r="AB225" s="185"/>
      <c r="AC225" s="185"/>
      <c r="AD225" s="185"/>
      <c r="AE225" s="185"/>
      <c r="AF225" s="185"/>
      <c r="AG225" s="185"/>
      <c r="AH225" s="185"/>
      <c r="AI225" s="185"/>
      <c r="AJ225" s="185"/>
      <c r="AK225" s="194">
        <f>49135000+10748334</f>
        <v>59883334</v>
      </c>
      <c r="AL225" s="194">
        <v>58456667</v>
      </c>
      <c r="AM225" s="194">
        <v>58456667</v>
      </c>
      <c r="AN225" s="185"/>
      <c r="AO225" s="185"/>
      <c r="AP225" s="185"/>
      <c r="AQ225" s="185"/>
      <c r="AR225" s="185"/>
      <c r="AS225" s="185"/>
      <c r="AT225" s="189"/>
      <c r="AU225" s="189"/>
      <c r="AV225" s="189"/>
      <c r="AW225" s="185"/>
      <c r="AX225" s="185"/>
      <c r="AY225" s="185"/>
      <c r="AZ225" s="185"/>
      <c r="BA225" s="185"/>
      <c r="BB225" s="185"/>
      <c r="BC225" s="185"/>
      <c r="BD225" s="185"/>
      <c r="BE225" s="185"/>
      <c r="BF225" s="192">
        <f t="shared" si="19"/>
        <v>59883334</v>
      </c>
      <c r="BG225" s="192">
        <f t="shared" si="20"/>
        <v>58456667</v>
      </c>
      <c r="BH225" s="192">
        <f t="shared" si="21"/>
        <v>58456667</v>
      </c>
      <c r="BI225" s="398" t="s">
        <v>14</v>
      </c>
      <c r="BJ225" s="394"/>
      <c r="BK225" s="394"/>
      <c r="BL225" s="394"/>
      <c r="BM225" s="394"/>
      <c r="BN225" s="394"/>
      <c r="BO225" s="394"/>
      <c r="BP225" s="394"/>
      <c r="BQ225" s="394"/>
    </row>
    <row r="226" spans="1:69" s="394" customFormat="1" ht="66.75" customHeight="1">
      <c r="A226" s="423">
        <v>318</v>
      </c>
      <c r="B226" s="392" t="s">
        <v>933</v>
      </c>
      <c r="C226" s="423">
        <v>1</v>
      </c>
      <c r="D226" s="392" t="s">
        <v>148</v>
      </c>
      <c r="E226" s="423">
        <v>19</v>
      </c>
      <c r="F226" s="392" t="s">
        <v>756</v>
      </c>
      <c r="G226" s="423">
        <v>1905</v>
      </c>
      <c r="H226" s="392" t="s">
        <v>757</v>
      </c>
      <c r="I226" s="423">
        <v>1905</v>
      </c>
      <c r="J226" s="392" t="s">
        <v>1005</v>
      </c>
      <c r="K226" s="392" t="s">
        <v>946</v>
      </c>
      <c r="L226" s="423">
        <v>1905031</v>
      </c>
      <c r="M226" s="397" t="s">
        <v>1010</v>
      </c>
      <c r="N226" s="423">
        <v>1905031</v>
      </c>
      <c r="O226" s="392" t="s">
        <v>1010</v>
      </c>
      <c r="P226" s="423">
        <v>190503100</v>
      </c>
      <c r="Q226" s="397" t="s">
        <v>1011</v>
      </c>
      <c r="R226" s="423">
        <v>190503100</v>
      </c>
      <c r="S226" s="397" t="s">
        <v>1011</v>
      </c>
      <c r="T226" s="388" t="s">
        <v>69</v>
      </c>
      <c r="U226" s="388">
        <v>12</v>
      </c>
      <c r="V226" s="388"/>
      <c r="W226" s="388">
        <v>12</v>
      </c>
      <c r="X226" s="388">
        <v>12</v>
      </c>
      <c r="Y226" s="389">
        <v>2020003630122</v>
      </c>
      <c r="Z226" s="392" t="s">
        <v>1008</v>
      </c>
      <c r="AA226" s="546" t="s">
        <v>1009</v>
      </c>
      <c r="AB226" s="185"/>
      <c r="AC226" s="185"/>
      <c r="AD226" s="185"/>
      <c r="AE226" s="185">
        <v>100000000</v>
      </c>
      <c r="AF226" s="185">
        <v>97879735</v>
      </c>
      <c r="AG226" s="185">
        <v>97879735</v>
      </c>
      <c r="AH226" s="185">
        <v>25891929</v>
      </c>
      <c r="AI226" s="185">
        <v>25891929</v>
      </c>
      <c r="AJ226" s="185">
        <v>25891929</v>
      </c>
      <c r="AK226" s="185">
        <v>21650000</v>
      </c>
      <c r="AL226" s="185">
        <v>21650000</v>
      </c>
      <c r="AM226" s="185">
        <v>21650000</v>
      </c>
      <c r="AN226" s="185"/>
      <c r="AO226" s="185"/>
      <c r="AP226" s="185"/>
      <c r="AQ226" s="185"/>
      <c r="AR226" s="185"/>
      <c r="AS226" s="185"/>
      <c r="AT226" s="189">
        <v>12000000</v>
      </c>
      <c r="AU226" s="189">
        <v>11300000</v>
      </c>
      <c r="AV226" s="189">
        <v>11300000</v>
      </c>
      <c r="AW226" s="185"/>
      <c r="AX226" s="185"/>
      <c r="AY226" s="185"/>
      <c r="AZ226" s="185"/>
      <c r="BA226" s="185"/>
      <c r="BB226" s="185"/>
      <c r="BC226" s="185"/>
      <c r="BD226" s="185"/>
      <c r="BE226" s="185"/>
      <c r="BF226" s="192">
        <f t="shared" si="19"/>
        <v>159541929</v>
      </c>
      <c r="BG226" s="192">
        <f t="shared" si="20"/>
        <v>156721664</v>
      </c>
      <c r="BH226" s="192">
        <f t="shared" si="21"/>
        <v>156721664</v>
      </c>
      <c r="BI226" s="398" t="s">
        <v>14</v>
      </c>
    </row>
    <row r="227" spans="1:69" s="394" customFormat="1" ht="66.75" customHeight="1">
      <c r="A227" s="423">
        <v>318</v>
      </c>
      <c r="B227" s="392" t="s">
        <v>933</v>
      </c>
      <c r="C227" s="423">
        <v>1</v>
      </c>
      <c r="D227" s="392" t="s">
        <v>148</v>
      </c>
      <c r="E227" s="423">
        <v>19</v>
      </c>
      <c r="F227" s="392" t="s">
        <v>756</v>
      </c>
      <c r="G227" s="423">
        <v>1905</v>
      </c>
      <c r="H227" s="392" t="s">
        <v>757</v>
      </c>
      <c r="I227" s="423">
        <v>1905</v>
      </c>
      <c r="J227" s="392" t="s">
        <v>1005</v>
      </c>
      <c r="K227" s="392" t="s">
        <v>946</v>
      </c>
      <c r="L227" s="423">
        <v>1905031</v>
      </c>
      <c r="M227" s="397" t="s">
        <v>1010</v>
      </c>
      <c r="N227" s="423">
        <v>1905031</v>
      </c>
      <c r="O227" s="392" t="s">
        <v>1010</v>
      </c>
      <c r="P227" s="423">
        <v>190503100</v>
      </c>
      <c r="Q227" s="397" t="s">
        <v>1011</v>
      </c>
      <c r="R227" s="423">
        <v>190503100</v>
      </c>
      <c r="S227" s="397" t="s">
        <v>1011</v>
      </c>
      <c r="T227" s="388" t="s">
        <v>69</v>
      </c>
      <c r="U227" s="388">
        <v>12</v>
      </c>
      <c r="V227" s="388"/>
      <c r="W227" s="388">
        <v>12</v>
      </c>
      <c r="X227" s="388">
        <v>12</v>
      </c>
      <c r="Y227" s="389">
        <v>2020003630126</v>
      </c>
      <c r="Z227" s="393" t="s">
        <v>1045</v>
      </c>
      <c r="AA227" s="546" t="s">
        <v>1046</v>
      </c>
      <c r="AB227" s="185"/>
      <c r="AC227" s="185"/>
      <c r="AD227" s="185"/>
      <c r="AE227" s="185"/>
      <c r="AF227" s="185"/>
      <c r="AG227" s="185"/>
      <c r="AH227" s="185">
        <v>50000000</v>
      </c>
      <c r="AI227" s="185">
        <v>48963333</v>
      </c>
      <c r="AJ227" s="185">
        <v>48963333</v>
      </c>
      <c r="AK227" s="185">
        <v>22000000</v>
      </c>
      <c r="AL227" s="185">
        <v>20330000</v>
      </c>
      <c r="AM227" s="185">
        <v>20330000</v>
      </c>
      <c r="AN227" s="185"/>
      <c r="AO227" s="185"/>
      <c r="AP227" s="185"/>
      <c r="AQ227" s="185"/>
      <c r="AR227" s="185"/>
      <c r="AS227" s="185"/>
      <c r="AT227" s="189"/>
      <c r="AU227" s="189"/>
      <c r="AV227" s="189"/>
      <c r="AW227" s="185"/>
      <c r="AX227" s="185"/>
      <c r="AY227" s="185"/>
      <c r="AZ227" s="185"/>
      <c r="BA227" s="185"/>
      <c r="BB227" s="185"/>
      <c r="BC227" s="185"/>
      <c r="BD227" s="185"/>
      <c r="BE227" s="185"/>
      <c r="BF227" s="192">
        <f t="shared" si="19"/>
        <v>72000000</v>
      </c>
      <c r="BG227" s="192">
        <f t="shared" si="20"/>
        <v>69293333</v>
      </c>
      <c r="BH227" s="192">
        <f t="shared" si="21"/>
        <v>69293333</v>
      </c>
      <c r="BI227" s="398" t="s">
        <v>14</v>
      </c>
    </row>
    <row r="228" spans="1:69" s="394" customFormat="1" ht="66.75" customHeight="1">
      <c r="A228" s="423">
        <v>318</v>
      </c>
      <c r="B228" s="392" t="s">
        <v>933</v>
      </c>
      <c r="C228" s="423">
        <v>1</v>
      </c>
      <c r="D228" s="392" t="s">
        <v>148</v>
      </c>
      <c r="E228" s="423">
        <v>19</v>
      </c>
      <c r="F228" s="392" t="s">
        <v>756</v>
      </c>
      <c r="G228" s="423">
        <v>1905</v>
      </c>
      <c r="H228" s="392" t="s">
        <v>757</v>
      </c>
      <c r="I228" s="423">
        <v>1905</v>
      </c>
      <c r="J228" s="392" t="s">
        <v>1005</v>
      </c>
      <c r="K228" s="397" t="s">
        <v>946</v>
      </c>
      <c r="L228" s="423">
        <v>1905031</v>
      </c>
      <c r="M228" s="397" t="s">
        <v>1010</v>
      </c>
      <c r="N228" s="425">
        <v>1905031</v>
      </c>
      <c r="O228" s="392" t="s">
        <v>1010</v>
      </c>
      <c r="P228" s="425">
        <v>190503100</v>
      </c>
      <c r="Q228" s="397" t="s">
        <v>1011</v>
      </c>
      <c r="R228" s="423">
        <v>190503100</v>
      </c>
      <c r="S228" s="397" t="s">
        <v>1011</v>
      </c>
      <c r="T228" s="388" t="s">
        <v>69</v>
      </c>
      <c r="U228" s="388">
        <v>12</v>
      </c>
      <c r="V228" s="388"/>
      <c r="W228" s="388">
        <v>12</v>
      </c>
      <c r="X228" s="388">
        <v>12</v>
      </c>
      <c r="Y228" s="389">
        <v>2020003630135</v>
      </c>
      <c r="Z228" s="412" t="s">
        <v>1072</v>
      </c>
      <c r="AA228" s="547" t="s">
        <v>1073</v>
      </c>
      <c r="AB228" s="185"/>
      <c r="AC228" s="185"/>
      <c r="AD228" s="185"/>
      <c r="AE228" s="185"/>
      <c r="AF228" s="185"/>
      <c r="AG228" s="185"/>
      <c r="AH228" s="185">
        <f>1430478796+400000000+22000000</f>
        <v>1852478796</v>
      </c>
      <c r="AI228" s="185">
        <v>1807180664</v>
      </c>
      <c r="AJ228" s="185">
        <v>1553314513</v>
      </c>
      <c r="AK228" s="185"/>
      <c r="AL228" s="185"/>
      <c r="AM228" s="185"/>
      <c r="AN228" s="185"/>
      <c r="AO228" s="185"/>
      <c r="AP228" s="185"/>
      <c r="AQ228" s="185"/>
      <c r="AR228" s="185"/>
      <c r="AS228" s="185"/>
      <c r="AT228" s="189"/>
      <c r="AU228" s="189"/>
      <c r="AV228" s="189"/>
      <c r="AW228" s="185"/>
      <c r="AX228" s="185"/>
      <c r="AY228" s="185"/>
      <c r="AZ228" s="185"/>
      <c r="BA228" s="185"/>
      <c r="BB228" s="185"/>
      <c r="BC228" s="185"/>
      <c r="BD228" s="185"/>
      <c r="BE228" s="185"/>
      <c r="BF228" s="192">
        <f t="shared" si="19"/>
        <v>1852478796</v>
      </c>
      <c r="BG228" s="192">
        <f t="shared" si="20"/>
        <v>1807180664</v>
      </c>
      <c r="BH228" s="192">
        <f t="shared" si="21"/>
        <v>1553314513</v>
      </c>
      <c r="BI228" s="398" t="s">
        <v>14</v>
      </c>
      <c r="BJ228" s="413"/>
      <c r="BK228" s="413"/>
      <c r="BL228" s="413"/>
      <c r="BM228" s="413"/>
      <c r="BN228" s="413"/>
      <c r="BO228" s="413"/>
      <c r="BP228" s="413"/>
      <c r="BQ228" s="413"/>
    </row>
    <row r="229" spans="1:69" s="394" customFormat="1" ht="66.75" customHeight="1">
      <c r="A229" s="423">
        <v>318</v>
      </c>
      <c r="B229" s="392" t="s">
        <v>933</v>
      </c>
      <c r="C229" s="423">
        <v>1</v>
      </c>
      <c r="D229" s="392" t="s">
        <v>148</v>
      </c>
      <c r="E229" s="423">
        <v>19</v>
      </c>
      <c r="F229" s="392" t="s">
        <v>756</v>
      </c>
      <c r="G229" s="423">
        <v>1905</v>
      </c>
      <c r="H229" s="392" t="s">
        <v>757</v>
      </c>
      <c r="I229" s="423">
        <v>1905</v>
      </c>
      <c r="J229" s="392" t="s">
        <v>1005</v>
      </c>
      <c r="K229" s="392" t="s">
        <v>946</v>
      </c>
      <c r="L229" s="423">
        <v>1905028</v>
      </c>
      <c r="M229" s="397" t="s">
        <v>1006</v>
      </c>
      <c r="N229" s="423">
        <v>1905028</v>
      </c>
      <c r="O229" s="392" t="s">
        <v>1006</v>
      </c>
      <c r="P229" s="388">
        <v>190502800</v>
      </c>
      <c r="Q229" s="397" t="s">
        <v>1007</v>
      </c>
      <c r="R229" s="388">
        <v>190502800</v>
      </c>
      <c r="S229" s="397" t="s">
        <v>1007</v>
      </c>
      <c r="T229" s="401" t="s">
        <v>69</v>
      </c>
      <c r="U229" s="388">
        <v>12</v>
      </c>
      <c r="V229" s="388"/>
      <c r="W229" s="388">
        <v>12</v>
      </c>
      <c r="X229" s="388">
        <v>11</v>
      </c>
      <c r="Y229" s="389">
        <v>2020003630122</v>
      </c>
      <c r="Z229" s="392" t="s">
        <v>1008</v>
      </c>
      <c r="AA229" s="546" t="s">
        <v>1009</v>
      </c>
      <c r="AB229" s="185"/>
      <c r="AC229" s="185"/>
      <c r="AD229" s="185"/>
      <c r="AE229" s="185"/>
      <c r="AF229" s="185"/>
      <c r="AG229" s="185"/>
      <c r="AH229" s="185">
        <v>25000000</v>
      </c>
      <c r="AI229" s="185">
        <v>24563333</v>
      </c>
      <c r="AJ229" s="185">
        <v>24563333</v>
      </c>
      <c r="AK229" s="185">
        <v>7350000</v>
      </c>
      <c r="AL229" s="185">
        <v>7350000</v>
      </c>
      <c r="AM229" s="185">
        <v>7350000</v>
      </c>
      <c r="AN229" s="185"/>
      <c r="AO229" s="185"/>
      <c r="AP229" s="185"/>
      <c r="AQ229" s="185"/>
      <c r="AR229" s="185"/>
      <c r="AS229" s="185"/>
      <c r="AT229" s="189"/>
      <c r="AU229" s="189"/>
      <c r="AV229" s="189"/>
      <c r="AW229" s="185"/>
      <c r="AX229" s="185"/>
      <c r="AY229" s="185"/>
      <c r="AZ229" s="185"/>
      <c r="BA229" s="185"/>
      <c r="BB229" s="185"/>
      <c r="BC229" s="185"/>
      <c r="BD229" s="185"/>
      <c r="BE229" s="185"/>
      <c r="BF229" s="192">
        <f t="shared" si="19"/>
        <v>32350000</v>
      </c>
      <c r="BG229" s="192">
        <f t="shared" si="20"/>
        <v>31913333</v>
      </c>
      <c r="BH229" s="192">
        <f t="shared" si="21"/>
        <v>31913333</v>
      </c>
      <c r="BI229" s="398" t="s">
        <v>14</v>
      </c>
    </row>
    <row r="230" spans="1:69" s="394" customFormat="1" ht="66.75" customHeight="1">
      <c r="A230" s="423">
        <v>318</v>
      </c>
      <c r="B230" s="392" t="s">
        <v>933</v>
      </c>
      <c r="C230" s="423">
        <v>1</v>
      </c>
      <c r="D230" s="392" t="s">
        <v>148</v>
      </c>
      <c r="E230" s="423">
        <v>19</v>
      </c>
      <c r="F230" s="392" t="s">
        <v>756</v>
      </c>
      <c r="G230" s="423">
        <v>1905</v>
      </c>
      <c r="H230" s="392" t="s">
        <v>757</v>
      </c>
      <c r="I230" s="423">
        <v>1905</v>
      </c>
      <c r="J230" s="392" t="s">
        <v>1005</v>
      </c>
      <c r="K230" s="392" t="s">
        <v>1012</v>
      </c>
      <c r="L230" s="423">
        <v>1905019</v>
      </c>
      <c r="M230" s="397" t="s">
        <v>1013</v>
      </c>
      <c r="N230" s="423">
        <v>1905019</v>
      </c>
      <c r="O230" s="392" t="s">
        <v>1013</v>
      </c>
      <c r="P230" s="423">
        <v>190501900</v>
      </c>
      <c r="Q230" s="393" t="s">
        <v>351</v>
      </c>
      <c r="R230" s="423">
        <v>190501900</v>
      </c>
      <c r="S230" s="397" t="s">
        <v>351</v>
      </c>
      <c r="T230" s="388" t="s">
        <v>69</v>
      </c>
      <c r="U230" s="388">
        <v>60</v>
      </c>
      <c r="V230" s="388"/>
      <c r="W230" s="388">
        <v>60</v>
      </c>
      <c r="X230" s="388">
        <v>308</v>
      </c>
      <c r="Y230" s="389">
        <v>2020003630123</v>
      </c>
      <c r="Z230" s="392" t="s">
        <v>1014</v>
      </c>
      <c r="AA230" s="546" t="s">
        <v>1015</v>
      </c>
      <c r="AB230" s="185"/>
      <c r="AC230" s="185"/>
      <c r="AD230" s="185"/>
      <c r="AE230" s="185"/>
      <c r="AF230" s="185"/>
      <c r="AG230" s="185"/>
      <c r="AH230" s="185">
        <v>17500000</v>
      </c>
      <c r="AI230" s="185">
        <v>4800000</v>
      </c>
      <c r="AJ230" s="185">
        <v>4800000</v>
      </c>
      <c r="AK230" s="185"/>
      <c r="AL230" s="185"/>
      <c r="AM230" s="185"/>
      <c r="AN230" s="185"/>
      <c r="AO230" s="185"/>
      <c r="AP230" s="185"/>
      <c r="AQ230" s="185"/>
      <c r="AR230" s="185"/>
      <c r="AS230" s="185"/>
      <c r="AT230" s="189"/>
      <c r="AU230" s="189"/>
      <c r="AV230" s="189"/>
      <c r="AW230" s="185"/>
      <c r="AX230" s="185"/>
      <c r="AY230" s="185"/>
      <c r="AZ230" s="185"/>
      <c r="BA230" s="185"/>
      <c r="BB230" s="185"/>
      <c r="BC230" s="185"/>
      <c r="BD230" s="185"/>
      <c r="BE230" s="185"/>
      <c r="BF230" s="192">
        <f t="shared" si="19"/>
        <v>17500000</v>
      </c>
      <c r="BG230" s="192">
        <f t="shared" si="20"/>
        <v>4800000</v>
      </c>
      <c r="BH230" s="192">
        <f t="shared" si="21"/>
        <v>4800000</v>
      </c>
      <c r="BI230" s="398" t="s">
        <v>14</v>
      </c>
    </row>
    <row r="231" spans="1:69" s="394" customFormat="1" ht="66.75" customHeight="1">
      <c r="A231" s="423">
        <v>318</v>
      </c>
      <c r="B231" s="392" t="s">
        <v>933</v>
      </c>
      <c r="C231" s="423">
        <v>1</v>
      </c>
      <c r="D231" s="392" t="s">
        <v>148</v>
      </c>
      <c r="E231" s="423">
        <v>19</v>
      </c>
      <c r="F231" s="392" t="s">
        <v>756</v>
      </c>
      <c r="G231" s="423">
        <v>1905</v>
      </c>
      <c r="H231" s="392" t="s">
        <v>757</v>
      </c>
      <c r="I231" s="423">
        <v>1905</v>
      </c>
      <c r="J231" s="392" t="s">
        <v>1005</v>
      </c>
      <c r="K231" s="392" t="s">
        <v>1016</v>
      </c>
      <c r="L231" s="423" t="s">
        <v>61</v>
      </c>
      <c r="M231" s="397" t="s">
        <v>1017</v>
      </c>
      <c r="N231" s="423">
        <v>1905031</v>
      </c>
      <c r="O231" s="392" t="s">
        <v>1018</v>
      </c>
      <c r="P231" s="423" t="s">
        <v>1019</v>
      </c>
      <c r="Q231" s="397" t="s">
        <v>1020</v>
      </c>
      <c r="R231" s="423">
        <v>190503100</v>
      </c>
      <c r="S231" s="397" t="s">
        <v>1021</v>
      </c>
      <c r="T231" s="401" t="s">
        <v>69</v>
      </c>
      <c r="U231" s="388">
        <v>11</v>
      </c>
      <c r="V231" s="388"/>
      <c r="W231" s="388">
        <v>11</v>
      </c>
      <c r="X231" s="388">
        <v>11</v>
      </c>
      <c r="Y231" s="389">
        <v>2020003630123</v>
      </c>
      <c r="Z231" s="393" t="s">
        <v>1014</v>
      </c>
      <c r="AA231" s="546" t="s">
        <v>1015</v>
      </c>
      <c r="AB231" s="185"/>
      <c r="AC231" s="185"/>
      <c r="AD231" s="185"/>
      <c r="AE231" s="185"/>
      <c r="AF231" s="185"/>
      <c r="AG231" s="185"/>
      <c r="AH231" s="185">
        <v>27500000</v>
      </c>
      <c r="AI231" s="185">
        <v>27480000</v>
      </c>
      <c r="AJ231" s="185">
        <v>27480000</v>
      </c>
      <c r="AK231" s="185"/>
      <c r="AL231" s="185"/>
      <c r="AM231" s="185"/>
      <c r="AN231" s="185"/>
      <c r="AO231" s="185"/>
      <c r="AP231" s="185"/>
      <c r="AQ231" s="185"/>
      <c r="AR231" s="185"/>
      <c r="AS231" s="185"/>
      <c r="AT231" s="189"/>
      <c r="AU231" s="189"/>
      <c r="AV231" s="189"/>
      <c r="AW231" s="185"/>
      <c r="AX231" s="185"/>
      <c r="AY231" s="185"/>
      <c r="AZ231" s="185"/>
      <c r="BA231" s="185"/>
      <c r="BB231" s="185"/>
      <c r="BC231" s="185"/>
      <c r="BD231" s="185"/>
      <c r="BE231" s="185"/>
      <c r="BF231" s="192">
        <f t="shared" si="19"/>
        <v>27500000</v>
      </c>
      <c r="BG231" s="192">
        <f t="shared" si="20"/>
        <v>27480000</v>
      </c>
      <c r="BH231" s="192">
        <f t="shared" si="21"/>
        <v>27480000</v>
      </c>
      <c r="BI231" s="398" t="s">
        <v>14</v>
      </c>
    </row>
    <row r="232" spans="1:69" s="394" customFormat="1" ht="66.75" customHeight="1">
      <c r="A232" s="423">
        <v>318</v>
      </c>
      <c r="B232" s="392" t="s">
        <v>933</v>
      </c>
      <c r="C232" s="423">
        <v>1</v>
      </c>
      <c r="D232" s="392" t="s">
        <v>148</v>
      </c>
      <c r="E232" s="423">
        <v>19</v>
      </c>
      <c r="F232" s="392" t="s">
        <v>756</v>
      </c>
      <c r="G232" s="423">
        <v>1905</v>
      </c>
      <c r="H232" s="392" t="s">
        <v>757</v>
      </c>
      <c r="I232" s="423">
        <v>1905</v>
      </c>
      <c r="J232" s="392" t="s">
        <v>1005</v>
      </c>
      <c r="K232" s="397" t="s">
        <v>1022</v>
      </c>
      <c r="L232" s="423" t="s">
        <v>61</v>
      </c>
      <c r="M232" s="397" t="s">
        <v>1023</v>
      </c>
      <c r="N232" s="423">
        <v>1905015</v>
      </c>
      <c r="O232" s="392" t="s">
        <v>254</v>
      </c>
      <c r="P232" s="423" t="s">
        <v>61</v>
      </c>
      <c r="Q232" s="397" t="s">
        <v>1024</v>
      </c>
      <c r="R232" s="423">
        <v>190501500</v>
      </c>
      <c r="S232" s="397" t="s">
        <v>256</v>
      </c>
      <c r="T232" s="388" t="s">
        <v>69</v>
      </c>
      <c r="U232" s="388">
        <v>1</v>
      </c>
      <c r="V232" s="388"/>
      <c r="W232" s="388">
        <v>1</v>
      </c>
      <c r="X232" s="388">
        <v>0.72</v>
      </c>
      <c r="Y232" s="389">
        <v>2020003630123</v>
      </c>
      <c r="Z232" s="392" t="s">
        <v>1014</v>
      </c>
      <c r="AA232" s="546" t="s">
        <v>1015</v>
      </c>
      <c r="AB232" s="185"/>
      <c r="AC232" s="185"/>
      <c r="AD232" s="185"/>
      <c r="AE232" s="185"/>
      <c r="AF232" s="185"/>
      <c r="AG232" s="185"/>
      <c r="AH232" s="185">
        <f>65000000-28000000</f>
        <v>37000000</v>
      </c>
      <c r="AI232" s="185">
        <f>70200000-AI234</f>
        <v>35200000</v>
      </c>
      <c r="AJ232" s="185">
        <v>35200000</v>
      </c>
      <c r="AK232" s="185"/>
      <c r="AL232" s="185"/>
      <c r="AM232" s="185"/>
      <c r="AN232" s="185"/>
      <c r="AO232" s="185"/>
      <c r="AP232" s="185"/>
      <c r="AQ232" s="185"/>
      <c r="AR232" s="185"/>
      <c r="AS232" s="185"/>
      <c r="AT232" s="189"/>
      <c r="AU232" s="189"/>
      <c r="AV232" s="189"/>
      <c r="AW232" s="185"/>
      <c r="AX232" s="185"/>
      <c r="AY232" s="185"/>
      <c r="AZ232" s="185"/>
      <c r="BA232" s="185"/>
      <c r="BB232" s="185"/>
      <c r="BC232" s="185"/>
      <c r="BD232" s="185"/>
      <c r="BE232" s="185"/>
      <c r="BF232" s="192">
        <f t="shared" si="19"/>
        <v>37000000</v>
      </c>
      <c r="BG232" s="192">
        <f t="shared" si="20"/>
        <v>35200000</v>
      </c>
      <c r="BH232" s="192">
        <f t="shared" si="21"/>
        <v>35200000</v>
      </c>
      <c r="BI232" s="398" t="s">
        <v>14</v>
      </c>
    </row>
    <row r="233" spans="1:69" s="394" customFormat="1" ht="66.75" customHeight="1">
      <c r="A233" s="423">
        <v>318</v>
      </c>
      <c r="B233" s="392" t="s">
        <v>933</v>
      </c>
      <c r="C233" s="423">
        <v>1</v>
      </c>
      <c r="D233" s="392" t="s">
        <v>148</v>
      </c>
      <c r="E233" s="423">
        <v>19</v>
      </c>
      <c r="F233" s="392" t="s">
        <v>756</v>
      </c>
      <c r="G233" s="423">
        <v>1905</v>
      </c>
      <c r="H233" s="392" t="s">
        <v>757</v>
      </c>
      <c r="I233" s="423">
        <v>1905</v>
      </c>
      <c r="J233" s="392" t="s">
        <v>1005</v>
      </c>
      <c r="K233" s="392" t="s">
        <v>949</v>
      </c>
      <c r="L233" s="423" t="s">
        <v>61</v>
      </c>
      <c r="M233" s="397" t="s">
        <v>1025</v>
      </c>
      <c r="N233" s="423">
        <v>1905024</v>
      </c>
      <c r="O233" s="392" t="s">
        <v>1026</v>
      </c>
      <c r="P233" s="423" t="s">
        <v>61</v>
      </c>
      <c r="Q233" s="397" t="s">
        <v>1027</v>
      </c>
      <c r="R233" s="423">
        <v>190502400</v>
      </c>
      <c r="S233" s="397" t="s">
        <v>1028</v>
      </c>
      <c r="T233" s="388" t="s">
        <v>157</v>
      </c>
      <c r="U233" s="388">
        <v>3</v>
      </c>
      <c r="V233" s="388"/>
      <c r="W233" s="388">
        <v>3</v>
      </c>
      <c r="X233" s="388">
        <v>3</v>
      </c>
      <c r="Y233" s="389">
        <v>2020003630123</v>
      </c>
      <c r="Z233" s="393" t="s">
        <v>1014</v>
      </c>
      <c r="AA233" s="546" t="s">
        <v>1015</v>
      </c>
      <c r="AB233" s="185"/>
      <c r="AC233" s="185"/>
      <c r="AD233" s="185"/>
      <c r="AE233" s="185"/>
      <c r="AF233" s="185"/>
      <c r="AG233" s="185"/>
      <c r="AH233" s="185">
        <f>70000000+6400000</f>
        <v>76400000</v>
      </c>
      <c r="AI233" s="185">
        <v>73928456</v>
      </c>
      <c r="AJ233" s="286">
        <v>73928456</v>
      </c>
      <c r="AK233" s="185"/>
      <c r="AL233" s="185"/>
      <c r="AM233" s="185"/>
      <c r="AN233" s="185"/>
      <c r="AO233" s="185"/>
      <c r="AP233" s="185"/>
      <c r="AQ233" s="185"/>
      <c r="AR233" s="185"/>
      <c r="AS233" s="185"/>
      <c r="AT233" s="189">
        <v>10000000</v>
      </c>
      <c r="AU233" s="189">
        <v>6400000</v>
      </c>
      <c r="AV233" s="189">
        <v>6400000</v>
      </c>
      <c r="AW233" s="185"/>
      <c r="AX233" s="185"/>
      <c r="AY233" s="185"/>
      <c r="AZ233" s="185"/>
      <c r="BA233" s="185"/>
      <c r="BB233" s="185"/>
      <c r="BC233" s="185"/>
      <c r="BD233" s="185"/>
      <c r="BE233" s="185"/>
      <c r="BF233" s="192">
        <f t="shared" si="19"/>
        <v>86400000</v>
      </c>
      <c r="BG233" s="192">
        <f t="shared" si="20"/>
        <v>80328456</v>
      </c>
      <c r="BH233" s="192">
        <f t="shared" si="21"/>
        <v>80328456</v>
      </c>
      <c r="BI233" s="398" t="s">
        <v>14</v>
      </c>
    </row>
    <row r="234" spans="1:69" s="394" customFormat="1" ht="66.75" customHeight="1">
      <c r="A234" s="423">
        <v>318</v>
      </c>
      <c r="B234" s="392" t="s">
        <v>933</v>
      </c>
      <c r="C234" s="423">
        <v>1</v>
      </c>
      <c r="D234" s="392" t="s">
        <v>148</v>
      </c>
      <c r="E234" s="423">
        <v>19</v>
      </c>
      <c r="F234" s="392" t="s">
        <v>756</v>
      </c>
      <c r="G234" s="423">
        <v>1905</v>
      </c>
      <c r="H234" s="392" t="s">
        <v>757</v>
      </c>
      <c r="I234" s="423">
        <v>1905</v>
      </c>
      <c r="J234" s="392" t="s">
        <v>1005</v>
      </c>
      <c r="K234" s="392" t="s">
        <v>1022</v>
      </c>
      <c r="L234" s="423" t="s">
        <v>61</v>
      </c>
      <c r="M234" s="397" t="s">
        <v>1029</v>
      </c>
      <c r="N234" s="423">
        <v>1905015</v>
      </c>
      <c r="O234" s="392" t="s">
        <v>254</v>
      </c>
      <c r="P234" s="423" t="s">
        <v>61</v>
      </c>
      <c r="Q234" s="397" t="s">
        <v>1030</v>
      </c>
      <c r="R234" s="423">
        <v>190501500</v>
      </c>
      <c r="S234" s="397" t="s">
        <v>256</v>
      </c>
      <c r="T234" s="401" t="s">
        <v>157</v>
      </c>
      <c r="U234" s="388">
        <v>2</v>
      </c>
      <c r="V234" s="388"/>
      <c r="W234" s="388">
        <f>U234+V234</f>
        <v>2</v>
      </c>
      <c r="X234" s="388">
        <v>2</v>
      </c>
      <c r="Y234" s="389">
        <v>2020003630123</v>
      </c>
      <c r="Z234" s="393" t="s">
        <v>1014</v>
      </c>
      <c r="AA234" s="546" t="s">
        <v>1015</v>
      </c>
      <c r="AB234" s="185"/>
      <c r="AC234" s="185"/>
      <c r="AD234" s="185"/>
      <c r="AE234" s="185"/>
      <c r="AF234" s="185"/>
      <c r="AG234" s="185"/>
      <c r="AH234" s="185">
        <f>35000000</f>
        <v>35000000</v>
      </c>
      <c r="AI234" s="185">
        <f>AH234</f>
        <v>35000000</v>
      </c>
      <c r="AJ234" s="185">
        <v>35000000</v>
      </c>
      <c r="AK234" s="185"/>
      <c r="AL234" s="185"/>
      <c r="AM234" s="185"/>
      <c r="AN234" s="185"/>
      <c r="AO234" s="185"/>
      <c r="AP234" s="185"/>
      <c r="AQ234" s="185"/>
      <c r="AR234" s="185"/>
      <c r="AS234" s="185"/>
      <c r="AT234" s="189"/>
      <c r="AU234" s="189"/>
      <c r="AV234" s="189"/>
      <c r="AW234" s="185"/>
      <c r="AX234" s="185"/>
      <c r="AY234" s="185"/>
      <c r="AZ234" s="185"/>
      <c r="BA234" s="185"/>
      <c r="BB234" s="185"/>
      <c r="BC234" s="185"/>
      <c r="BD234" s="185"/>
      <c r="BE234" s="185"/>
      <c r="BF234" s="192">
        <f t="shared" si="19"/>
        <v>35000000</v>
      </c>
      <c r="BG234" s="192">
        <f t="shared" si="20"/>
        <v>35000000</v>
      </c>
      <c r="BH234" s="192">
        <f t="shared" si="21"/>
        <v>35000000</v>
      </c>
      <c r="BI234" s="398" t="s">
        <v>14</v>
      </c>
    </row>
    <row r="235" spans="1:69" s="394" customFormat="1" ht="66.75" customHeight="1">
      <c r="A235" s="423">
        <v>318</v>
      </c>
      <c r="B235" s="392" t="s">
        <v>933</v>
      </c>
      <c r="C235" s="423">
        <v>1</v>
      </c>
      <c r="D235" s="392" t="s">
        <v>148</v>
      </c>
      <c r="E235" s="423">
        <v>19</v>
      </c>
      <c r="F235" s="392" t="s">
        <v>756</v>
      </c>
      <c r="G235" s="423">
        <v>1905</v>
      </c>
      <c r="H235" s="392" t="s">
        <v>757</v>
      </c>
      <c r="I235" s="423">
        <v>1905</v>
      </c>
      <c r="J235" s="392" t="s">
        <v>1005</v>
      </c>
      <c r="K235" s="392" t="s">
        <v>949</v>
      </c>
      <c r="L235" s="423" t="s">
        <v>61</v>
      </c>
      <c r="M235" s="397" t="s">
        <v>1031</v>
      </c>
      <c r="N235" s="423">
        <v>1905024</v>
      </c>
      <c r="O235" s="392" t="s">
        <v>1026</v>
      </c>
      <c r="P235" s="423" t="s">
        <v>61</v>
      </c>
      <c r="Q235" s="397" t="s">
        <v>1032</v>
      </c>
      <c r="R235" s="388">
        <v>190502400</v>
      </c>
      <c r="S235" s="397" t="s">
        <v>1028</v>
      </c>
      <c r="T235" s="388" t="s">
        <v>69</v>
      </c>
      <c r="U235" s="388">
        <v>12</v>
      </c>
      <c r="V235" s="388"/>
      <c r="W235" s="388">
        <v>12</v>
      </c>
      <c r="X235" s="388">
        <v>11</v>
      </c>
      <c r="Y235" s="389">
        <v>2020003630123</v>
      </c>
      <c r="Z235" s="392" t="s">
        <v>1014</v>
      </c>
      <c r="AA235" s="546" t="s">
        <v>1015</v>
      </c>
      <c r="AB235" s="185"/>
      <c r="AC235" s="185"/>
      <c r="AD235" s="185"/>
      <c r="AE235" s="185"/>
      <c r="AF235" s="185"/>
      <c r="AG235" s="185"/>
      <c r="AH235" s="185">
        <f>35000000</f>
        <v>35000000</v>
      </c>
      <c r="AI235" s="185">
        <v>28459660</v>
      </c>
      <c r="AJ235" s="185">
        <v>28459660</v>
      </c>
      <c r="AK235" s="185"/>
      <c r="AL235" s="185"/>
      <c r="AM235" s="185"/>
      <c r="AN235" s="185"/>
      <c r="AO235" s="185"/>
      <c r="AP235" s="185"/>
      <c r="AQ235" s="185"/>
      <c r="AR235" s="185"/>
      <c r="AS235" s="185"/>
      <c r="AT235" s="189"/>
      <c r="AU235" s="189"/>
      <c r="AV235" s="189"/>
      <c r="AW235" s="185"/>
      <c r="AX235" s="185"/>
      <c r="AY235" s="185"/>
      <c r="AZ235" s="185"/>
      <c r="BA235" s="185"/>
      <c r="BB235" s="185"/>
      <c r="BC235" s="185"/>
      <c r="BD235" s="185"/>
      <c r="BE235" s="185"/>
      <c r="BF235" s="192">
        <f t="shared" si="19"/>
        <v>35000000</v>
      </c>
      <c r="BG235" s="192">
        <f t="shared" si="20"/>
        <v>28459660</v>
      </c>
      <c r="BH235" s="192">
        <f t="shared" si="21"/>
        <v>28459660</v>
      </c>
      <c r="BI235" s="398" t="s">
        <v>14</v>
      </c>
    </row>
    <row r="236" spans="1:69" s="394" customFormat="1" ht="66.75" customHeight="1">
      <c r="A236" s="423">
        <v>318</v>
      </c>
      <c r="B236" s="392" t="s">
        <v>933</v>
      </c>
      <c r="C236" s="423">
        <v>1</v>
      </c>
      <c r="D236" s="392" t="s">
        <v>148</v>
      </c>
      <c r="E236" s="423">
        <v>19</v>
      </c>
      <c r="F236" s="392" t="s">
        <v>756</v>
      </c>
      <c r="G236" s="423">
        <v>1905</v>
      </c>
      <c r="H236" s="392" t="s">
        <v>757</v>
      </c>
      <c r="I236" s="423">
        <v>1905</v>
      </c>
      <c r="J236" s="392" t="s">
        <v>1005</v>
      </c>
      <c r="K236" s="392" t="s">
        <v>983</v>
      </c>
      <c r="L236" s="423" t="s">
        <v>61</v>
      </c>
      <c r="M236" s="397" t="s">
        <v>1033</v>
      </c>
      <c r="N236" s="423">
        <v>1905024</v>
      </c>
      <c r="O236" s="392" t="s">
        <v>1026</v>
      </c>
      <c r="P236" s="423" t="s">
        <v>61</v>
      </c>
      <c r="Q236" s="397" t="s">
        <v>1034</v>
      </c>
      <c r="R236" s="388">
        <v>190502401</v>
      </c>
      <c r="S236" s="397" t="s">
        <v>1035</v>
      </c>
      <c r="T236" s="388" t="s">
        <v>157</v>
      </c>
      <c r="U236" s="388">
        <v>2</v>
      </c>
      <c r="V236" s="388"/>
      <c r="W236" s="388">
        <v>2</v>
      </c>
      <c r="X236" s="388">
        <v>2</v>
      </c>
      <c r="Y236" s="389">
        <v>2020003630123</v>
      </c>
      <c r="Z236" s="392" t="s">
        <v>1014</v>
      </c>
      <c r="AA236" s="546" t="s">
        <v>1015</v>
      </c>
      <c r="AB236" s="185"/>
      <c r="AC236" s="185"/>
      <c r="AD236" s="185"/>
      <c r="AE236" s="185"/>
      <c r="AF236" s="185"/>
      <c r="AG236" s="185"/>
      <c r="AH236" s="185">
        <v>35000000</v>
      </c>
      <c r="AI236" s="185">
        <v>29071883</v>
      </c>
      <c r="AJ236" s="286">
        <v>29071883</v>
      </c>
      <c r="AK236" s="185"/>
      <c r="AL236" s="185"/>
      <c r="AM236" s="185"/>
      <c r="AN236" s="185"/>
      <c r="AO236" s="185"/>
      <c r="AP236" s="185"/>
      <c r="AQ236" s="185"/>
      <c r="AR236" s="185"/>
      <c r="AS236" s="185"/>
      <c r="AT236" s="189"/>
      <c r="AU236" s="189"/>
      <c r="AV236" s="189"/>
      <c r="AW236" s="185"/>
      <c r="AX236" s="185"/>
      <c r="AY236" s="185"/>
      <c r="AZ236" s="185"/>
      <c r="BA236" s="185"/>
      <c r="BB236" s="185"/>
      <c r="BC236" s="185"/>
      <c r="BD236" s="185"/>
      <c r="BE236" s="185"/>
      <c r="BF236" s="192">
        <f t="shared" si="19"/>
        <v>35000000</v>
      </c>
      <c r="BG236" s="192">
        <f t="shared" si="20"/>
        <v>29071883</v>
      </c>
      <c r="BH236" s="192">
        <f t="shared" si="21"/>
        <v>29071883</v>
      </c>
      <c r="BI236" s="398" t="s">
        <v>14</v>
      </c>
    </row>
    <row r="237" spans="1:69" s="394" customFormat="1" ht="66.75" customHeight="1">
      <c r="A237" s="423">
        <v>318</v>
      </c>
      <c r="B237" s="392" t="s">
        <v>933</v>
      </c>
      <c r="C237" s="423">
        <v>1</v>
      </c>
      <c r="D237" s="392" t="s">
        <v>148</v>
      </c>
      <c r="E237" s="423">
        <v>19</v>
      </c>
      <c r="F237" s="392" t="s">
        <v>756</v>
      </c>
      <c r="G237" s="423">
        <v>1905</v>
      </c>
      <c r="H237" s="392" t="s">
        <v>757</v>
      </c>
      <c r="I237" s="423">
        <v>1905</v>
      </c>
      <c r="J237" s="392" t="s">
        <v>1005</v>
      </c>
      <c r="K237" s="392" t="s">
        <v>759</v>
      </c>
      <c r="L237" s="423">
        <v>1905021</v>
      </c>
      <c r="M237" s="397" t="s">
        <v>760</v>
      </c>
      <c r="N237" s="423">
        <v>1905021</v>
      </c>
      <c r="O237" s="392" t="s">
        <v>760</v>
      </c>
      <c r="P237" s="388">
        <v>190502100</v>
      </c>
      <c r="Q237" s="397" t="s">
        <v>761</v>
      </c>
      <c r="R237" s="388">
        <v>190502100</v>
      </c>
      <c r="S237" s="397" t="s">
        <v>761</v>
      </c>
      <c r="T237" s="401" t="s">
        <v>69</v>
      </c>
      <c r="U237" s="388">
        <v>12</v>
      </c>
      <c r="V237" s="388"/>
      <c r="W237" s="388">
        <v>12</v>
      </c>
      <c r="X237" s="388">
        <v>12</v>
      </c>
      <c r="Y237" s="389">
        <v>2020003630124</v>
      </c>
      <c r="Z237" s="392" t="s">
        <v>1036</v>
      </c>
      <c r="AA237" s="546" t="s">
        <v>1037</v>
      </c>
      <c r="AB237" s="185"/>
      <c r="AC237" s="185"/>
      <c r="AD237" s="185"/>
      <c r="AE237" s="185"/>
      <c r="AF237" s="185"/>
      <c r="AG237" s="185"/>
      <c r="AH237" s="185">
        <v>109801663</v>
      </c>
      <c r="AI237" s="185">
        <v>102769336</v>
      </c>
      <c r="AJ237" s="185">
        <v>83465247</v>
      </c>
      <c r="AK237" s="185">
        <v>25600000</v>
      </c>
      <c r="AL237" s="185">
        <v>25600000</v>
      </c>
      <c r="AM237" s="185">
        <v>20000000</v>
      </c>
      <c r="AN237" s="185"/>
      <c r="AO237" s="185"/>
      <c r="AP237" s="185"/>
      <c r="AQ237" s="185"/>
      <c r="AR237" s="185"/>
      <c r="AS237" s="185"/>
      <c r="AT237" s="189"/>
      <c r="AU237" s="189"/>
      <c r="AV237" s="189"/>
      <c r="AW237" s="185"/>
      <c r="AX237" s="185"/>
      <c r="AY237" s="185"/>
      <c r="AZ237" s="185"/>
      <c r="BA237" s="185"/>
      <c r="BB237" s="185"/>
      <c r="BC237" s="185"/>
      <c r="BD237" s="185"/>
      <c r="BE237" s="185"/>
      <c r="BF237" s="192">
        <f t="shared" si="19"/>
        <v>135401663</v>
      </c>
      <c r="BG237" s="192">
        <f t="shared" si="20"/>
        <v>128369336</v>
      </c>
      <c r="BH237" s="192">
        <f t="shared" si="21"/>
        <v>103465247</v>
      </c>
      <c r="BI237" s="398" t="s">
        <v>14</v>
      </c>
    </row>
    <row r="238" spans="1:69" s="394" customFormat="1" ht="66.75" customHeight="1">
      <c r="A238" s="423">
        <v>318</v>
      </c>
      <c r="B238" s="392" t="s">
        <v>933</v>
      </c>
      <c r="C238" s="423">
        <v>1</v>
      </c>
      <c r="D238" s="392" t="s">
        <v>148</v>
      </c>
      <c r="E238" s="423">
        <v>19</v>
      </c>
      <c r="F238" s="392" t="s">
        <v>756</v>
      </c>
      <c r="G238" s="423">
        <v>1905</v>
      </c>
      <c r="H238" s="392" t="s">
        <v>757</v>
      </c>
      <c r="I238" s="423">
        <v>1905</v>
      </c>
      <c r="J238" s="392" t="s">
        <v>1005</v>
      </c>
      <c r="K238" s="392" t="s">
        <v>1016</v>
      </c>
      <c r="L238" s="423" t="s">
        <v>61</v>
      </c>
      <c r="M238" s="397" t="s">
        <v>1038</v>
      </c>
      <c r="N238" s="423">
        <v>1905021</v>
      </c>
      <c r="O238" s="392" t="s">
        <v>1039</v>
      </c>
      <c r="P238" s="423" t="s">
        <v>61</v>
      </c>
      <c r="Q238" s="397" t="s">
        <v>1020</v>
      </c>
      <c r="R238" s="423">
        <v>190502100</v>
      </c>
      <c r="S238" s="397" t="s">
        <v>1040</v>
      </c>
      <c r="T238" s="401" t="s">
        <v>69</v>
      </c>
      <c r="U238" s="388">
        <v>11</v>
      </c>
      <c r="V238" s="388"/>
      <c r="W238" s="388">
        <v>11</v>
      </c>
      <c r="X238" s="388">
        <v>12</v>
      </c>
      <c r="Y238" s="389">
        <v>2020003630124</v>
      </c>
      <c r="Z238" s="392" t="s">
        <v>1036</v>
      </c>
      <c r="AA238" s="546" t="s">
        <v>1037</v>
      </c>
      <c r="AB238" s="185"/>
      <c r="AC238" s="185"/>
      <c r="AD238" s="185"/>
      <c r="AE238" s="185"/>
      <c r="AF238" s="185"/>
      <c r="AG238" s="185"/>
      <c r="AH238" s="185">
        <v>90198337</v>
      </c>
      <c r="AI238" s="185">
        <f>192319995-AI237</f>
        <v>89550659</v>
      </c>
      <c r="AJ238" s="185">
        <v>89550659</v>
      </c>
      <c r="AK238" s="185">
        <v>14400000</v>
      </c>
      <c r="AL238" s="185">
        <v>14400000</v>
      </c>
      <c r="AM238" s="185">
        <v>14400000</v>
      </c>
      <c r="AN238" s="185"/>
      <c r="AO238" s="185"/>
      <c r="AP238" s="185"/>
      <c r="AQ238" s="185"/>
      <c r="AR238" s="185"/>
      <c r="AS238" s="185"/>
      <c r="AT238" s="189"/>
      <c r="AU238" s="189"/>
      <c r="AV238" s="189"/>
      <c r="AW238" s="185"/>
      <c r="AX238" s="185"/>
      <c r="AY238" s="185"/>
      <c r="AZ238" s="185"/>
      <c r="BA238" s="185"/>
      <c r="BB238" s="185"/>
      <c r="BC238" s="185"/>
      <c r="BD238" s="185"/>
      <c r="BE238" s="185"/>
      <c r="BF238" s="192">
        <f t="shared" si="19"/>
        <v>104598337</v>
      </c>
      <c r="BG238" s="192">
        <f t="shared" si="20"/>
        <v>103950659</v>
      </c>
      <c r="BH238" s="192">
        <f t="shared" si="21"/>
        <v>103950659</v>
      </c>
      <c r="BI238" s="398" t="s">
        <v>14</v>
      </c>
    </row>
    <row r="239" spans="1:69" s="394" customFormat="1" ht="66.75" customHeight="1">
      <c r="A239" s="423">
        <v>318</v>
      </c>
      <c r="B239" s="392" t="s">
        <v>933</v>
      </c>
      <c r="C239" s="423">
        <v>1</v>
      </c>
      <c r="D239" s="392" t="s">
        <v>148</v>
      </c>
      <c r="E239" s="423">
        <v>19</v>
      </c>
      <c r="F239" s="392" t="s">
        <v>756</v>
      </c>
      <c r="G239" s="423">
        <v>1905</v>
      </c>
      <c r="H239" s="392" t="s">
        <v>757</v>
      </c>
      <c r="I239" s="423">
        <v>1905</v>
      </c>
      <c r="J239" s="392" t="s">
        <v>1005</v>
      </c>
      <c r="K239" s="392" t="s">
        <v>1002</v>
      </c>
      <c r="L239" s="423">
        <v>1905020</v>
      </c>
      <c r="M239" s="397" t="s">
        <v>1041</v>
      </c>
      <c r="N239" s="425">
        <v>1905020</v>
      </c>
      <c r="O239" s="392" t="s">
        <v>1041</v>
      </c>
      <c r="P239" s="388">
        <v>190502000</v>
      </c>
      <c r="Q239" s="397" t="s">
        <v>1042</v>
      </c>
      <c r="R239" s="388">
        <v>190502000</v>
      </c>
      <c r="S239" s="397" t="s">
        <v>1042</v>
      </c>
      <c r="T239" s="388" t="s">
        <v>69</v>
      </c>
      <c r="U239" s="388">
        <v>12</v>
      </c>
      <c r="V239" s="388"/>
      <c r="W239" s="388">
        <v>12</v>
      </c>
      <c r="X239" s="388">
        <v>11</v>
      </c>
      <c r="Y239" s="389">
        <v>2020003630125</v>
      </c>
      <c r="Z239" s="393" t="s">
        <v>1043</v>
      </c>
      <c r="AA239" s="546" t="s">
        <v>1044</v>
      </c>
      <c r="AB239" s="185"/>
      <c r="AC239" s="185"/>
      <c r="AD239" s="185"/>
      <c r="AE239" s="185"/>
      <c r="AF239" s="185"/>
      <c r="AG239" s="185"/>
      <c r="AH239" s="189">
        <v>50000000</v>
      </c>
      <c r="AI239" s="189">
        <v>46663334</v>
      </c>
      <c r="AJ239" s="189">
        <v>46663334</v>
      </c>
      <c r="AK239" s="185">
        <v>4062000</v>
      </c>
      <c r="AL239" s="185">
        <v>4062000</v>
      </c>
      <c r="AM239" s="185">
        <v>4062000</v>
      </c>
      <c r="AN239" s="185"/>
      <c r="AO239" s="185"/>
      <c r="AP239" s="185"/>
      <c r="AQ239" s="185"/>
      <c r="AR239" s="185"/>
      <c r="AS239" s="185"/>
      <c r="AT239" s="189"/>
      <c r="AU239" s="189"/>
      <c r="AV239" s="189"/>
      <c r="AW239" s="185"/>
      <c r="AX239" s="185"/>
      <c r="AY239" s="185"/>
      <c r="AZ239" s="185"/>
      <c r="BA239" s="185"/>
      <c r="BB239" s="185"/>
      <c r="BC239" s="185"/>
      <c r="BD239" s="185"/>
      <c r="BE239" s="185"/>
      <c r="BF239" s="192">
        <f t="shared" si="19"/>
        <v>54062000</v>
      </c>
      <c r="BG239" s="192">
        <f t="shared" si="20"/>
        <v>50725334</v>
      </c>
      <c r="BH239" s="192">
        <f t="shared" si="21"/>
        <v>50725334</v>
      </c>
      <c r="BI239" s="398" t="s">
        <v>14</v>
      </c>
    </row>
    <row r="240" spans="1:69" s="394" customFormat="1" ht="66.75" customHeight="1">
      <c r="A240" s="423">
        <v>318</v>
      </c>
      <c r="B240" s="392" t="s">
        <v>933</v>
      </c>
      <c r="C240" s="423">
        <v>1</v>
      </c>
      <c r="D240" s="392" t="s">
        <v>148</v>
      </c>
      <c r="E240" s="423">
        <v>19</v>
      </c>
      <c r="F240" s="392" t="s">
        <v>756</v>
      </c>
      <c r="G240" s="423">
        <v>1905</v>
      </c>
      <c r="H240" s="392" t="s">
        <v>757</v>
      </c>
      <c r="I240" s="423">
        <v>1905</v>
      </c>
      <c r="J240" s="392" t="s">
        <v>1005</v>
      </c>
      <c r="K240" s="392" t="s">
        <v>764</v>
      </c>
      <c r="L240" s="423">
        <v>1905022</v>
      </c>
      <c r="M240" s="397" t="s">
        <v>765</v>
      </c>
      <c r="N240" s="425">
        <v>1905022</v>
      </c>
      <c r="O240" s="392" t="s">
        <v>765</v>
      </c>
      <c r="P240" s="388">
        <v>190502200</v>
      </c>
      <c r="Q240" s="397" t="s">
        <v>766</v>
      </c>
      <c r="R240" s="388">
        <v>190502200</v>
      </c>
      <c r="S240" s="397" t="s">
        <v>766</v>
      </c>
      <c r="T240" s="388" t="s">
        <v>69</v>
      </c>
      <c r="U240" s="388">
        <v>12</v>
      </c>
      <c r="V240" s="388"/>
      <c r="W240" s="388">
        <v>12</v>
      </c>
      <c r="X240" s="388">
        <v>11</v>
      </c>
      <c r="Y240" s="389">
        <v>2020003630125</v>
      </c>
      <c r="Z240" s="392" t="s">
        <v>1043</v>
      </c>
      <c r="AA240" s="546" t="s">
        <v>1044</v>
      </c>
      <c r="AB240" s="185"/>
      <c r="AC240" s="185"/>
      <c r="AD240" s="185"/>
      <c r="AE240" s="185"/>
      <c r="AF240" s="185"/>
      <c r="AG240" s="185"/>
      <c r="AH240" s="189">
        <v>57413133</v>
      </c>
      <c r="AI240" s="189">
        <v>56469000</v>
      </c>
      <c r="AJ240" s="189">
        <v>56469000</v>
      </c>
      <c r="AK240" s="185">
        <v>5638000</v>
      </c>
      <c r="AL240" s="185">
        <v>5638000</v>
      </c>
      <c r="AM240" s="185">
        <v>5638000</v>
      </c>
      <c r="AN240" s="185"/>
      <c r="AO240" s="185"/>
      <c r="AP240" s="185"/>
      <c r="AQ240" s="185"/>
      <c r="AR240" s="185"/>
      <c r="AS240" s="185"/>
      <c r="AT240" s="189"/>
      <c r="AU240" s="189"/>
      <c r="AV240" s="189"/>
      <c r="AW240" s="185"/>
      <c r="AX240" s="185"/>
      <c r="AY240" s="185"/>
      <c r="AZ240" s="185"/>
      <c r="BA240" s="185"/>
      <c r="BB240" s="185"/>
      <c r="BC240" s="185"/>
      <c r="BD240" s="185"/>
      <c r="BE240" s="185"/>
      <c r="BF240" s="192">
        <f t="shared" si="19"/>
        <v>63051133</v>
      </c>
      <c r="BG240" s="192">
        <f t="shared" si="20"/>
        <v>62107000</v>
      </c>
      <c r="BH240" s="192">
        <f t="shared" si="21"/>
        <v>62107000</v>
      </c>
      <c r="BI240" s="398" t="s">
        <v>14</v>
      </c>
    </row>
    <row r="241" spans="1:69" s="394" customFormat="1" ht="66.75" customHeight="1">
      <c r="A241" s="423">
        <v>318</v>
      </c>
      <c r="B241" s="392" t="s">
        <v>933</v>
      </c>
      <c r="C241" s="423">
        <v>1</v>
      </c>
      <c r="D241" s="392" t="s">
        <v>148</v>
      </c>
      <c r="E241" s="423">
        <v>19</v>
      </c>
      <c r="F241" s="392" t="s">
        <v>756</v>
      </c>
      <c r="G241" s="423">
        <v>1905</v>
      </c>
      <c r="H241" s="392" t="s">
        <v>757</v>
      </c>
      <c r="I241" s="423">
        <v>1905</v>
      </c>
      <c r="J241" s="392" t="s">
        <v>1005</v>
      </c>
      <c r="K241" s="392" t="s">
        <v>1047</v>
      </c>
      <c r="L241" s="423">
        <v>1905012</v>
      </c>
      <c r="M241" s="397" t="s">
        <v>1048</v>
      </c>
      <c r="N241" s="423">
        <v>1905012</v>
      </c>
      <c r="O241" s="392" t="s">
        <v>1048</v>
      </c>
      <c r="P241" s="388">
        <v>190501200</v>
      </c>
      <c r="Q241" s="397" t="s">
        <v>1048</v>
      </c>
      <c r="R241" s="388">
        <v>190501200</v>
      </c>
      <c r="S241" s="397" t="s">
        <v>1048</v>
      </c>
      <c r="T241" s="388" t="s">
        <v>69</v>
      </c>
      <c r="U241" s="388">
        <v>1</v>
      </c>
      <c r="V241" s="388"/>
      <c r="W241" s="388">
        <v>1</v>
      </c>
      <c r="X241" s="388">
        <v>0.9</v>
      </c>
      <c r="Y241" s="389">
        <v>2020003630127</v>
      </c>
      <c r="Z241" s="393" t="s">
        <v>1049</v>
      </c>
      <c r="AA241" s="546" t="s">
        <v>1050</v>
      </c>
      <c r="AB241" s="185"/>
      <c r="AC241" s="185"/>
      <c r="AD241" s="185"/>
      <c r="AE241" s="185"/>
      <c r="AF241" s="185"/>
      <c r="AG241" s="185"/>
      <c r="AH241" s="185">
        <f>15000000+200000000-100000000+49786050</f>
        <v>164786050</v>
      </c>
      <c r="AI241" s="185">
        <v>147513333</v>
      </c>
      <c r="AJ241" s="185">
        <v>147513333</v>
      </c>
      <c r="AK241" s="185">
        <v>18866700</v>
      </c>
      <c r="AL241" s="185"/>
      <c r="AM241" s="185"/>
      <c r="AN241" s="185"/>
      <c r="AO241" s="185"/>
      <c r="AP241" s="185"/>
      <c r="AQ241" s="185"/>
      <c r="AR241" s="185"/>
      <c r="AS241" s="185"/>
      <c r="AT241" s="189"/>
      <c r="AU241" s="189"/>
      <c r="AV241" s="189"/>
      <c r="AW241" s="185"/>
      <c r="AX241" s="185"/>
      <c r="AY241" s="185"/>
      <c r="AZ241" s="185"/>
      <c r="BA241" s="185"/>
      <c r="BB241" s="185"/>
      <c r="BC241" s="192"/>
      <c r="BD241" s="192"/>
      <c r="BE241" s="192"/>
      <c r="BF241" s="192">
        <f t="shared" si="19"/>
        <v>183652750</v>
      </c>
      <c r="BG241" s="192">
        <f t="shared" si="20"/>
        <v>147513333</v>
      </c>
      <c r="BH241" s="192">
        <f t="shared" si="21"/>
        <v>147513333</v>
      </c>
      <c r="BI241" s="398" t="s">
        <v>14</v>
      </c>
    </row>
    <row r="242" spans="1:69" s="394" customFormat="1" ht="66.75" customHeight="1">
      <c r="A242" s="423">
        <v>318</v>
      </c>
      <c r="B242" s="392" t="s">
        <v>933</v>
      </c>
      <c r="C242" s="423">
        <v>1</v>
      </c>
      <c r="D242" s="392" t="s">
        <v>148</v>
      </c>
      <c r="E242" s="423">
        <v>19</v>
      </c>
      <c r="F242" s="392" t="s">
        <v>756</v>
      </c>
      <c r="G242" s="423">
        <v>1905</v>
      </c>
      <c r="H242" s="392" t="s">
        <v>757</v>
      </c>
      <c r="I242" s="423">
        <v>1905</v>
      </c>
      <c r="J242" s="392" t="s">
        <v>1005</v>
      </c>
      <c r="K242" s="392" t="s">
        <v>1051</v>
      </c>
      <c r="L242" s="423">
        <v>1905026</v>
      </c>
      <c r="M242" s="397" t="s">
        <v>1052</v>
      </c>
      <c r="N242" s="423">
        <v>1905026</v>
      </c>
      <c r="O242" s="392" t="s">
        <v>1052</v>
      </c>
      <c r="P242" s="388">
        <v>190502600</v>
      </c>
      <c r="Q242" s="397" t="s">
        <v>1053</v>
      </c>
      <c r="R242" s="388">
        <v>190502600</v>
      </c>
      <c r="S242" s="397" t="s">
        <v>1053</v>
      </c>
      <c r="T242" s="401" t="s">
        <v>69</v>
      </c>
      <c r="U242" s="388">
        <v>12</v>
      </c>
      <c r="V242" s="388"/>
      <c r="W242" s="388">
        <v>12</v>
      </c>
      <c r="X242" s="388">
        <v>12</v>
      </c>
      <c r="Y242" s="389">
        <v>2020003630127</v>
      </c>
      <c r="Z242" s="393" t="s">
        <v>1049</v>
      </c>
      <c r="AA242" s="546" t="s">
        <v>1050</v>
      </c>
      <c r="AB242" s="185"/>
      <c r="AC242" s="185"/>
      <c r="AD242" s="185"/>
      <c r="AE242" s="185"/>
      <c r="AF242" s="185"/>
      <c r="AG242" s="185"/>
      <c r="AH242" s="185">
        <v>20000000</v>
      </c>
      <c r="AI242" s="185">
        <v>19510000</v>
      </c>
      <c r="AJ242" s="185">
        <v>19510000</v>
      </c>
      <c r="AK242" s="192">
        <v>18300000</v>
      </c>
      <c r="AL242" s="192">
        <v>16180000</v>
      </c>
      <c r="AM242" s="192">
        <v>16180000</v>
      </c>
      <c r="AN242" s="185"/>
      <c r="AO242" s="185"/>
      <c r="AP242" s="185"/>
      <c r="AQ242" s="185"/>
      <c r="AR242" s="185"/>
      <c r="AS242" s="185"/>
      <c r="AT242" s="189"/>
      <c r="AU242" s="189"/>
      <c r="AV242" s="189"/>
      <c r="AW242" s="185"/>
      <c r="AX242" s="185"/>
      <c r="AY242" s="185"/>
      <c r="AZ242" s="185"/>
      <c r="BA242" s="185"/>
      <c r="BB242" s="185"/>
      <c r="BC242" s="185"/>
      <c r="BD242" s="185"/>
      <c r="BE242" s="185"/>
      <c r="BF242" s="192">
        <f t="shared" si="19"/>
        <v>38300000</v>
      </c>
      <c r="BG242" s="192">
        <f t="shared" si="20"/>
        <v>35690000</v>
      </c>
      <c r="BH242" s="192">
        <f t="shared" si="21"/>
        <v>35690000</v>
      </c>
      <c r="BI242" s="398" t="s">
        <v>14</v>
      </c>
    </row>
    <row r="243" spans="1:69" s="394" customFormat="1" ht="66.75" customHeight="1">
      <c r="A243" s="423">
        <v>318</v>
      </c>
      <c r="B243" s="392" t="s">
        <v>933</v>
      </c>
      <c r="C243" s="423">
        <v>1</v>
      </c>
      <c r="D243" s="392" t="s">
        <v>148</v>
      </c>
      <c r="E243" s="423">
        <v>19</v>
      </c>
      <c r="F243" s="392" t="s">
        <v>756</v>
      </c>
      <c r="G243" s="423">
        <v>1905</v>
      </c>
      <c r="H243" s="392" t="s">
        <v>757</v>
      </c>
      <c r="I243" s="423">
        <v>1905</v>
      </c>
      <c r="J243" s="392" t="s">
        <v>1005</v>
      </c>
      <c r="K243" s="392" t="s">
        <v>1047</v>
      </c>
      <c r="L243" s="423">
        <v>1905027</v>
      </c>
      <c r="M243" s="397" t="s">
        <v>1054</v>
      </c>
      <c r="N243" s="423">
        <v>1905027</v>
      </c>
      <c r="O243" s="392" t="s">
        <v>1054</v>
      </c>
      <c r="P243" s="388">
        <v>190502700</v>
      </c>
      <c r="Q243" s="393" t="s">
        <v>1055</v>
      </c>
      <c r="R243" s="388">
        <v>190502700</v>
      </c>
      <c r="S243" s="397" t="s">
        <v>1055</v>
      </c>
      <c r="T243" s="388" t="s">
        <v>69</v>
      </c>
      <c r="U243" s="388">
        <v>12</v>
      </c>
      <c r="V243" s="388"/>
      <c r="W243" s="388">
        <v>12</v>
      </c>
      <c r="X243" s="388">
        <v>12</v>
      </c>
      <c r="Y243" s="389">
        <v>2020003630127</v>
      </c>
      <c r="Z243" s="392" t="s">
        <v>1049</v>
      </c>
      <c r="AA243" s="546" t="s">
        <v>1050</v>
      </c>
      <c r="AB243" s="185"/>
      <c r="AC243" s="185"/>
      <c r="AD243" s="185"/>
      <c r="AE243" s="185"/>
      <c r="AF243" s="185"/>
      <c r="AG243" s="185"/>
      <c r="AH243" s="185">
        <f>20000000+100000000</f>
        <v>120000000</v>
      </c>
      <c r="AI243" s="185">
        <v>74363334</v>
      </c>
      <c r="AJ243" s="185">
        <v>74363334</v>
      </c>
      <c r="AK243" s="192">
        <v>28833300</v>
      </c>
      <c r="AL243" s="192">
        <v>8546666</v>
      </c>
      <c r="AM243" s="192">
        <v>8546666</v>
      </c>
      <c r="AN243" s="185"/>
      <c r="AO243" s="185"/>
      <c r="AP243" s="185"/>
      <c r="AQ243" s="185"/>
      <c r="AR243" s="185"/>
      <c r="AS243" s="185"/>
      <c r="AT243" s="189"/>
      <c r="AU243" s="189"/>
      <c r="AV243" s="189"/>
      <c r="AW243" s="185"/>
      <c r="AX243" s="185"/>
      <c r="AY243" s="185"/>
      <c r="AZ243" s="185"/>
      <c r="BA243" s="185"/>
      <c r="BB243" s="185"/>
      <c r="BC243" s="185"/>
      <c r="BD243" s="185"/>
      <c r="BE243" s="185"/>
      <c r="BF243" s="192">
        <f t="shared" si="19"/>
        <v>148833300</v>
      </c>
      <c r="BG243" s="192">
        <f t="shared" si="20"/>
        <v>82910000</v>
      </c>
      <c r="BH243" s="192">
        <f t="shared" si="21"/>
        <v>82910000</v>
      </c>
      <c r="BI243" s="398" t="s">
        <v>14</v>
      </c>
    </row>
    <row r="244" spans="1:69" s="394" customFormat="1" ht="66.75" customHeight="1">
      <c r="A244" s="423">
        <v>318</v>
      </c>
      <c r="B244" s="392" t="s">
        <v>933</v>
      </c>
      <c r="C244" s="423">
        <v>1</v>
      </c>
      <c r="D244" s="392" t="s">
        <v>148</v>
      </c>
      <c r="E244" s="423">
        <v>19</v>
      </c>
      <c r="F244" s="392" t="s">
        <v>756</v>
      </c>
      <c r="G244" s="423">
        <v>1905</v>
      </c>
      <c r="H244" s="392" t="s">
        <v>757</v>
      </c>
      <c r="I244" s="423">
        <v>1905</v>
      </c>
      <c r="J244" s="392" t="s">
        <v>1005</v>
      </c>
      <c r="K244" s="392" t="s">
        <v>1056</v>
      </c>
      <c r="L244" s="423" t="s">
        <v>61</v>
      </c>
      <c r="M244" s="397" t="s">
        <v>1029</v>
      </c>
      <c r="N244" s="423">
        <v>1905015</v>
      </c>
      <c r="O244" s="392" t="s">
        <v>375</v>
      </c>
      <c r="P244" s="423" t="s">
        <v>61</v>
      </c>
      <c r="Q244" s="397" t="s">
        <v>1030</v>
      </c>
      <c r="R244" s="388" t="s">
        <v>1057</v>
      </c>
      <c r="S244" s="397" t="s">
        <v>256</v>
      </c>
      <c r="T244" s="401" t="s">
        <v>157</v>
      </c>
      <c r="U244" s="388">
        <v>2</v>
      </c>
      <c r="V244" s="388"/>
      <c r="W244" s="388">
        <f>U244+V244</f>
        <v>2</v>
      </c>
      <c r="X244" s="388">
        <v>2</v>
      </c>
      <c r="Y244" s="389">
        <v>2020003630128</v>
      </c>
      <c r="Z244" s="392" t="s">
        <v>1058</v>
      </c>
      <c r="AA244" s="546" t="s">
        <v>1059</v>
      </c>
      <c r="AB244" s="185"/>
      <c r="AC244" s="185"/>
      <c r="AD244" s="185"/>
      <c r="AE244" s="185"/>
      <c r="AF244" s="185"/>
      <c r="AG244" s="185"/>
      <c r="AH244" s="185">
        <v>20000000</v>
      </c>
      <c r="AI244" s="185">
        <f>AH244</f>
        <v>20000000</v>
      </c>
      <c r="AJ244" s="185">
        <v>20000000</v>
      </c>
      <c r="AK244" s="185"/>
      <c r="AL244" s="185"/>
      <c r="AM244" s="185"/>
      <c r="AN244" s="185"/>
      <c r="AO244" s="185"/>
      <c r="AP244" s="185"/>
      <c r="AQ244" s="185"/>
      <c r="AR244" s="185"/>
      <c r="AS244" s="185"/>
      <c r="AT244" s="189"/>
      <c r="AU244" s="189"/>
      <c r="AV244" s="189"/>
      <c r="AW244" s="185"/>
      <c r="AX244" s="185"/>
      <c r="AY244" s="185"/>
      <c r="AZ244" s="185"/>
      <c r="BA244" s="185"/>
      <c r="BB244" s="185"/>
      <c r="BC244" s="185"/>
      <c r="BD244" s="185"/>
      <c r="BE244" s="185"/>
      <c r="BF244" s="192">
        <f t="shared" si="19"/>
        <v>20000000</v>
      </c>
      <c r="BG244" s="192">
        <f t="shared" si="20"/>
        <v>20000000</v>
      </c>
      <c r="BH244" s="192">
        <f t="shared" si="21"/>
        <v>20000000</v>
      </c>
      <c r="BI244" s="398" t="s">
        <v>14</v>
      </c>
    </row>
    <row r="245" spans="1:69" s="394" customFormat="1" ht="66.75" customHeight="1">
      <c r="A245" s="423">
        <v>318</v>
      </c>
      <c r="B245" s="392" t="s">
        <v>933</v>
      </c>
      <c r="C245" s="423">
        <v>1</v>
      </c>
      <c r="D245" s="392" t="s">
        <v>148</v>
      </c>
      <c r="E245" s="423">
        <v>19</v>
      </c>
      <c r="F245" s="392" t="s">
        <v>756</v>
      </c>
      <c r="G245" s="423">
        <v>1905</v>
      </c>
      <c r="H245" s="392" t="s">
        <v>757</v>
      </c>
      <c r="I245" s="423">
        <v>1905</v>
      </c>
      <c r="J245" s="392" t="s">
        <v>1005</v>
      </c>
      <c r="K245" s="392" t="s">
        <v>949</v>
      </c>
      <c r="L245" s="423">
        <v>1905014</v>
      </c>
      <c r="M245" s="397" t="s">
        <v>101</v>
      </c>
      <c r="N245" s="423">
        <v>1905014</v>
      </c>
      <c r="O245" s="392" t="s">
        <v>101</v>
      </c>
      <c r="P245" s="423">
        <v>190501400</v>
      </c>
      <c r="Q245" s="393" t="s">
        <v>540</v>
      </c>
      <c r="R245" s="423">
        <v>190501400</v>
      </c>
      <c r="S245" s="397" t="s">
        <v>540</v>
      </c>
      <c r="T245" s="388" t="s">
        <v>69</v>
      </c>
      <c r="U245" s="388">
        <v>12</v>
      </c>
      <c r="V245" s="388"/>
      <c r="W245" s="388">
        <v>12</v>
      </c>
      <c r="X245" s="388">
        <v>12</v>
      </c>
      <c r="Y245" s="389">
        <v>2020003630129</v>
      </c>
      <c r="Z245" s="392" t="s">
        <v>1060</v>
      </c>
      <c r="AA245" s="546" t="s">
        <v>1061</v>
      </c>
      <c r="AB245" s="185"/>
      <c r="AC245" s="185"/>
      <c r="AD245" s="185"/>
      <c r="AE245" s="185"/>
      <c r="AF245" s="185"/>
      <c r="AG245" s="185"/>
      <c r="AH245" s="185">
        <f>30000000+160639061.29-80000000</f>
        <v>110639061.28999999</v>
      </c>
      <c r="AI245" s="185">
        <v>40943334</v>
      </c>
      <c r="AJ245" s="185">
        <v>40943334</v>
      </c>
      <c r="AK245" s="185"/>
      <c r="AL245" s="185"/>
      <c r="AM245" s="185"/>
      <c r="AN245" s="185"/>
      <c r="AO245" s="185"/>
      <c r="AP245" s="185"/>
      <c r="AQ245" s="185"/>
      <c r="AR245" s="185"/>
      <c r="AS245" s="185"/>
      <c r="AT245" s="189"/>
      <c r="AU245" s="189"/>
      <c r="AV245" s="189"/>
      <c r="AW245" s="185"/>
      <c r="AX245" s="185"/>
      <c r="AY245" s="185"/>
      <c r="AZ245" s="185"/>
      <c r="BA245" s="185"/>
      <c r="BB245" s="185"/>
      <c r="BC245" s="185"/>
      <c r="BD245" s="185"/>
      <c r="BE245" s="185"/>
      <c r="BF245" s="192">
        <f t="shared" si="19"/>
        <v>110639061.28999999</v>
      </c>
      <c r="BG245" s="192">
        <f t="shared" si="20"/>
        <v>40943334</v>
      </c>
      <c r="BH245" s="192">
        <f t="shared" si="21"/>
        <v>40943334</v>
      </c>
      <c r="BI245" s="398" t="s">
        <v>14</v>
      </c>
    </row>
    <row r="246" spans="1:69" s="394" customFormat="1" ht="66.75" customHeight="1">
      <c r="A246" s="423">
        <v>318</v>
      </c>
      <c r="B246" s="392" t="s">
        <v>933</v>
      </c>
      <c r="C246" s="423">
        <v>1</v>
      </c>
      <c r="D246" s="392" t="s">
        <v>148</v>
      </c>
      <c r="E246" s="423">
        <v>19</v>
      </c>
      <c r="F246" s="392" t="s">
        <v>756</v>
      </c>
      <c r="G246" s="423">
        <v>1905</v>
      </c>
      <c r="H246" s="392" t="s">
        <v>757</v>
      </c>
      <c r="I246" s="423">
        <v>1905</v>
      </c>
      <c r="J246" s="392" t="s">
        <v>1005</v>
      </c>
      <c r="K246" s="392" t="s">
        <v>978</v>
      </c>
      <c r="L246" s="423">
        <v>1905015</v>
      </c>
      <c r="M246" s="397" t="s">
        <v>254</v>
      </c>
      <c r="N246" s="423">
        <v>1905015</v>
      </c>
      <c r="O246" s="392" t="s">
        <v>254</v>
      </c>
      <c r="P246" s="423">
        <v>190501503</v>
      </c>
      <c r="Q246" s="397" t="s">
        <v>1062</v>
      </c>
      <c r="R246" s="423">
        <v>190501503</v>
      </c>
      <c r="S246" s="397" t="s">
        <v>1062</v>
      </c>
      <c r="T246" s="388" t="s">
        <v>69</v>
      </c>
      <c r="U246" s="388">
        <v>15</v>
      </c>
      <c r="V246" s="388"/>
      <c r="W246" s="388">
        <v>15</v>
      </c>
      <c r="X246" s="388">
        <v>15</v>
      </c>
      <c r="Y246" s="389">
        <v>2020003630133</v>
      </c>
      <c r="Z246" s="412" t="s">
        <v>1063</v>
      </c>
      <c r="AA246" s="546" t="s">
        <v>1064</v>
      </c>
      <c r="AB246" s="185"/>
      <c r="AC246" s="185"/>
      <c r="AD246" s="185"/>
      <c r="AE246" s="185"/>
      <c r="AF246" s="185"/>
      <c r="AG246" s="185"/>
      <c r="AH246" s="194">
        <v>600000000</v>
      </c>
      <c r="AI246" s="194">
        <v>509510328</v>
      </c>
      <c r="AJ246" s="194">
        <v>509510328</v>
      </c>
      <c r="AK246" s="185"/>
      <c r="AL246" s="185"/>
      <c r="AM246" s="185"/>
      <c r="AN246" s="185"/>
      <c r="AO246" s="185"/>
      <c r="AP246" s="185"/>
      <c r="AQ246" s="185"/>
      <c r="AR246" s="185"/>
      <c r="AS246" s="185"/>
      <c r="AT246" s="189"/>
      <c r="AU246" s="189"/>
      <c r="AV246" s="189"/>
      <c r="AW246" s="185"/>
      <c r="AX246" s="185"/>
      <c r="AY246" s="185"/>
      <c r="AZ246" s="185"/>
      <c r="BA246" s="185"/>
      <c r="BB246" s="185"/>
      <c r="BC246" s="185"/>
      <c r="BD246" s="185"/>
      <c r="BE246" s="185"/>
      <c r="BF246" s="192">
        <f t="shared" si="19"/>
        <v>600000000</v>
      </c>
      <c r="BG246" s="192">
        <f t="shared" si="20"/>
        <v>509510328</v>
      </c>
      <c r="BH246" s="192">
        <f t="shared" si="21"/>
        <v>509510328</v>
      </c>
      <c r="BI246" s="398" t="s">
        <v>14</v>
      </c>
    </row>
    <row r="247" spans="1:69" s="394" customFormat="1" ht="66.75" customHeight="1">
      <c r="A247" s="423">
        <v>318</v>
      </c>
      <c r="B247" s="392" t="s">
        <v>933</v>
      </c>
      <c r="C247" s="423">
        <v>1</v>
      </c>
      <c r="D247" s="392" t="s">
        <v>148</v>
      </c>
      <c r="E247" s="423">
        <v>19</v>
      </c>
      <c r="F247" s="392" t="s">
        <v>756</v>
      </c>
      <c r="G247" s="423">
        <v>1905</v>
      </c>
      <c r="H247" s="392" t="s">
        <v>757</v>
      </c>
      <c r="I247" s="423">
        <v>1905</v>
      </c>
      <c r="J247" s="392" t="s">
        <v>1005</v>
      </c>
      <c r="K247" s="392" t="s">
        <v>1065</v>
      </c>
      <c r="L247" s="423" t="s">
        <v>61</v>
      </c>
      <c r="M247" s="397" t="s">
        <v>1066</v>
      </c>
      <c r="N247" s="423">
        <v>1905009</v>
      </c>
      <c r="O247" s="392" t="s">
        <v>1067</v>
      </c>
      <c r="P247" s="423" t="s">
        <v>61</v>
      </c>
      <c r="Q247" s="397" t="s">
        <v>1068</v>
      </c>
      <c r="R247" s="423">
        <v>190500900</v>
      </c>
      <c r="S247" s="397" t="s">
        <v>1069</v>
      </c>
      <c r="T247" s="388" t="s">
        <v>69</v>
      </c>
      <c r="U247" s="388">
        <v>1</v>
      </c>
      <c r="V247" s="388"/>
      <c r="W247" s="388">
        <v>1</v>
      </c>
      <c r="X247" s="388">
        <v>1</v>
      </c>
      <c r="Y247" s="389">
        <v>2020003630134</v>
      </c>
      <c r="Z247" s="412" t="s">
        <v>1070</v>
      </c>
      <c r="AA247" s="546" t="s">
        <v>1071</v>
      </c>
      <c r="AB247" s="185"/>
      <c r="AC247" s="185"/>
      <c r="AD247" s="185"/>
      <c r="AE247" s="185"/>
      <c r="AF247" s="185"/>
      <c r="AG247" s="185"/>
      <c r="AH247" s="185"/>
      <c r="AI247" s="185"/>
      <c r="AJ247" s="185"/>
      <c r="AK247" s="286"/>
      <c r="AL247" s="286"/>
      <c r="AM247" s="286"/>
      <c r="AN247" s="185"/>
      <c r="AO247" s="185"/>
      <c r="AP247" s="185"/>
      <c r="AQ247" s="185"/>
      <c r="AR247" s="185"/>
      <c r="AS247" s="185"/>
      <c r="AT247" s="189">
        <f>300000000+45000000</f>
        <v>345000000</v>
      </c>
      <c r="AU247" s="189">
        <v>323681666</v>
      </c>
      <c r="AV247" s="189">
        <v>323681666</v>
      </c>
      <c r="AW247" s="185"/>
      <c r="AX247" s="185"/>
      <c r="AY247" s="185"/>
      <c r="AZ247" s="185"/>
      <c r="BA247" s="185"/>
      <c r="BB247" s="185"/>
      <c r="BC247" s="185"/>
      <c r="BD247" s="185"/>
      <c r="BE247" s="185"/>
      <c r="BF247" s="192">
        <f t="shared" si="19"/>
        <v>345000000</v>
      </c>
      <c r="BG247" s="192">
        <f t="shared" si="20"/>
        <v>323681666</v>
      </c>
      <c r="BH247" s="192">
        <f t="shared" si="21"/>
        <v>323681666</v>
      </c>
      <c r="BI247" s="398" t="s">
        <v>14</v>
      </c>
      <c r="BJ247" s="413"/>
      <c r="BK247" s="413"/>
      <c r="BL247" s="413"/>
      <c r="BM247" s="413"/>
      <c r="BN247" s="413"/>
      <c r="BO247" s="413"/>
      <c r="BP247" s="413"/>
      <c r="BQ247" s="413"/>
    </row>
    <row r="248" spans="1:69" s="394" customFormat="1" ht="66.75" customHeight="1">
      <c r="A248" s="423">
        <v>318</v>
      </c>
      <c r="B248" s="392" t="s">
        <v>933</v>
      </c>
      <c r="C248" s="423">
        <v>1</v>
      </c>
      <c r="D248" s="392" t="s">
        <v>148</v>
      </c>
      <c r="E248" s="423">
        <v>19</v>
      </c>
      <c r="F248" s="392" t="s">
        <v>756</v>
      </c>
      <c r="G248" s="423">
        <v>1906</v>
      </c>
      <c r="H248" s="392" t="s">
        <v>1074</v>
      </c>
      <c r="I248" s="423">
        <v>1906</v>
      </c>
      <c r="J248" s="392" t="s">
        <v>1075</v>
      </c>
      <c r="K248" s="392" t="s">
        <v>1076</v>
      </c>
      <c r="L248" s="423" t="s">
        <v>61</v>
      </c>
      <c r="M248" s="397" t="s">
        <v>1077</v>
      </c>
      <c r="N248" s="423">
        <v>1906023</v>
      </c>
      <c r="O248" s="392" t="s">
        <v>1078</v>
      </c>
      <c r="P248" s="423" t="s">
        <v>61</v>
      </c>
      <c r="Q248" s="393" t="s">
        <v>1079</v>
      </c>
      <c r="R248" s="423">
        <v>190602300</v>
      </c>
      <c r="S248" s="397" t="s">
        <v>1080</v>
      </c>
      <c r="T248" s="388" t="s">
        <v>69</v>
      </c>
      <c r="U248" s="388">
        <v>19899</v>
      </c>
      <c r="V248" s="306"/>
      <c r="W248" s="388">
        <v>19899</v>
      </c>
      <c r="X248" s="388">
        <v>274816</v>
      </c>
      <c r="Y248" s="389">
        <v>2020003630136</v>
      </c>
      <c r="Z248" s="412" t="s">
        <v>1081</v>
      </c>
      <c r="AA248" s="546" t="s">
        <v>1082</v>
      </c>
      <c r="AB248" s="185"/>
      <c r="AC248" s="185"/>
      <c r="AD248" s="185"/>
      <c r="AE248" s="185"/>
      <c r="AF248" s="185"/>
      <c r="AG248" s="185"/>
      <c r="AH248" s="185"/>
      <c r="AI248" s="185"/>
      <c r="AJ248" s="185"/>
      <c r="AK248" s="190">
        <f>35074003113.88+1912192250+4356206814.63</f>
        <v>41342402178.509995</v>
      </c>
      <c r="AL248" s="190">
        <v>39430209927.630013</v>
      </c>
      <c r="AM248" s="190">
        <v>39430209927.630013</v>
      </c>
      <c r="AN248" s="185"/>
      <c r="AO248" s="185"/>
      <c r="AP248" s="185"/>
      <c r="AQ248" s="185"/>
      <c r="AR248" s="185"/>
      <c r="AS248" s="185"/>
      <c r="AT248" s="189"/>
      <c r="AU248" s="189"/>
      <c r="AV248" s="189"/>
      <c r="AW248" s="185"/>
      <c r="AX248" s="185"/>
      <c r="AY248" s="185"/>
      <c r="AZ248" s="185"/>
      <c r="BA248" s="185"/>
      <c r="BB248" s="185"/>
      <c r="BC248" s="185"/>
      <c r="BD248" s="185"/>
      <c r="BE248" s="185"/>
      <c r="BF248" s="192">
        <f t="shared" si="19"/>
        <v>41342402178.509995</v>
      </c>
      <c r="BG248" s="192">
        <f t="shared" si="20"/>
        <v>39430209927.630013</v>
      </c>
      <c r="BH248" s="192">
        <f t="shared" si="21"/>
        <v>39430209927.630013</v>
      </c>
      <c r="BI248" s="398" t="s">
        <v>14</v>
      </c>
    </row>
    <row r="249" spans="1:69" s="394" customFormat="1" ht="66.75" customHeight="1">
      <c r="A249" s="423">
        <v>318</v>
      </c>
      <c r="B249" s="392" t="s">
        <v>933</v>
      </c>
      <c r="C249" s="423">
        <v>1</v>
      </c>
      <c r="D249" s="392" t="s">
        <v>148</v>
      </c>
      <c r="E249" s="423">
        <v>19</v>
      </c>
      <c r="F249" s="392" t="s">
        <v>756</v>
      </c>
      <c r="G249" s="423">
        <v>1906</v>
      </c>
      <c r="H249" s="392" t="s">
        <v>1074</v>
      </c>
      <c r="I249" s="423">
        <v>1906</v>
      </c>
      <c r="J249" s="392" t="s">
        <v>1075</v>
      </c>
      <c r="K249" s="397" t="s">
        <v>975</v>
      </c>
      <c r="L249" s="423" t="s">
        <v>61</v>
      </c>
      <c r="M249" s="397" t="s">
        <v>1083</v>
      </c>
      <c r="N249" s="423">
        <v>1906023</v>
      </c>
      <c r="O249" s="392" t="s">
        <v>1078</v>
      </c>
      <c r="P249" s="423" t="s">
        <v>61</v>
      </c>
      <c r="Q249" s="397" t="s">
        <v>1084</v>
      </c>
      <c r="R249" s="388">
        <v>190602301</v>
      </c>
      <c r="S249" s="397" t="s">
        <v>1085</v>
      </c>
      <c r="T249" s="388" t="s">
        <v>69</v>
      </c>
      <c r="U249" s="388">
        <v>60</v>
      </c>
      <c r="V249" s="388"/>
      <c r="W249" s="388">
        <v>60</v>
      </c>
      <c r="X249" s="388">
        <v>43</v>
      </c>
      <c r="Y249" s="389">
        <v>2020003630137</v>
      </c>
      <c r="Z249" s="393" t="s">
        <v>1086</v>
      </c>
      <c r="AA249" s="546" t="s">
        <v>1087</v>
      </c>
      <c r="AB249" s="185"/>
      <c r="AC249" s="185"/>
      <c r="AD249" s="185"/>
      <c r="AE249" s="185">
        <f>600000000</f>
        <v>600000000</v>
      </c>
      <c r="AF249" s="185">
        <v>600000000</v>
      </c>
      <c r="AG249" s="185">
        <v>600000000</v>
      </c>
      <c r="AH249" s="185"/>
      <c r="AI249" s="185"/>
      <c r="AJ249" s="185"/>
      <c r="AK249" s="190">
        <f>1040464361.47+19178603.4</f>
        <v>1059642964.87</v>
      </c>
      <c r="AL249" s="190"/>
      <c r="AM249" s="190"/>
      <c r="AN249" s="185"/>
      <c r="AO249" s="185"/>
      <c r="AP249" s="185"/>
      <c r="AQ249" s="185"/>
      <c r="AR249" s="185"/>
      <c r="AS249" s="185"/>
      <c r="AT249" s="189"/>
      <c r="AU249" s="189"/>
      <c r="AV249" s="189"/>
      <c r="AW249" s="185"/>
      <c r="AX249" s="185"/>
      <c r="AY249" s="185"/>
      <c r="AZ249" s="185"/>
      <c r="BA249" s="185"/>
      <c r="BB249" s="185"/>
      <c r="BC249" s="185">
        <f>1902238000+878287000+824671862</f>
        <v>3605196862</v>
      </c>
      <c r="BD249" s="185">
        <v>2660318806</v>
      </c>
      <c r="BE249" s="185">
        <v>2402104094</v>
      </c>
      <c r="BF249" s="192">
        <f t="shared" si="19"/>
        <v>5264839826.8699999</v>
      </c>
      <c r="BG249" s="192">
        <f t="shared" si="20"/>
        <v>3260318806</v>
      </c>
      <c r="BH249" s="192">
        <f t="shared" si="21"/>
        <v>3002104094</v>
      </c>
      <c r="BI249" s="398" t="s">
        <v>14</v>
      </c>
    </row>
    <row r="250" spans="1:69" s="394" customFormat="1" ht="66.75" customHeight="1">
      <c r="A250" s="423">
        <v>318</v>
      </c>
      <c r="B250" s="392" t="s">
        <v>933</v>
      </c>
      <c r="C250" s="423">
        <v>1</v>
      </c>
      <c r="D250" s="392" t="s">
        <v>148</v>
      </c>
      <c r="E250" s="423">
        <v>19</v>
      </c>
      <c r="F250" s="392" t="s">
        <v>756</v>
      </c>
      <c r="G250" s="423">
        <v>1906</v>
      </c>
      <c r="H250" s="392" t="s">
        <v>1074</v>
      </c>
      <c r="I250" s="423">
        <v>1906</v>
      </c>
      <c r="J250" s="392" t="s">
        <v>1075</v>
      </c>
      <c r="K250" s="392" t="s">
        <v>1076</v>
      </c>
      <c r="L250" s="423" t="s">
        <v>61</v>
      </c>
      <c r="M250" s="397" t="s">
        <v>1088</v>
      </c>
      <c r="N250" s="423">
        <v>1906025</v>
      </c>
      <c r="O250" s="392" t="s">
        <v>1089</v>
      </c>
      <c r="P250" s="423" t="s">
        <v>61</v>
      </c>
      <c r="Q250" s="397" t="s">
        <v>1090</v>
      </c>
      <c r="R250" s="423">
        <v>190602500</v>
      </c>
      <c r="S250" s="397" t="s">
        <v>1091</v>
      </c>
      <c r="T250" s="388" t="s">
        <v>69</v>
      </c>
      <c r="U250" s="388">
        <v>100</v>
      </c>
      <c r="V250" s="388"/>
      <c r="W250" s="388">
        <v>100</v>
      </c>
      <c r="X250" s="388">
        <v>78</v>
      </c>
      <c r="Y250" s="389">
        <v>2020003630137</v>
      </c>
      <c r="Z250" s="412" t="s">
        <v>1086</v>
      </c>
      <c r="AA250" s="546" t="s">
        <v>1087</v>
      </c>
      <c r="AB250" s="185"/>
      <c r="AC250" s="185"/>
      <c r="AD250" s="185"/>
      <c r="AE250" s="185">
        <f>600000000-600000000</f>
        <v>0</v>
      </c>
      <c r="AF250" s="185"/>
      <c r="AG250" s="185"/>
      <c r="AH250" s="185">
        <f>1810933809+156125011.1+108005081</f>
        <v>2075063901.0999999</v>
      </c>
      <c r="AI250" s="185">
        <v>2075063901.0999999</v>
      </c>
      <c r="AJ250" s="185">
        <v>2075063901</v>
      </c>
      <c r="AK250" s="185">
        <f>3827989379+956096123</f>
        <v>4784085502</v>
      </c>
      <c r="AL250" s="185">
        <v>542222638</v>
      </c>
      <c r="AM250" s="185">
        <v>542222638</v>
      </c>
      <c r="AN250" s="185"/>
      <c r="AO250" s="185"/>
      <c r="AP250" s="185"/>
      <c r="AQ250" s="185"/>
      <c r="AR250" s="185"/>
      <c r="AS250" s="185"/>
      <c r="AT250" s="189"/>
      <c r="AU250" s="189"/>
      <c r="AV250" s="189"/>
      <c r="AW250" s="185"/>
      <c r="AX250" s="185"/>
      <c r="AY250" s="185"/>
      <c r="AZ250" s="185"/>
      <c r="BA250" s="185"/>
      <c r="BB250" s="185"/>
      <c r="BC250" s="185"/>
      <c r="BD250" s="185"/>
      <c r="BE250" s="185"/>
      <c r="BF250" s="192">
        <f t="shared" si="19"/>
        <v>6859149403.1000004</v>
      </c>
      <c r="BG250" s="192">
        <f t="shared" si="20"/>
        <v>2617286539.0999999</v>
      </c>
      <c r="BH250" s="192">
        <f t="shared" si="21"/>
        <v>2617286539</v>
      </c>
      <c r="BI250" s="398" t="s">
        <v>14</v>
      </c>
    </row>
    <row r="251" spans="1:69" s="394" customFormat="1" ht="66.75" customHeight="1">
      <c r="A251" s="423">
        <v>318</v>
      </c>
      <c r="B251" s="392" t="s">
        <v>933</v>
      </c>
      <c r="C251" s="423">
        <v>1</v>
      </c>
      <c r="D251" s="392" t="s">
        <v>148</v>
      </c>
      <c r="E251" s="423">
        <v>19</v>
      </c>
      <c r="F251" s="392" t="s">
        <v>756</v>
      </c>
      <c r="G251" s="423">
        <v>1906</v>
      </c>
      <c r="H251" s="392" t="s">
        <v>1074</v>
      </c>
      <c r="I251" s="423">
        <v>1906</v>
      </c>
      <c r="J251" s="392" t="s">
        <v>1075</v>
      </c>
      <c r="K251" s="392" t="s">
        <v>1076</v>
      </c>
      <c r="L251" s="423" t="s">
        <v>61</v>
      </c>
      <c r="M251" s="397" t="s">
        <v>1092</v>
      </c>
      <c r="N251" s="423">
        <v>1906025</v>
      </c>
      <c r="O251" s="392" t="s">
        <v>1089</v>
      </c>
      <c r="P251" s="423" t="s">
        <v>61</v>
      </c>
      <c r="Q251" s="397" t="s">
        <v>1093</v>
      </c>
      <c r="R251" s="423">
        <v>190602500</v>
      </c>
      <c r="S251" s="397" t="s">
        <v>1091</v>
      </c>
      <c r="T251" s="388" t="s">
        <v>69</v>
      </c>
      <c r="U251" s="388">
        <v>100</v>
      </c>
      <c r="V251" s="388"/>
      <c r="W251" s="388">
        <v>100</v>
      </c>
      <c r="X251" s="388">
        <v>0</v>
      </c>
      <c r="Y251" s="389">
        <v>2020003630137</v>
      </c>
      <c r="Z251" s="412" t="s">
        <v>1086</v>
      </c>
      <c r="AA251" s="546" t="s">
        <v>1087</v>
      </c>
      <c r="AB251" s="185"/>
      <c r="AC251" s="185"/>
      <c r="AD251" s="185"/>
      <c r="AE251" s="185"/>
      <c r="AF251" s="185"/>
      <c r="AG251" s="185"/>
      <c r="AH251" s="185"/>
      <c r="AI251" s="185"/>
      <c r="AJ251" s="185"/>
      <c r="AK251" s="185"/>
      <c r="AL251" s="185"/>
      <c r="AM251" s="185"/>
      <c r="AN251" s="185"/>
      <c r="AO251" s="185"/>
      <c r="AP251" s="185"/>
      <c r="AQ251" s="185"/>
      <c r="AR251" s="185"/>
      <c r="AS251" s="185"/>
      <c r="AT251" s="189"/>
      <c r="AU251" s="189"/>
      <c r="AV251" s="189"/>
      <c r="AW251" s="185"/>
      <c r="AX251" s="185"/>
      <c r="AY251" s="185"/>
      <c r="AZ251" s="185"/>
      <c r="BA251" s="185"/>
      <c r="BB251" s="185"/>
      <c r="BC251" s="185"/>
      <c r="BD251" s="185"/>
      <c r="BE251" s="185"/>
      <c r="BF251" s="192">
        <f t="shared" si="19"/>
        <v>0</v>
      </c>
      <c r="BG251" s="192">
        <f t="shared" si="20"/>
        <v>0</v>
      </c>
      <c r="BH251" s="192">
        <f t="shared" si="21"/>
        <v>0</v>
      </c>
      <c r="BI251" s="398" t="s">
        <v>14</v>
      </c>
    </row>
    <row r="252" spans="1:69" s="394" customFormat="1" ht="66.75" customHeight="1">
      <c r="A252" s="423">
        <v>318</v>
      </c>
      <c r="B252" s="392" t="s">
        <v>933</v>
      </c>
      <c r="C252" s="423">
        <v>1</v>
      </c>
      <c r="D252" s="392" t="s">
        <v>148</v>
      </c>
      <c r="E252" s="423">
        <v>19</v>
      </c>
      <c r="F252" s="392" t="s">
        <v>756</v>
      </c>
      <c r="G252" s="423">
        <v>1906</v>
      </c>
      <c r="H252" s="392" t="s">
        <v>1074</v>
      </c>
      <c r="I252" s="423">
        <v>1906</v>
      </c>
      <c r="J252" s="392" t="s">
        <v>1075</v>
      </c>
      <c r="K252" s="392" t="s">
        <v>1094</v>
      </c>
      <c r="L252" s="423">
        <v>1906029</v>
      </c>
      <c r="M252" s="397" t="s">
        <v>1095</v>
      </c>
      <c r="N252" s="423">
        <v>1906029</v>
      </c>
      <c r="O252" s="392" t="s">
        <v>1095</v>
      </c>
      <c r="P252" s="388">
        <v>190602900</v>
      </c>
      <c r="Q252" s="397" t="s">
        <v>1096</v>
      </c>
      <c r="R252" s="388">
        <v>190602900</v>
      </c>
      <c r="S252" s="397" t="s">
        <v>1096</v>
      </c>
      <c r="T252" s="388" t="s">
        <v>69</v>
      </c>
      <c r="U252" s="388">
        <v>40</v>
      </c>
      <c r="V252" s="388"/>
      <c r="W252" s="388">
        <v>40</v>
      </c>
      <c r="X252" s="388">
        <v>28</v>
      </c>
      <c r="Y252" s="389">
        <v>2020003630138</v>
      </c>
      <c r="Z252" s="412" t="s">
        <v>1097</v>
      </c>
      <c r="AA252" s="546" t="s">
        <v>1098</v>
      </c>
      <c r="AB252" s="185"/>
      <c r="AC252" s="185"/>
      <c r="AD252" s="185"/>
      <c r="AE252" s="185"/>
      <c r="AF252" s="185"/>
      <c r="AG252" s="185"/>
      <c r="AH252" s="185"/>
      <c r="AI252" s="185"/>
      <c r="AJ252" s="185"/>
      <c r="AK252" s="194"/>
      <c r="AL252" s="194"/>
      <c r="AM252" s="194"/>
      <c r="AN252" s="185"/>
      <c r="AO252" s="185"/>
      <c r="AP252" s="185"/>
      <c r="AQ252" s="185"/>
      <c r="AR252" s="185"/>
      <c r="AS252" s="185"/>
      <c r="AT252" s="189">
        <v>150390000</v>
      </c>
      <c r="AU252" s="189">
        <v>138563331</v>
      </c>
      <c r="AV252" s="189">
        <v>138563331</v>
      </c>
      <c r="AW252" s="185"/>
      <c r="AX252" s="185"/>
      <c r="AY252" s="185"/>
      <c r="AZ252" s="185"/>
      <c r="BA252" s="185"/>
      <c r="BB252" s="185"/>
      <c r="BC252" s="185"/>
      <c r="BD252" s="185"/>
      <c r="BE252" s="185"/>
      <c r="BF252" s="192">
        <f t="shared" si="19"/>
        <v>150390000</v>
      </c>
      <c r="BG252" s="192">
        <f t="shared" si="20"/>
        <v>138563331</v>
      </c>
      <c r="BH252" s="192">
        <f t="shared" si="21"/>
        <v>138563331</v>
      </c>
      <c r="BI252" s="398" t="s">
        <v>14</v>
      </c>
    </row>
    <row r="253" spans="1:69" s="394" customFormat="1" ht="66.75" customHeight="1">
      <c r="A253" s="423">
        <v>318</v>
      </c>
      <c r="B253" s="392" t="s">
        <v>933</v>
      </c>
      <c r="C253" s="423">
        <v>1</v>
      </c>
      <c r="D253" s="392" t="s">
        <v>148</v>
      </c>
      <c r="E253" s="423">
        <v>19</v>
      </c>
      <c r="F253" s="392" t="s">
        <v>756</v>
      </c>
      <c r="G253" s="423">
        <v>1906</v>
      </c>
      <c r="H253" s="392" t="s">
        <v>1074</v>
      </c>
      <c r="I253" s="423">
        <v>1906</v>
      </c>
      <c r="J253" s="392" t="s">
        <v>1075</v>
      </c>
      <c r="K253" s="392" t="s">
        <v>1099</v>
      </c>
      <c r="L253" s="423">
        <v>1906005</v>
      </c>
      <c r="M253" s="397" t="s">
        <v>1100</v>
      </c>
      <c r="N253" s="423">
        <v>1906005</v>
      </c>
      <c r="O253" s="392" t="s">
        <v>1100</v>
      </c>
      <c r="P253" s="388">
        <v>190600500</v>
      </c>
      <c r="Q253" s="397" t="s">
        <v>1100</v>
      </c>
      <c r="R253" s="388">
        <v>190600500</v>
      </c>
      <c r="S253" s="397" t="s">
        <v>1100</v>
      </c>
      <c r="T253" s="388" t="s">
        <v>157</v>
      </c>
      <c r="U253" s="388">
        <v>3</v>
      </c>
      <c r="V253" s="388">
        <v>5</v>
      </c>
      <c r="W253" s="388">
        <f>U253+V253</f>
        <v>8</v>
      </c>
      <c r="X253" s="388">
        <v>14</v>
      </c>
      <c r="Y253" s="389">
        <v>2020003630138</v>
      </c>
      <c r="Z253" s="412" t="s">
        <v>1097</v>
      </c>
      <c r="AA253" s="546" t="s">
        <v>1098</v>
      </c>
      <c r="AB253" s="185"/>
      <c r="AC253" s="185"/>
      <c r="AD253" s="185"/>
      <c r="AE253" s="185"/>
      <c r="AF253" s="185"/>
      <c r="AG253" s="185"/>
      <c r="AH253" s="185"/>
      <c r="AI253" s="185"/>
      <c r="AJ253" s="185"/>
      <c r="AK253" s="189">
        <f>260000000+35000000</f>
        <v>295000000</v>
      </c>
      <c r="AL253" s="194"/>
      <c r="AM253" s="194"/>
      <c r="AN253" s="185"/>
      <c r="AO253" s="185"/>
      <c r="AP253" s="185"/>
      <c r="AQ253" s="185"/>
      <c r="AR253" s="185"/>
      <c r="AS253" s="185"/>
      <c r="AT253" s="189">
        <v>40000000</v>
      </c>
      <c r="AU253" s="189">
        <v>21907462.32</v>
      </c>
      <c r="AV253" s="189">
        <v>21907462.32</v>
      </c>
      <c r="AW253" s="185"/>
      <c r="AX253" s="185"/>
      <c r="AY253" s="185"/>
      <c r="AZ253" s="185"/>
      <c r="BA253" s="185"/>
      <c r="BB253" s="185"/>
      <c r="BC253" s="185"/>
      <c r="BD253" s="185"/>
      <c r="BE253" s="185"/>
      <c r="BF253" s="192">
        <f t="shared" si="19"/>
        <v>335000000</v>
      </c>
      <c r="BG253" s="192">
        <f t="shared" si="20"/>
        <v>21907462.32</v>
      </c>
      <c r="BH253" s="192">
        <v>21907462</v>
      </c>
      <c r="BI253" s="398" t="s">
        <v>14</v>
      </c>
    </row>
    <row r="254" spans="1:69" s="394" customFormat="1" ht="66.75" customHeight="1">
      <c r="A254" s="423">
        <v>318</v>
      </c>
      <c r="B254" s="392" t="s">
        <v>933</v>
      </c>
      <c r="C254" s="423">
        <v>1</v>
      </c>
      <c r="D254" s="392" t="s">
        <v>148</v>
      </c>
      <c r="E254" s="423">
        <v>19</v>
      </c>
      <c r="F254" s="392" t="s">
        <v>756</v>
      </c>
      <c r="G254" s="423">
        <v>1906</v>
      </c>
      <c r="H254" s="392" t="s">
        <v>1074</v>
      </c>
      <c r="I254" s="423">
        <v>1906</v>
      </c>
      <c r="J254" s="392" t="s">
        <v>1075</v>
      </c>
      <c r="K254" s="392" t="s">
        <v>943</v>
      </c>
      <c r="L254" s="423">
        <v>1906022</v>
      </c>
      <c r="M254" s="397" t="s">
        <v>1101</v>
      </c>
      <c r="N254" s="423">
        <v>1906022</v>
      </c>
      <c r="O254" s="392" t="s">
        <v>1101</v>
      </c>
      <c r="P254" s="388">
        <v>190602200</v>
      </c>
      <c r="Q254" s="397" t="s">
        <v>1102</v>
      </c>
      <c r="R254" s="388">
        <v>190602200</v>
      </c>
      <c r="S254" s="397" t="s">
        <v>1102</v>
      </c>
      <c r="T254" s="388" t="s">
        <v>157</v>
      </c>
      <c r="U254" s="388" t="s">
        <v>257</v>
      </c>
      <c r="V254" s="388">
        <v>4</v>
      </c>
      <c r="W254" s="388">
        <f>V254</f>
        <v>4</v>
      </c>
      <c r="X254" s="388">
        <v>4</v>
      </c>
      <c r="Y254" s="389">
        <v>2020003630138</v>
      </c>
      <c r="Z254" s="412" t="s">
        <v>1097</v>
      </c>
      <c r="AA254" s="546" t="s">
        <v>1098</v>
      </c>
      <c r="AB254" s="185"/>
      <c r="AC254" s="185"/>
      <c r="AD254" s="185"/>
      <c r="AE254" s="185"/>
      <c r="AF254" s="185"/>
      <c r="AG254" s="185"/>
      <c r="AH254" s="185"/>
      <c r="AI254" s="185"/>
      <c r="AJ254" s="185"/>
      <c r="AK254" s="189">
        <f>240000000-35000000</f>
        <v>205000000</v>
      </c>
      <c r="AL254" s="194">
        <v>205000000</v>
      </c>
      <c r="AM254" s="194">
        <v>205000000</v>
      </c>
      <c r="AN254" s="185"/>
      <c r="AO254" s="185"/>
      <c r="AP254" s="185"/>
      <c r="AQ254" s="185"/>
      <c r="AR254" s="185"/>
      <c r="AS254" s="185"/>
      <c r="AT254" s="189">
        <f>20000000+217000000+112000000-112000000</f>
        <v>237000000</v>
      </c>
      <c r="AU254" s="189">
        <v>237000000</v>
      </c>
      <c r="AV254" s="189">
        <v>237000000</v>
      </c>
      <c r="AW254" s="185"/>
      <c r="AX254" s="185"/>
      <c r="AY254" s="185"/>
      <c r="AZ254" s="185"/>
      <c r="BA254" s="185"/>
      <c r="BB254" s="185"/>
      <c r="BC254" s="185"/>
      <c r="BD254" s="185"/>
      <c r="BE254" s="185"/>
      <c r="BF254" s="192">
        <f t="shared" si="19"/>
        <v>442000000</v>
      </c>
      <c r="BG254" s="192">
        <f t="shared" si="20"/>
        <v>442000000</v>
      </c>
      <c r="BH254" s="192">
        <f t="shared" si="21"/>
        <v>442000000</v>
      </c>
      <c r="BI254" s="398" t="s">
        <v>14</v>
      </c>
    </row>
    <row r="255" spans="1:69" s="394" customFormat="1" ht="66.75" customHeight="1">
      <c r="A255" s="423">
        <v>318</v>
      </c>
      <c r="B255" s="392" t="s">
        <v>933</v>
      </c>
      <c r="C255" s="423">
        <v>1</v>
      </c>
      <c r="D255" s="392" t="s">
        <v>148</v>
      </c>
      <c r="E255" s="423">
        <v>19</v>
      </c>
      <c r="F255" s="392" t="s">
        <v>756</v>
      </c>
      <c r="G255" s="423">
        <v>1906</v>
      </c>
      <c r="H255" s="392" t="s">
        <v>1074</v>
      </c>
      <c r="I255" s="423">
        <v>1906</v>
      </c>
      <c r="J255" s="392" t="s">
        <v>1075</v>
      </c>
      <c r="K255" s="392" t="s">
        <v>1076</v>
      </c>
      <c r="L255" s="423" t="s">
        <v>61</v>
      </c>
      <c r="M255" s="397" t="s">
        <v>1083</v>
      </c>
      <c r="N255" s="423">
        <v>1906023</v>
      </c>
      <c r="O255" s="392" t="s">
        <v>1103</v>
      </c>
      <c r="P255" s="423" t="s">
        <v>61</v>
      </c>
      <c r="Q255" s="397" t="s">
        <v>1104</v>
      </c>
      <c r="R255" s="388">
        <v>190602301</v>
      </c>
      <c r="S255" s="397" t="s">
        <v>1085</v>
      </c>
      <c r="T255" s="388" t="s">
        <v>69</v>
      </c>
      <c r="U255" s="388">
        <v>40</v>
      </c>
      <c r="V255" s="388"/>
      <c r="W255" s="388">
        <v>40</v>
      </c>
      <c r="X255" s="388">
        <v>0</v>
      </c>
      <c r="Y255" s="389">
        <v>2020003630138</v>
      </c>
      <c r="Z255" s="412" t="s">
        <v>1097</v>
      </c>
      <c r="AA255" s="546" t="s">
        <v>1098</v>
      </c>
      <c r="AB255" s="185"/>
      <c r="AC255" s="185"/>
      <c r="AD255" s="185"/>
      <c r="AE255" s="185"/>
      <c r="AF255" s="185"/>
      <c r="AG255" s="185"/>
      <c r="AH255" s="185"/>
      <c r="AI255" s="185"/>
      <c r="AJ255" s="185"/>
      <c r="AK255" s="194"/>
      <c r="AL255" s="194"/>
      <c r="AM255" s="194"/>
      <c r="AN255" s="185"/>
      <c r="AO255" s="185"/>
      <c r="AP255" s="185"/>
      <c r="AQ255" s="185"/>
      <c r="AR255" s="185"/>
      <c r="AS255" s="185"/>
      <c r="AT255" s="189">
        <v>20000000</v>
      </c>
      <c r="AU255" s="189"/>
      <c r="AV255" s="189"/>
      <c r="AW255" s="185"/>
      <c r="AX255" s="185"/>
      <c r="AY255" s="185"/>
      <c r="AZ255" s="185"/>
      <c r="BA255" s="185"/>
      <c r="BB255" s="185"/>
      <c r="BC255" s="192">
        <v>670949964</v>
      </c>
      <c r="BD255" s="185"/>
      <c r="BE255" s="185"/>
      <c r="BF255" s="192">
        <f t="shared" si="19"/>
        <v>690949964</v>
      </c>
      <c r="BG255" s="192">
        <f t="shared" si="20"/>
        <v>0</v>
      </c>
      <c r="BH255" s="192">
        <f t="shared" si="21"/>
        <v>0</v>
      </c>
      <c r="BI255" s="398" t="s">
        <v>14</v>
      </c>
    </row>
    <row r="256" spans="1:69" s="394" customFormat="1" ht="66.75" customHeight="1">
      <c r="A256" s="423">
        <v>318</v>
      </c>
      <c r="B256" s="392" t="s">
        <v>933</v>
      </c>
      <c r="C256" s="423">
        <v>1</v>
      </c>
      <c r="D256" s="392" t="s">
        <v>148</v>
      </c>
      <c r="E256" s="423">
        <v>19</v>
      </c>
      <c r="F256" s="392" t="s">
        <v>756</v>
      </c>
      <c r="G256" s="423">
        <v>1903</v>
      </c>
      <c r="H256" s="392" t="s">
        <v>934</v>
      </c>
      <c r="I256" s="423">
        <v>1903</v>
      </c>
      <c r="J256" s="392" t="s">
        <v>935</v>
      </c>
      <c r="K256" s="392" t="s">
        <v>1002</v>
      </c>
      <c r="L256" s="423">
        <v>1903015</v>
      </c>
      <c r="M256" s="397" t="s">
        <v>1105</v>
      </c>
      <c r="N256" s="423">
        <v>1903015</v>
      </c>
      <c r="O256" s="392" t="s">
        <v>1105</v>
      </c>
      <c r="P256" s="388">
        <v>190301500</v>
      </c>
      <c r="Q256" s="393" t="s">
        <v>1106</v>
      </c>
      <c r="R256" s="388">
        <v>190301500</v>
      </c>
      <c r="S256" s="397" t="s">
        <v>1106</v>
      </c>
      <c r="T256" s="388" t="s">
        <v>69</v>
      </c>
      <c r="U256" s="388">
        <v>12</v>
      </c>
      <c r="V256" s="388"/>
      <c r="W256" s="388">
        <v>12</v>
      </c>
      <c r="X256" s="388">
        <v>12</v>
      </c>
      <c r="Y256" s="389">
        <v>2020003630117</v>
      </c>
      <c r="Z256" s="392" t="s">
        <v>968</v>
      </c>
      <c r="AA256" s="546" t="s">
        <v>969</v>
      </c>
      <c r="AB256" s="185"/>
      <c r="AC256" s="185"/>
      <c r="AD256" s="185"/>
      <c r="AE256" s="185"/>
      <c r="AF256" s="185"/>
      <c r="AG256" s="185"/>
      <c r="AH256" s="185">
        <v>122500000</v>
      </c>
      <c r="AI256" s="185">
        <v>112469331</v>
      </c>
      <c r="AJ256" s="185">
        <v>112469331</v>
      </c>
      <c r="AK256" s="185">
        <v>38260000</v>
      </c>
      <c r="AL256" s="185">
        <v>28703315</v>
      </c>
      <c r="AM256" s="185">
        <v>28703315</v>
      </c>
      <c r="AN256" s="185"/>
      <c r="AO256" s="185"/>
      <c r="AP256" s="185"/>
      <c r="AQ256" s="185"/>
      <c r="AR256" s="185"/>
      <c r="AS256" s="185"/>
      <c r="AT256" s="189">
        <v>75000000</v>
      </c>
      <c r="AU256" s="189">
        <v>75000000</v>
      </c>
      <c r="AV256" s="189">
        <v>75000000</v>
      </c>
      <c r="AW256" s="185"/>
      <c r="AX256" s="185"/>
      <c r="AY256" s="185"/>
      <c r="AZ256" s="185"/>
      <c r="BA256" s="185"/>
      <c r="BB256" s="185"/>
      <c r="BC256" s="185"/>
      <c r="BD256" s="185"/>
      <c r="BE256" s="185"/>
      <c r="BF256" s="192">
        <f t="shared" si="19"/>
        <v>235760000</v>
      </c>
      <c r="BG256" s="192">
        <f t="shared" si="20"/>
        <v>216172646</v>
      </c>
      <c r="BH256" s="192">
        <f t="shared" si="21"/>
        <v>216172646</v>
      </c>
      <c r="BI256" s="398" t="s">
        <v>14</v>
      </c>
    </row>
    <row r="257" spans="1:61" s="394" customFormat="1" ht="66.75" customHeight="1">
      <c r="A257" s="423">
        <v>318</v>
      </c>
      <c r="B257" s="392" t="s">
        <v>933</v>
      </c>
      <c r="C257" s="423">
        <v>1</v>
      </c>
      <c r="D257" s="392" t="s">
        <v>148</v>
      </c>
      <c r="E257" s="423">
        <v>19</v>
      </c>
      <c r="F257" s="392" t="s">
        <v>756</v>
      </c>
      <c r="G257" s="423">
        <v>1905</v>
      </c>
      <c r="H257" s="392" t="s">
        <v>757</v>
      </c>
      <c r="I257" s="423">
        <v>1905</v>
      </c>
      <c r="J257" s="392" t="s">
        <v>1005</v>
      </c>
      <c r="K257" s="392" t="s">
        <v>1002</v>
      </c>
      <c r="L257" s="423" t="s">
        <v>61</v>
      </c>
      <c r="M257" s="397" t="s">
        <v>1107</v>
      </c>
      <c r="N257" s="423">
        <v>1905015</v>
      </c>
      <c r="O257" s="392" t="s">
        <v>254</v>
      </c>
      <c r="P257" s="423" t="s">
        <v>61</v>
      </c>
      <c r="Q257" s="397" t="s">
        <v>1108</v>
      </c>
      <c r="R257" s="423" t="s">
        <v>1109</v>
      </c>
      <c r="S257" s="397" t="s">
        <v>1110</v>
      </c>
      <c r="T257" s="388" t="s">
        <v>69</v>
      </c>
      <c r="U257" s="388">
        <v>1</v>
      </c>
      <c r="V257" s="388"/>
      <c r="W257" s="388">
        <v>1</v>
      </c>
      <c r="X257" s="388">
        <v>0.8</v>
      </c>
      <c r="Y257" s="389">
        <v>2020003630125</v>
      </c>
      <c r="Z257" s="392" t="s">
        <v>1043</v>
      </c>
      <c r="AA257" s="546" t="s">
        <v>1044</v>
      </c>
      <c r="AB257" s="185"/>
      <c r="AC257" s="185"/>
      <c r="AD257" s="185"/>
      <c r="AE257" s="185"/>
      <c r="AF257" s="185"/>
      <c r="AG257" s="185"/>
      <c r="AH257" s="189">
        <v>25000000</v>
      </c>
      <c r="AI257" s="189">
        <v>25000000</v>
      </c>
      <c r="AJ257" s="189">
        <v>25000000</v>
      </c>
      <c r="AK257" s="189">
        <v>30300000</v>
      </c>
      <c r="AL257" s="185">
        <v>30300000</v>
      </c>
      <c r="AM257" s="185">
        <v>30300000</v>
      </c>
      <c r="AN257" s="185"/>
      <c r="AO257" s="185"/>
      <c r="AP257" s="185"/>
      <c r="AQ257" s="185"/>
      <c r="AR257" s="185"/>
      <c r="AS257" s="185"/>
      <c r="AT257" s="189">
        <v>75000000</v>
      </c>
      <c r="AU257" s="189">
        <v>73620666</v>
      </c>
      <c r="AV257" s="189">
        <v>73620666</v>
      </c>
      <c r="AW257" s="185"/>
      <c r="AX257" s="185"/>
      <c r="AY257" s="185"/>
      <c r="AZ257" s="185"/>
      <c r="BA257" s="185"/>
      <c r="BB257" s="185"/>
      <c r="BC257" s="185"/>
      <c r="BD257" s="185"/>
      <c r="BE257" s="185"/>
      <c r="BF257" s="192">
        <f t="shared" si="19"/>
        <v>130300000</v>
      </c>
      <c r="BG257" s="192">
        <f t="shared" si="20"/>
        <v>128920666</v>
      </c>
      <c r="BH257" s="192">
        <f t="shared" si="21"/>
        <v>128920666</v>
      </c>
      <c r="BI257" s="398" t="s">
        <v>14</v>
      </c>
    </row>
    <row r="258" spans="1:61" s="394" customFormat="1" ht="66.75" customHeight="1">
      <c r="A258" s="423">
        <v>318</v>
      </c>
      <c r="B258" s="392" t="s">
        <v>933</v>
      </c>
      <c r="C258" s="423">
        <v>1</v>
      </c>
      <c r="D258" s="392" t="s">
        <v>148</v>
      </c>
      <c r="E258" s="423">
        <v>19</v>
      </c>
      <c r="F258" s="392" t="s">
        <v>756</v>
      </c>
      <c r="G258" s="423">
        <v>1905</v>
      </c>
      <c r="H258" s="392" t="s">
        <v>757</v>
      </c>
      <c r="I258" s="423">
        <v>1905</v>
      </c>
      <c r="J258" s="392" t="s">
        <v>1005</v>
      </c>
      <c r="K258" s="392" t="s">
        <v>1111</v>
      </c>
      <c r="L258" s="423">
        <v>1905023</v>
      </c>
      <c r="M258" s="397" t="s">
        <v>1112</v>
      </c>
      <c r="N258" s="423">
        <v>1905023</v>
      </c>
      <c r="O258" s="392" t="s">
        <v>1112</v>
      </c>
      <c r="P258" s="388">
        <v>190502300</v>
      </c>
      <c r="Q258" s="397" t="s">
        <v>1113</v>
      </c>
      <c r="R258" s="388">
        <v>190502300</v>
      </c>
      <c r="S258" s="397" t="s">
        <v>1113</v>
      </c>
      <c r="T258" s="388" t="s">
        <v>69</v>
      </c>
      <c r="U258" s="388">
        <v>12</v>
      </c>
      <c r="V258" s="388"/>
      <c r="W258" s="388">
        <v>12</v>
      </c>
      <c r="X258" s="388">
        <v>12</v>
      </c>
      <c r="Y258" s="389">
        <v>2020003630126</v>
      </c>
      <c r="Z258" s="393" t="s">
        <v>1045</v>
      </c>
      <c r="AA258" s="546" t="s">
        <v>1046</v>
      </c>
      <c r="AB258" s="185"/>
      <c r="AC258" s="185"/>
      <c r="AD258" s="185"/>
      <c r="AE258" s="185"/>
      <c r="AF258" s="185"/>
      <c r="AG258" s="185"/>
      <c r="AH258" s="189">
        <v>55000000</v>
      </c>
      <c r="AI258" s="189">
        <v>52249999</v>
      </c>
      <c r="AJ258" s="189">
        <v>52249999</v>
      </c>
      <c r="AK258" s="189">
        <v>29896123</v>
      </c>
      <c r="AL258" s="185">
        <v>28229300</v>
      </c>
      <c r="AM258" s="185">
        <v>28229300</v>
      </c>
      <c r="AN258" s="185"/>
      <c r="AO258" s="185"/>
      <c r="AP258" s="185"/>
      <c r="AQ258" s="185"/>
      <c r="AR258" s="185"/>
      <c r="AS258" s="185"/>
      <c r="AT258" s="189">
        <f>45000000+45000000</f>
        <v>90000000</v>
      </c>
      <c r="AU258" s="189">
        <v>77127366</v>
      </c>
      <c r="AV258" s="189">
        <v>77127366</v>
      </c>
      <c r="AW258" s="185"/>
      <c r="AX258" s="185"/>
      <c r="AY258" s="185"/>
      <c r="AZ258" s="185"/>
      <c r="BA258" s="185"/>
      <c r="BB258" s="185"/>
      <c r="BC258" s="185"/>
      <c r="BD258" s="185"/>
      <c r="BE258" s="185"/>
      <c r="BF258" s="192">
        <f t="shared" si="19"/>
        <v>174896123</v>
      </c>
      <c r="BG258" s="192">
        <f t="shared" si="20"/>
        <v>157606665</v>
      </c>
      <c r="BH258" s="192">
        <f t="shared" si="21"/>
        <v>157606665</v>
      </c>
      <c r="BI258" s="398" t="s">
        <v>14</v>
      </c>
    </row>
    <row r="259" spans="1:61" s="394" customFormat="1" ht="66.75" customHeight="1">
      <c r="A259" s="423">
        <v>318</v>
      </c>
      <c r="B259" s="392" t="s">
        <v>933</v>
      </c>
      <c r="C259" s="423">
        <v>1</v>
      </c>
      <c r="D259" s="392" t="s">
        <v>148</v>
      </c>
      <c r="E259" s="423">
        <v>19</v>
      </c>
      <c r="F259" s="392" t="s">
        <v>756</v>
      </c>
      <c r="G259" s="423">
        <v>1905</v>
      </c>
      <c r="H259" s="392" t="s">
        <v>757</v>
      </c>
      <c r="I259" s="423">
        <v>1905</v>
      </c>
      <c r="J259" s="392" t="s">
        <v>1005</v>
      </c>
      <c r="K259" s="392" t="s">
        <v>1051</v>
      </c>
      <c r="L259" s="423">
        <v>1905026</v>
      </c>
      <c r="M259" s="397" t="s">
        <v>1052</v>
      </c>
      <c r="N259" s="423">
        <v>1905026</v>
      </c>
      <c r="O259" s="392" t="s">
        <v>1052</v>
      </c>
      <c r="P259" s="388">
        <v>190502600</v>
      </c>
      <c r="Q259" s="397" t="s">
        <v>1053</v>
      </c>
      <c r="R259" s="388">
        <v>190502600</v>
      </c>
      <c r="S259" s="397" t="s">
        <v>1053</v>
      </c>
      <c r="T259" s="401" t="s">
        <v>69</v>
      </c>
      <c r="U259" s="423">
        <v>12</v>
      </c>
      <c r="V259" s="423"/>
      <c r="W259" s="388">
        <v>12</v>
      </c>
      <c r="X259" s="388">
        <v>12</v>
      </c>
      <c r="Y259" s="389">
        <v>2020003630128</v>
      </c>
      <c r="Z259" s="392" t="s">
        <v>1058</v>
      </c>
      <c r="AA259" s="546" t="s">
        <v>1059</v>
      </c>
      <c r="AB259" s="185"/>
      <c r="AC259" s="185"/>
      <c r="AD259" s="185"/>
      <c r="AE259" s="185"/>
      <c r="AF259" s="185"/>
      <c r="AG259" s="185"/>
      <c r="AH259" s="185">
        <v>15000000</v>
      </c>
      <c r="AI259" s="185">
        <f>AH259</f>
        <v>15000000</v>
      </c>
      <c r="AJ259" s="185">
        <v>15000000</v>
      </c>
      <c r="AK259" s="185"/>
      <c r="AL259" s="185"/>
      <c r="AM259" s="185"/>
      <c r="AN259" s="284"/>
      <c r="AO259" s="284"/>
      <c r="AP259" s="284"/>
      <c r="AQ259" s="185"/>
      <c r="AR259" s="185"/>
      <c r="AS259" s="185"/>
      <c r="AT259" s="185">
        <v>230000000</v>
      </c>
      <c r="AU259" s="185">
        <v>199695720</v>
      </c>
      <c r="AV259" s="185">
        <v>199695720</v>
      </c>
      <c r="AW259" s="185"/>
      <c r="AX259" s="185"/>
      <c r="AY259" s="185"/>
      <c r="AZ259" s="185"/>
      <c r="BA259" s="185"/>
      <c r="BB259" s="185"/>
      <c r="BC259" s="185">
        <f>241380734+7738752</f>
        <v>249119486</v>
      </c>
      <c r="BD259" s="185">
        <v>175275569</v>
      </c>
      <c r="BE259" s="185">
        <v>175275569</v>
      </c>
      <c r="BF259" s="192">
        <f t="shared" si="19"/>
        <v>494119486</v>
      </c>
      <c r="BG259" s="192">
        <f t="shared" si="20"/>
        <v>389971289</v>
      </c>
      <c r="BH259" s="192">
        <f t="shared" si="21"/>
        <v>389971289</v>
      </c>
      <c r="BI259" s="398" t="s">
        <v>14</v>
      </c>
    </row>
    <row r="260" spans="1:61" s="394" customFormat="1" ht="66.75" customHeight="1">
      <c r="A260" s="423">
        <v>318</v>
      </c>
      <c r="B260" s="392" t="s">
        <v>933</v>
      </c>
      <c r="C260" s="423">
        <v>1</v>
      </c>
      <c r="D260" s="392" t="s">
        <v>148</v>
      </c>
      <c r="E260" s="423">
        <v>19</v>
      </c>
      <c r="F260" s="392" t="s">
        <v>756</v>
      </c>
      <c r="G260" s="423">
        <v>1905</v>
      </c>
      <c r="H260" s="392" t="s">
        <v>757</v>
      </c>
      <c r="I260" s="423">
        <v>1905</v>
      </c>
      <c r="J260" s="392" t="s">
        <v>1005</v>
      </c>
      <c r="K260" s="392" t="s">
        <v>1051</v>
      </c>
      <c r="L260" s="388">
        <v>1905026</v>
      </c>
      <c r="M260" s="397" t="s">
        <v>1114</v>
      </c>
      <c r="N260" s="423">
        <v>1905026</v>
      </c>
      <c r="O260" s="392" t="s">
        <v>1114</v>
      </c>
      <c r="P260" s="388">
        <v>190502600</v>
      </c>
      <c r="Q260" s="397" t="s">
        <v>1053</v>
      </c>
      <c r="R260" s="388">
        <v>190502600</v>
      </c>
      <c r="S260" s="397" t="s">
        <v>1053</v>
      </c>
      <c r="T260" s="401" t="s">
        <v>69</v>
      </c>
      <c r="U260" s="423">
        <v>12</v>
      </c>
      <c r="V260" s="423"/>
      <c r="W260" s="388">
        <v>12</v>
      </c>
      <c r="X260" s="388">
        <v>12</v>
      </c>
      <c r="Y260" s="389">
        <v>2020003630129</v>
      </c>
      <c r="Z260" s="392" t="s">
        <v>1060</v>
      </c>
      <c r="AA260" s="546" t="s">
        <v>1061</v>
      </c>
      <c r="AB260" s="185"/>
      <c r="AC260" s="185"/>
      <c r="AD260" s="185"/>
      <c r="AE260" s="185"/>
      <c r="AF260" s="185"/>
      <c r="AG260" s="185"/>
      <c r="AH260" s="185"/>
      <c r="AI260" s="185"/>
      <c r="AJ260" s="185"/>
      <c r="AK260" s="185"/>
      <c r="AL260" s="185"/>
      <c r="AM260" s="185"/>
      <c r="AN260" s="185"/>
      <c r="AO260" s="185"/>
      <c r="AP260" s="185"/>
      <c r="AQ260" s="185"/>
      <c r="AR260" s="185"/>
      <c r="AS260" s="185"/>
      <c r="AT260" s="189">
        <v>40000000</v>
      </c>
      <c r="AU260" s="189">
        <v>25853333</v>
      </c>
      <c r="AV260" s="189">
        <v>25853333</v>
      </c>
      <c r="AW260" s="185"/>
      <c r="AX260" s="185"/>
      <c r="AY260" s="185"/>
      <c r="AZ260" s="185"/>
      <c r="BA260" s="185"/>
      <c r="BB260" s="185"/>
      <c r="BC260" s="185">
        <f>88356873+219107268-37030406</f>
        <v>270433735</v>
      </c>
      <c r="BD260" s="185">
        <v>90000000</v>
      </c>
      <c r="BE260" s="185">
        <v>90000000</v>
      </c>
      <c r="BF260" s="192">
        <f t="shared" si="19"/>
        <v>310433735</v>
      </c>
      <c r="BG260" s="192">
        <f t="shared" si="20"/>
        <v>115853333</v>
      </c>
      <c r="BH260" s="192">
        <f t="shared" si="21"/>
        <v>115853333</v>
      </c>
      <c r="BI260" s="398" t="s">
        <v>14</v>
      </c>
    </row>
    <row r="261" spans="1:61" s="394" customFormat="1" ht="66.75" customHeight="1">
      <c r="A261" s="423">
        <v>318</v>
      </c>
      <c r="B261" s="392" t="s">
        <v>933</v>
      </c>
      <c r="C261" s="423">
        <v>1</v>
      </c>
      <c r="D261" s="392" t="s">
        <v>148</v>
      </c>
      <c r="E261" s="423">
        <v>19</v>
      </c>
      <c r="F261" s="392" t="s">
        <v>756</v>
      </c>
      <c r="G261" s="423">
        <v>1905</v>
      </c>
      <c r="H261" s="392" t="s">
        <v>757</v>
      </c>
      <c r="I261" s="423">
        <v>1905</v>
      </c>
      <c r="J261" s="392" t="s">
        <v>1005</v>
      </c>
      <c r="K261" s="392" t="s">
        <v>1051</v>
      </c>
      <c r="L261" s="423">
        <v>1905026</v>
      </c>
      <c r="M261" s="397" t="s">
        <v>1052</v>
      </c>
      <c r="N261" s="423">
        <v>1905026</v>
      </c>
      <c r="O261" s="392" t="s">
        <v>1052</v>
      </c>
      <c r="P261" s="388">
        <v>190502600</v>
      </c>
      <c r="Q261" s="397" t="s">
        <v>1053</v>
      </c>
      <c r="R261" s="388">
        <v>190502600</v>
      </c>
      <c r="S261" s="397" t="s">
        <v>1053</v>
      </c>
      <c r="T261" s="401" t="s">
        <v>69</v>
      </c>
      <c r="U261" s="423">
        <v>12</v>
      </c>
      <c r="V261" s="423"/>
      <c r="W261" s="388">
        <v>12</v>
      </c>
      <c r="X261" s="388">
        <v>12</v>
      </c>
      <c r="Y261" s="389">
        <v>2020003630130</v>
      </c>
      <c r="Z261" s="412" t="s">
        <v>1115</v>
      </c>
      <c r="AA261" s="546" t="s">
        <v>1116</v>
      </c>
      <c r="AB261" s="185"/>
      <c r="AC261" s="185"/>
      <c r="AD261" s="185"/>
      <c r="AE261" s="185"/>
      <c r="AF261" s="185"/>
      <c r="AG261" s="185"/>
      <c r="AH261" s="185"/>
      <c r="AI261" s="185"/>
      <c r="AJ261" s="185"/>
      <c r="AK261" s="192"/>
      <c r="AL261" s="192"/>
      <c r="AM261" s="192"/>
      <c r="AN261" s="185"/>
      <c r="AO261" s="185"/>
      <c r="AP261" s="185"/>
      <c r="AQ261" s="185"/>
      <c r="AR261" s="185"/>
      <c r="AS261" s="185"/>
      <c r="AT261" s="189">
        <v>50000000</v>
      </c>
      <c r="AU261" s="189">
        <v>47895000</v>
      </c>
      <c r="AV261" s="189">
        <v>47895000</v>
      </c>
      <c r="AW261" s="185"/>
      <c r="AX261" s="185"/>
      <c r="AY261" s="185"/>
      <c r="AZ261" s="185"/>
      <c r="BA261" s="185"/>
      <c r="BB261" s="185"/>
      <c r="BC261" s="185"/>
      <c r="BD261" s="185"/>
      <c r="BE261" s="185"/>
      <c r="BF261" s="192">
        <f t="shared" si="19"/>
        <v>50000000</v>
      </c>
      <c r="BG261" s="192">
        <f t="shared" si="20"/>
        <v>47895000</v>
      </c>
      <c r="BH261" s="192">
        <f t="shared" si="21"/>
        <v>47895000</v>
      </c>
      <c r="BI261" s="398" t="s">
        <v>14</v>
      </c>
    </row>
    <row r="262" spans="1:61" s="394" customFormat="1" ht="66.75" customHeight="1">
      <c r="A262" s="423">
        <v>318</v>
      </c>
      <c r="B262" s="392" t="s">
        <v>933</v>
      </c>
      <c r="C262" s="423">
        <v>1</v>
      </c>
      <c r="D262" s="392" t="s">
        <v>148</v>
      </c>
      <c r="E262" s="423">
        <v>19</v>
      </c>
      <c r="F262" s="392" t="s">
        <v>756</v>
      </c>
      <c r="G262" s="423">
        <v>1905</v>
      </c>
      <c r="H262" s="392" t="s">
        <v>757</v>
      </c>
      <c r="I262" s="423">
        <v>1905</v>
      </c>
      <c r="J262" s="392" t="s">
        <v>1005</v>
      </c>
      <c r="K262" s="392" t="s">
        <v>958</v>
      </c>
      <c r="L262" s="423">
        <v>1905029</v>
      </c>
      <c r="M262" s="397" t="s">
        <v>1117</v>
      </c>
      <c r="N262" s="423">
        <v>1905030</v>
      </c>
      <c r="O262" s="392" t="s">
        <v>1118</v>
      </c>
      <c r="P262" s="388">
        <v>190502900</v>
      </c>
      <c r="Q262" s="397" t="s">
        <v>1119</v>
      </c>
      <c r="R262" s="388">
        <v>190503000</v>
      </c>
      <c r="S262" s="397" t="s">
        <v>1119</v>
      </c>
      <c r="T262" s="388" t="s">
        <v>69</v>
      </c>
      <c r="U262" s="388">
        <v>60</v>
      </c>
      <c r="V262" s="388"/>
      <c r="W262" s="388">
        <v>60</v>
      </c>
      <c r="X262" s="388">
        <v>60</v>
      </c>
      <c r="Y262" s="389">
        <v>2020003630131</v>
      </c>
      <c r="Z262" s="412" t="s">
        <v>1120</v>
      </c>
      <c r="AA262" s="546" t="s">
        <v>1121</v>
      </c>
      <c r="AB262" s="185"/>
      <c r="AC262" s="185"/>
      <c r="AD262" s="185"/>
      <c r="AE262" s="185"/>
      <c r="AF262" s="185"/>
      <c r="AG262" s="185"/>
      <c r="AH262" s="185">
        <v>12500000</v>
      </c>
      <c r="AI262" s="185">
        <v>12500000</v>
      </c>
      <c r="AJ262" s="185">
        <v>3966667</v>
      </c>
      <c r="AK262" s="185">
        <v>7000000</v>
      </c>
      <c r="AL262" s="185">
        <f>AK262</f>
        <v>7000000</v>
      </c>
      <c r="AM262" s="185">
        <v>7000000</v>
      </c>
      <c r="AN262" s="185"/>
      <c r="AO262" s="185"/>
      <c r="AP262" s="185"/>
      <c r="AQ262" s="185"/>
      <c r="AR262" s="185"/>
      <c r="AS262" s="185"/>
      <c r="AT262" s="189">
        <v>25000000</v>
      </c>
      <c r="AU262" s="189">
        <f>AT262</f>
        <v>25000000</v>
      </c>
      <c r="AV262" s="189">
        <v>25000000</v>
      </c>
      <c r="AW262" s="185"/>
      <c r="AX262" s="185"/>
      <c r="AY262" s="185"/>
      <c r="AZ262" s="185"/>
      <c r="BA262" s="185"/>
      <c r="BB262" s="185"/>
      <c r="BC262" s="185"/>
      <c r="BD262" s="185"/>
      <c r="BE262" s="185"/>
      <c r="BF262" s="192">
        <f t="shared" si="19"/>
        <v>44500000</v>
      </c>
      <c r="BG262" s="192">
        <f t="shared" si="20"/>
        <v>44500000</v>
      </c>
      <c r="BH262" s="192">
        <f t="shared" si="21"/>
        <v>35966667</v>
      </c>
      <c r="BI262" s="398" t="s">
        <v>14</v>
      </c>
    </row>
    <row r="263" spans="1:61" s="394" customFormat="1" ht="66.75" customHeight="1">
      <c r="A263" s="423">
        <v>318</v>
      </c>
      <c r="B263" s="392" t="s">
        <v>933</v>
      </c>
      <c r="C263" s="423">
        <v>1</v>
      </c>
      <c r="D263" s="392" t="s">
        <v>148</v>
      </c>
      <c r="E263" s="423">
        <v>19</v>
      </c>
      <c r="F263" s="392" t="s">
        <v>756</v>
      </c>
      <c r="G263" s="423">
        <v>1905</v>
      </c>
      <c r="H263" s="392" t="s">
        <v>757</v>
      </c>
      <c r="I263" s="423">
        <v>1905</v>
      </c>
      <c r="J263" s="392" t="s">
        <v>1005</v>
      </c>
      <c r="K263" s="392" t="s">
        <v>991</v>
      </c>
      <c r="L263" s="423">
        <v>1905025</v>
      </c>
      <c r="M263" s="397" t="s">
        <v>1122</v>
      </c>
      <c r="N263" s="423">
        <v>1905025</v>
      </c>
      <c r="O263" s="392" t="s">
        <v>1122</v>
      </c>
      <c r="P263" s="388">
        <v>190502500</v>
      </c>
      <c r="Q263" s="397" t="s">
        <v>1123</v>
      </c>
      <c r="R263" s="388">
        <v>190502500</v>
      </c>
      <c r="S263" s="397" t="s">
        <v>1123</v>
      </c>
      <c r="T263" s="388" t="s">
        <v>69</v>
      </c>
      <c r="U263" s="388">
        <v>12</v>
      </c>
      <c r="V263" s="388"/>
      <c r="W263" s="388">
        <f t="shared" ref="W263:W276" si="22">U263+V263</f>
        <v>12</v>
      </c>
      <c r="X263" s="388">
        <v>12</v>
      </c>
      <c r="Y263" s="389">
        <v>2020003630132</v>
      </c>
      <c r="Z263" s="412" t="s">
        <v>1124</v>
      </c>
      <c r="AA263" s="546" t="s">
        <v>1125</v>
      </c>
      <c r="AB263" s="185"/>
      <c r="AC263" s="185"/>
      <c r="AD263" s="185"/>
      <c r="AE263" s="185"/>
      <c r="AF263" s="185"/>
      <c r="AG263" s="185"/>
      <c r="AH263" s="185">
        <f>90000000/2</f>
        <v>45000000</v>
      </c>
      <c r="AI263" s="185">
        <v>44236666</v>
      </c>
      <c r="AJ263" s="185">
        <v>44236666</v>
      </c>
      <c r="AK263" s="185">
        <v>31500000</v>
      </c>
      <c r="AL263" s="185">
        <v>20825000</v>
      </c>
      <c r="AM263" s="185">
        <v>20825000</v>
      </c>
      <c r="AN263" s="185"/>
      <c r="AO263" s="185"/>
      <c r="AP263" s="185"/>
      <c r="AQ263" s="185"/>
      <c r="AR263" s="185"/>
      <c r="AS263" s="185"/>
      <c r="AT263" s="189">
        <v>40000000</v>
      </c>
      <c r="AU263" s="189">
        <v>31603332</v>
      </c>
      <c r="AV263" s="189">
        <v>31603332</v>
      </c>
      <c r="AW263" s="185"/>
      <c r="AX263" s="185"/>
      <c r="AY263" s="185"/>
      <c r="AZ263" s="185"/>
      <c r="BA263" s="185"/>
      <c r="BB263" s="185"/>
      <c r="BC263" s="185"/>
      <c r="BD263" s="185"/>
      <c r="BE263" s="185"/>
      <c r="BF263" s="192">
        <f t="shared" si="19"/>
        <v>116500000</v>
      </c>
      <c r="BG263" s="192">
        <f t="shared" si="20"/>
        <v>96664998</v>
      </c>
      <c r="BH263" s="192">
        <f t="shared" si="21"/>
        <v>96664998</v>
      </c>
      <c r="BI263" s="398" t="s">
        <v>14</v>
      </c>
    </row>
    <row r="264" spans="1:61" s="394" customFormat="1" ht="66.75" customHeight="1">
      <c r="A264" s="423">
        <v>324</v>
      </c>
      <c r="B264" s="392" t="s">
        <v>1126</v>
      </c>
      <c r="C264" s="423">
        <v>1</v>
      </c>
      <c r="D264" s="392" t="s">
        <v>148</v>
      </c>
      <c r="E264" s="423">
        <v>23</v>
      </c>
      <c r="F264" s="392" t="s">
        <v>1127</v>
      </c>
      <c r="G264" s="423">
        <v>2301</v>
      </c>
      <c r="H264" s="392" t="s">
        <v>1128</v>
      </c>
      <c r="I264" s="423">
        <v>2301</v>
      </c>
      <c r="J264" s="392" t="s">
        <v>1129</v>
      </c>
      <c r="K264" s="392" t="s">
        <v>1130</v>
      </c>
      <c r="L264" s="423">
        <v>2301024</v>
      </c>
      <c r="M264" s="397" t="s">
        <v>1131</v>
      </c>
      <c r="N264" s="423">
        <v>2301024</v>
      </c>
      <c r="O264" s="392" t="s">
        <v>1131</v>
      </c>
      <c r="P264" s="388">
        <v>230102401</v>
      </c>
      <c r="Q264" s="397" t="s">
        <v>1132</v>
      </c>
      <c r="R264" s="388">
        <v>230102401</v>
      </c>
      <c r="S264" s="397" t="s">
        <v>1132</v>
      </c>
      <c r="T264" s="401" t="s">
        <v>69</v>
      </c>
      <c r="U264" s="388">
        <v>15</v>
      </c>
      <c r="V264" s="388"/>
      <c r="W264" s="388">
        <f t="shared" si="22"/>
        <v>15</v>
      </c>
      <c r="X264" s="388">
        <v>15</v>
      </c>
      <c r="Y264" s="389">
        <v>2020003630038</v>
      </c>
      <c r="Z264" s="412" t="s">
        <v>1133</v>
      </c>
      <c r="AA264" s="546" t="s">
        <v>1134</v>
      </c>
      <c r="AB264" s="185"/>
      <c r="AC264" s="185"/>
      <c r="AD264" s="185"/>
      <c r="AE264" s="192"/>
      <c r="AF264" s="192"/>
      <c r="AG264" s="192"/>
      <c r="AH264" s="192"/>
      <c r="AI264" s="192"/>
      <c r="AJ264" s="192"/>
      <c r="AK264" s="192"/>
      <c r="AL264" s="192"/>
      <c r="AM264" s="192"/>
      <c r="AN264" s="192"/>
      <c r="AO264" s="192"/>
      <c r="AP264" s="192"/>
      <c r="AQ264" s="192"/>
      <c r="AR264" s="192"/>
      <c r="AS264" s="192"/>
      <c r="AT264" s="192">
        <f>18000000+6000000+36000000+21000000+22000000+14613333</f>
        <v>117613333</v>
      </c>
      <c r="AU264" s="192">
        <v>95055000</v>
      </c>
      <c r="AV264" s="192">
        <v>95055000</v>
      </c>
      <c r="AW264" s="192"/>
      <c r="AX264" s="192"/>
      <c r="AY264" s="192"/>
      <c r="AZ264" s="192"/>
      <c r="BA264" s="192"/>
      <c r="BB264" s="192"/>
      <c r="BC264" s="192"/>
      <c r="BD264" s="192"/>
      <c r="BE264" s="192"/>
      <c r="BF264" s="192">
        <f t="shared" si="19"/>
        <v>117613333</v>
      </c>
      <c r="BG264" s="192">
        <f t="shared" si="20"/>
        <v>95055000</v>
      </c>
      <c r="BH264" s="192">
        <f t="shared" si="21"/>
        <v>95055000</v>
      </c>
      <c r="BI264" s="398" t="s">
        <v>13</v>
      </c>
    </row>
    <row r="265" spans="1:61" s="394" customFormat="1" ht="66.75" customHeight="1">
      <c r="A265" s="423">
        <v>324</v>
      </c>
      <c r="B265" s="392" t="s">
        <v>1126</v>
      </c>
      <c r="C265" s="423">
        <v>1</v>
      </c>
      <c r="D265" s="392" t="s">
        <v>148</v>
      </c>
      <c r="E265" s="423">
        <v>23</v>
      </c>
      <c r="F265" s="392" t="s">
        <v>1127</v>
      </c>
      <c r="G265" s="423">
        <v>2301</v>
      </c>
      <c r="H265" s="392" t="s">
        <v>1128</v>
      </c>
      <c r="I265" s="423">
        <v>2301</v>
      </c>
      <c r="J265" s="392" t="s">
        <v>1129</v>
      </c>
      <c r="K265" s="392" t="s">
        <v>1130</v>
      </c>
      <c r="L265" s="423">
        <v>2301024</v>
      </c>
      <c r="M265" s="397" t="s">
        <v>1131</v>
      </c>
      <c r="N265" s="423">
        <v>2301024</v>
      </c>
      <c r="O265" s="392" t="s">
        <v>1131</v>
      </c>
      <c r="P265" s="388">
        <v>230102404</v>
      </c>
      <c r="Q265" s="397" t="s">
        <v>1135</v>
      </c>
      <c r="R265" s="388">
        <v>230102404</v>
      </c>
      <c r="S265" s="397" t="s">
        <v>1135</v>
      </c>
      <c r="T265" s="401" t="s">
        <v>157</v>
      </c>
      <c r="U265" s="388">
        <v>4</v>
      </c>
      <c r="V265" s="388"/>
      <c r="W265" s="388">
        <f t="shared" si="22"/>
        <v>4</v>
      </c>
      <c r="X265" s="388">
        <v>4</v>
      </c>
      <c r="Y265" s="389">
        <v>2020003630038</v>
      </c>
      <c r="Z265" s="412" t="s">
        <v>1133</v>
      </c>
      <c r="AA265" s="546" t="s">
        <v>1134</v>
      </c>
      <c r="AB265" s="185"/>
      <c r="AC265" s="185"/>
      <c r="AD265" s="185"/>
      <c r="AE265" s="192"/>
      <c r="AF265" s="192"/>
      <c r="AG265" s="192"/>
      <c r="AH265" s="192"/>
      <c r="AI265" s="192"/>
      <c r="AJ265" s="192"/>
      <c r="AK265" s="192"/>
      <c r="AL265" s="192"/>
      <c r="AM265" s="192"/>
      <c r="AN265" s="192"/>
      <c r="AO265" s="192"/>
      <c r="AP265" s="192"/>
      <c r="AQ265" s="192"/>
      <c r="AR265" s="192"/>
      <c r="AS265" s="192"/>
      <c r="AT265" s="192">
        <f>100000000+39000000+26000000-26000000</f>
        <v>139000000</v>
      </c>
      <c r="AU265" s="192">
        <v>128480000</v>
      </c>
      <c r="AV265" s="192">
        <v>128480000</v>
      </c>
      <c r="AW265" s="192"/>
      <c r="AX265" s="192"/>
      <c r="AY265" s="192"/>
      <c r="AZ265" s="192"/>
      <c r="BA265" s="192"/>
      <c r="BB265" s="192"/>
      <c r="BC265" s="192"/>
      <c r="BD265" s="192"/>
      <c r="BE265" s="192"/>
      <c r="BF265" s="192">
        <f t="shared" si="19"/>
        <v>139000000</v>
      </c>
      <c r="BG265" s="192">
        <f t="shared" si="20"/>
        <v>128480000</v>
      </c>
      <c r="BH265" s="192">
        <f t="shared" si="21"/>
        <v>128480000</v>
      </c>
      <c r="BI265" s="398" t="s">
        <v>13</v>
      </c>
    </row>
    <row r="266" spans="1:61" s="394" customFormat="1" ht="66.75" customHeight="1">
      <c r="A266" s="423">
        <v>324</v>
      </c>
      <c r="B266" s="392" t="s">
        <v>1126</v>
      </c>
      <c r="C266" s="423">
        <v>1</v>
      </c>
      <c r="D266" s="392" t="s">
        <v>148</v>
      </c>
      <c r="E266" s="423">
        <v>23</v>
      </c>
      <c r="F266" s="392" t="s">
        <v>1127</v>
      </c>
      <c r="G266" s="423">
        <v>2301</v>
      </c>
      <c r="H266" s="392" t="s">
        <v>1128</v>
      </c>
      <c r="I266" s="423">
        <v>2301</v>
      </c>
      <c r="J266" s="392" t="s">
        <v>1129</v>
      </c>
      <c r="K266" s="392" t="s">
        <v>1130</v>
      </c>
      <c r="L266" s="388">
        <v>2301012</v>
      </c>
      <c r="M266" s="397" t="s">
        <v>1136</v>
      </c>
      <c r="N266" s="423">
        <v>2301079</v>
      </c>
      <c r="O266" s="392" t="s">
        <v>1137</v>
      </c>
      <c r="P266" s="388">
        <v>230101204</v>
      </c>
      <c r="Q266" s="397" t="s">
        <v>1138</v>
      </c>
      <c r="R266" s="388">
        <v>230107902</v>
      </c>
      <c r="S266" s="397" t="s">
        <v>1139</v>
      </c>
      <c r="T266" s="401" t="s">
        <v>157</v>
      </c>
      <c r="U266" s="388">
        <v>15</v>
      </c>
      <c r="V266" s="388"/>
      <c r="W266" s="388">
        <f t="shared" si="22"/>
        <v>15</v>
      </c>
      <c r="X266" s="388">
        <v>15</v>
      </c>
      <c r="Y266" s="389">
        <v>2020003630038</v>
      </c>
      <c r="Z266" s="412" t="s">
        <v>1133</v>
      </c>
      <c r="AA266" s="546" t="s">
        <v>1134</v>
      </c>
      <c r="AB266" s="185"/>
      <c r="AC266" s="185"/>
      <c r="AD266" s="185"/>
      <c r="AE266" s="192"/>
      <c r="AF266" s="192"/>
      <c r="AG266" s="192"/>
      <c r="AH266" s="192"/>
      <c r="AI266" s="192"/>
      <c r="AJ266" s="192"/>
      <c r="AK266" s="192"/>
      <c r="AL266" s="192"/>
      <c r="AM266" s="192"/>
      <c r="AN266" s="192"/>
      <c r="AO266" s="192"/>
      <c r="AP266" s="192"/>
      <c r="AQ266" s="192"/>
      <c r="AR266" s="192"/>
      <c r="AS266" s="192"/>
      <c r="AT266" s="192">
        <f>80000000-49707500+18000000+86000000-26000000-8655000</f>
        <v>99637500</v>
      </c>
      <c r="AU266" s="192">
        <v>99632000</v>
      </c>
      <c r="AV266" s="192">
        <v>99632000</v>
      </c>
      <c r="AW266" s="192"/>
      <c r="AX266" s="192"/>
      <c r="AY266" s="192"/>
      <c r="AZ266" s="192"/>
      <c r="BA266" s="192"/>
      <c r="BB266" s="192"/>
      <c r="BC266" s="192"/>
      <c r="BD266" s="192"/>
      <c r="BE266" s="192"/>
      <c r="BF266" s="192">
        <f t="shared" si="19"/>
        <v>99637500</v>
      </c>
      <c r="BG266" s="192">
        <f t="shared" si="20"/>
        <v>99632000</v>
      </c>
      <c r="BH266" s="192">
        <f t="shared" si="21"/>
        <v>99632000</v>
      </c>
      <c r="BI266" s="398" t="s">
        <v>13</v>
      </c>
    </row>
    <row r="267" spans="1:61" s="394" customFormat="1" ht="66.75" customHeight="1">
      <c r="A267" s="423">
        <v>324</v>
      </c>
      <c r="B267" s="392" t="s">
        <v>1126</v>
      </c>
      <c r="C267" s="423">
        <v>1</v>
      </c>
      <c r="D267" s="392" t="s">
        <v>148</v>
      </c>
      <c r="E267" s="423">
        <v>23</v>
      </c>
      <c r="F267" s="392" t="s">
        <v>1127</v>
      </c>
      <c r="G267" s="423">
        <v>2301</v>
      </c>
      <c r="H267" s="392" t="s">
        <v>1128</v>
      </c>
      <c r="I267" s="423">
        <v>2301</v>
      </c>
      <c r="J267" s="392" t="s">
        <v>1129</v>
      </c>
      <c r="K267" s="392" t="s">
        <v>1130</v>
      </c>
      <c r="L267" s="423">
        <v>2301062</v>
      </c>
      <c r="M267" s="397" t="s">
        <v>1140</v>
      </c>
      <c r="N267" s="423">
        <v>2301062</v>
      </c>
      <c r="O267" s="392" t="s">
        <v>1140</v>
      </c>
      <c r="P267" s="388">
        <v>230106201</v>
      </c>
      <c r="Q267" s="397" t="s">
        <v>1141</v>
      </c>
      <c r="R267" s="388">
        <v>230106201</v>
      </c>
      <c r="S267" s="397" t="s">
        <v>1141</v>
      </c>
      <c r="T267" s="401"/>
      <c r="U267" s="388">
        <v>7</v>
      </c>
      <c r="V267" s="388"/>
      <c r="W267" s="388">
        <f t="shared" si="22"/>
        <v>7</v>
      </c>
      <c r="X267" s="388">
        <v>5</v>
      </c>
      <c r="Y267" s="389">
        <v>2020003630038</v>
      </c>
      <c r="Z267" s="412" t="s">
        <v>1133</v>
      </c>
      <c r="AA267" s="546" t="s">
        <v>1134</v>
      </c>
      <c r="AB267" s="185"/>
      <c r="AC267" s="185"/>
      <c r="AD267" s="185"/>
      <c r="AE267" s="192"/>
      <c r="AF267" s="192"/>
      <c r="AG267" s="192"/>
      <c r="AH267" s="192"/>
      <c r="AI267" s="192"/>
      <c r="AJ267" s="192"/>
      <c r="AK267" s="192"/>
      <c r="AL267" s="192"/>
      <c r="AM267" s="192"/>
      <c r="AN267" s="192"/>
      <c r="AO267" s="192"/>
      <c r="AP267" s="192"/>
      <c r="AQ267" s="192"/>
      <c r="AR267" s="192"/>
      <c r="AS267" s="192"/>
      <c r="AT267" s="192">
        <f>50000000-30207500+12000000-5092500</f>
        <v>26700000</v>
      </c>
      <c r="AU267" s="192">
        <v>26700000</v>
      </c>
      <c r="AV267" s="192">
        <v>26700000</v>
      </c>
      <c r="AW267" s="192"/>
      <c r="AX267" s="192"/>
      <c r="AY267" s="192"/>
      <c r="AZ267" s="192"/>
      <c r="BA267" s="192"/>
      <c r="BB267" s="192"/>
      <c r="BC267" s="192"/>
      <c r="BD267" s="192"/>
      <c r="BE267" s="192"/>
      <c r="BF267" s="192">
        <f t="shared" si="19"/>
        <v>26700000</v>
      </c>
      <c r="BG267" s="192">
        <f t="shared" si="20"/>
        <v>26700000</v>
      </c>
      <c r="BH267" s="192">
        <f t="shared" si="21"/>
        <v>26700000</v>
      </c>
      <c r="BI267" s="398" t="s">
        <v>13</v>
      </c>
    </row>
    <row r="268" spans="1:61" s="394" customFormat="1" ht="66.75" customHeight="1">
      <c r="A268" s="423">
        <v>324</v>
      </c>
      <c r="B268" s="392" t="s">
        <v>1126</v>
      </c>
      <c r="C268" s="423">
        <v>1</v>
      </c>
      <c r="D268" s="392" t="s">
        <v>148</v>
      </c>
      <c r="E268" s="423">
        <v>23</v>
      </c>
      <c r="F268" s="392" t="s">
        <v>1127</v>
      </c>
      <c r="G268" s="423">
        <v>2301</v>
      </c>
      <c r="H268" s="392" t="s">
        <v>1128</v>
      </c>
      <c r="I268" s="423">
        <v>2301</v>
      </c>
      <c r="J268" s="392" t="s">
        <v>1129</v>
      </c>
      <c r="K268" s="392" t="s">
        <v>1142</v>
      </c>
      <c r="L268" s="423">
        <v>2301030</v>
      </c>
      <c r="M268" s="397" t="s">
        <v>1143</v>
      </c>
      <c r="N268" s="423">
        <v>2301030</v>
      </c>
      <c r="O268" s="392" t="s">
        <v>1143</v>
      </c>
      <c r="P268" s="388">
        <v>230103000</v>
      </c>
      <c r="Q268" s="397" t="s">
        <v>1144</v>
      </c>
      <c r="R268" s="388">
        <v>230103000</v>
      </c>
      <c r="S268" s="397" t="s">
        <v>1144</v>
      </c>
      <c r="T268" s="401" t="s">
        <v>157</v>
      </c>
      <c r="U268" s="388">
        <v>7000</v>
      </c>
      <c r="V268" s="388"/>
      <c r="W268" s="388">
        <f t="shared" si="22"/>
        <v>7000</v>
      </c>
      <c r="X268" s="388">
        <v>7000</v>
      </c>
      <c r="Y268" s="389">
        <v>2020003630139</v>
      </c>
      <c r="Z268" s="412" t="s">
        <v>1145</v>
      </c>
      <c r="AA268" s="546" t="s">
        <v>1146</v>
      </c>
      <c r="AB268" s="185"/>
      <c r="AC268" s="185"/>
      <c r="AD268" s="185"/>
      <c r="AE268" s="192"/>
      <c r="AF268" s="192"/>
      <c r="AG268" s="192"/>
      <c r="AH268" s="192"/>
      <c r="AI268" s="192"/>
      <c r="AJ268" s="192"/>
      <c r="AK268" s="192"/>
      <c r="AL268" s="192"/>
      <c r="AM268" s="192"/>
      <c r="AN268" s="192"/>
      <c r="AO268" s="192"/>
      <c r="AP268" s="192"/>
      <c r="AQ268" s="192"/>
      <c r="AR268" s="192"/>
      <c r="AS268" s="192"/>
      <c r="AT268" s="192">
        <f>115915000+34774500+113000000+84250000+294725000+76710836+23131666</f>
        <v>742507002</v>
      </c>
      <c r="AU268" s="192">
        <v>733247164</v>
      </c>
      <c r="AV268" s="192">
        <v>733247164</v>
      </c>
      <c r="AW268" s="192"/>
      <c r="AX268" s="192"/>
      <c r="AY268" s="192"/>
      <c r="AZ268" s="192"/>
      <c r="BA268" s="192"/>
      <c r="BB268" s="192"/>
      <c r="BC268" s="192"/>
      <c r="BD268" s="192"/>
      <c r="BE268" s="192"/>
      <c r="BF268" s="192">
        <f t="shared" si="19"/>
        <v>742507002</v>
      </c>
      <c r="BG268" s="192">
        <f t="shared" si="20"/>
        <v>733247164</v>
      </c>
      <c r="BH268" s="192">
        <f t="shared" si="21"/>
        <v>733247164</v>
      </c>
      <c r="BI268" s="398" t="s">
        <v>13</v>
      </c>
    </row>
    <row r="269" spans="1:61" s="394" customFormat="1" ht="66.75" customHeight="1">
      <c r="A269" s="423">
        <v>324</v>
      </c>
      <c r="B269" s="392" t="s">
        <v>1126</v>
      </c>
      <c r="C269" s="423">
        <v>1</v>
      </c>
      <c r="D269" s="392" t="s">
        <v>148</v>
      </c>
      <c r="E269" s="423">
        <v>23</v>
      </c>
      <c r="F269" s="392" t="s">
        <v>1127</v>
      </c>
      <c r="G269" s="423">
        <v>2301</v>
      </c>
      <c r="H269" s="392" t="s">
        <v>1128</v>
      </c>
      <c r="I269" s="423">
        <v>2301</v>
      </c>
      <c r="J269" s="392" t="s">
        <v>1129</v>
      </c>
      <c r="K269" s="392" t="s">
        <v>1142</v>
      </c>
      <c r="L269" s="423">
        <v>2301015</v>
      </c>
      <c r="M269" s="397" t="s">
        <v>1147</v>
      </c>
      <c r="N269" s="423">
        <v>2301015</v>
      </c>
      <c r="O269" s="392" t="s">
        <v>1147</v>
      </c>
      <c r="P269" s="388">
        <v>230101500</v>
      </c>
      <c r="Q269" s="397" t="s">
        <v>1148</v>
      </c>
      <c r="R269" s="388">
        <v>230101500</v>
      </c>
      <c r="S269" s="397" t="s">
        <v>1148</v>
      </c>
      <c r="T269" s="401" t="s">
        <v>69</v>
      </c>
      <c r="U269" s="388">
        <v>3</v>
      </c>
      <c r="V269" s="388"/>
      <c r="W269" s="388">
        <f t="shared" si="22"/>
        <v>3</v>
      </c>
      <c r="X269" s="388">
        <v>3</v>
      </c>
      <c r="Y269" s="389">
        <v>2020003630139</v>
      </c>
      <c r="Z269" s="412" t="s">
        <v>1145</v>
      </c>
      <c r="AA269" s="546" t="s">
        <v>1146</v>
      </c>
      <c r="AB269" s="185"/>
      <c r="AC269" s="185"/>
      <c r="AD269" s="185"/>
      <c r="AE269" s="192"/>
      <c r="AF269" s="192"/>
      <c r="AG269" s="192"/>
      <c r="AH269" s="192"/>
      <c r="AI269" s="192"/>
      <c r="AJ269" s="192"/>
      <c r="AK269" s="192"/>
      <c r="AL269" s="192"/>
      <c r="AM269" s="192"/>
      <c r="AN269" s="192"/>
      <c r="AO269" s="192"/>
      <c r="AP269" s="192"/>
      <c r="AQ269" s="192"/>
      <c r="AR269" s="192"/>
      <c r="AS269" s="192"/>
      <c r="AT269" s="192">
        <f>18000000+5400000+9400000+55400000</f>
        <v>88200000</v>
      </c>
      <c r="AU269" s="192">
        <v>85160000</v>
      </c>
      <c r="AV269" s="192">
        <v>85160000</v>
      </c>
      <c r="AW269" s="192"/>
      <c r="AX269" s="192"/>
      <c r="AY269" s="192"/>
      <c r="AZ269" s="192"/>
      <c r="BA269" s="192"/>
      <c r="BB269" s="192"/>
      <c r="BC269" s="192"/>
      <c r="BD269" s="192"/>
      <c r="BE269" s="192"/>
      <c r="BF269" s="192">
        <f t="shared" si="19"/>
        <v>88200000</v>
      </c>
      <c r="BG269" s="192">
        <f t="shared" si="20"/>
        <v>85160000</v>
      </c>
      <c r="BH269" s="192">
        <f t="shared" si="21"/>
        <v>85160000</v>
      </c>
      <c r="BI269" s="398" t="s">
        <v>13</v>
      </c>
    </row>
    <row r="270" spans="1:61" s="394" customFormat="1" ht="66.75" customHeight="1">
      <c r="A270" s="423">
        <v>324</v>
      </c>
      <c r="B270" s="392" t="s">
        <v>1126</v>
      </c>
      <c r="C270" s="423">
        <v>1</v>
      </c>
      <c r="D270" s="392" t="s">
        <v>148</v>
      </c>
      <c r="E270" s="423">
        <v>23</v>
      </c>
      <c r="F270" s="392" t="s">
        <v>1127</v>
      </c>
      <c r="G270" s="423">
        <v>2301</v>
      </c>
      <c r="H270" s="392" t="s">
        <v>1128</v>
      </c>
      <c r="I270" s="423">
        <v>2301</v>
      </c>
      <c r="J270" s="392" t="s">
        <v>1129</v>
      </c>
      <c r="K270" s="392" t="s">
        <v>1142</v>
      </c>
      <c r="L270" s="423">
        <v>2301004</v>
      </c>
      <c r="M270" s="397" t="s">
        <v>254</v>
      </c>
      <c r="N270" s="423">
        <v>2301004</v>
      </c>
      <c r="O270" s="392" t="s">
        <v>254</v>
      </c>
      <c r="P270" s="388">
        <v>230200400</v>
      </c>
      <c r="Q270" s="397" t="s">
        <v>256</v>
      </c>
      <c r="R270" s="388">
        <v>230100400</v>
      </c>
      <c r="S270" s="393" t="s">
        <v>256</v>
      </c>
      <c r="T270" s="401" t="s">
        <v>69</v>
      </c>
      <c r="U270" s="388">
        <v>1</v>
      </c>
      <c r="V270" s="388"/>
      <c r="W270" s="388">
        <f t="shared" si="22"/>
        <v>1</v>
      </c>
      <c r="X270" s="388">
        <v>1</v>
      </c>
      <c r="Y270" s="389">
        <v>2020003630139</v>
      </c>
      <c r="Z270" s="412" t="s">
        <v>1145</v>
      </c>
      <c r="AA270" s="546" t="s">
        <v>1146</v>
      </c>
      <c r="AB270" s="185"/>
      <c r="AC270" s="185"/>
      <c r="AD270" s="185"/>
      <c r="AE270" s="192"/>
      <c r="AF270" s="192"/>
      <c r="AG270" s="192"/>
      <c r="AH270" s="192"/>
      <c r="AI270" s="192"/>
      <c r="AJ270" s="192"/>
      <c r="AK270" s="192"/>
      <c r="AL270" s="192"/>
      <c r="AM270" s="192"/>
      <c r="AN270" s="192"/>
      <c r="AO270" s="192"/>
      <c r="AP270" s="192"/>
      <c r="AQ270" s="192"/>
      <c r="AR270" s="192"/>
      <c r="AS270" s="192"/>
      <c r="AT270" s="192">
        <f>18000000+4200000</f>
        <v>22200000</v>
      </c>
      <c r="AU270" s="192">
        <v>22199988</v>
      </c>
      <c r="AV270" s="192">
        <v>22199988</v>
      </c>
      <c r="AW270" s="192"/>
      <c r="AX270" s="192"/>
      <c r="AY270" s="192"/>
      <c r="AZ270" s="192"/>
      <c r="BA270" s="192"/>
      <c r="BB270" s="192"/>
      <c r="BC270" s="192"/>
      <c r="BD270" s="192"/>
      <c r="BE270" s="192"/>
      <c r="BF270" s="192">
        <f t="shared" si="19"/>
        <v>22200000</v>
      </c>
      <c r="BG270" s="192">
        <f t="shared" si="20"/>
        <v>22199988</v>
      </c>
      <c r="BH270" s="192">
        <f t="shared" si="21"/>
        <v>22199988</v>
      </c>
      <c r="BI270" s="398" t="s">
        <v>13</v>
      </c>
    </row>
    <row r="271" spans="1:61" s="394" customFormat="1" ht="66.75" customHeight="1">
      <c r="A271" s="423">
        <v>324</v>
      </c>
      <c r="B271" s="392" t="s">
        <v>1126</v>
      </c>
      <c r="C271" s="423">
        <v>1</v>
      </c>
      <c r="D271" s="392" t="s">
        <v>148</v>
      </c>
      <c r="E271" s="423">
        <v>23</v>
      </c>
      <c r="F271" s="392" t="s">
        <v>1127</v>
      </c>
      <c r="G271" s="423">
        <v>2301</v>
      </c>
      <c r="H271" s="392" t="s">
        <v>1128</v>
      </c>
      <c r="I271" s="423">
        <v>2301</v>
      </c>
      <c r="J271" s="392" t="s">
        <v>1129</v>
      </c>
      <c r="K271" s="392" t="s">
        <v>1142</v>
      </c>
      <c r="L271" s="423">
        <v>2301035</v>
      </c>
      <c r="M271" s="397" t="s">
        <v>1149</v>
      </c>
      <c r="N271" s="423">
        <v>2301035</v>
      </c>
      <c r="O271" s="392" t="s">
        <v>1149</v>
      </c>
      <c r="P271" s="388">
        <v>230103500</v>
      </c>
      <c r="Q271" s="397" t="s">
        <v>1150</v>
      </c>
      <c r="R271" s="388">
        <v>230103500</v>
      </c>
      <c r="S271" s="397" t="s">
        <v>1150</v>
      </c>
      <c r="T271" s="401" t="s">
        <v>157</v>
      </c>
      <c r="U271" s="388">
        <v>40</v>
      </c>
      <c r="V271" s="388"/>
      <c r="W271" s="388">
        <f t="shared" si="22"/>
        <v>40</v>
      </c>
      <c r="X271" s="388">
        <v>40</v>
      </c>
      <c r="Y271" s="389">
        <v>2020003630139</v>
      </c>
      <c r="Z271" s="412" t="s">
        <v>1145</v>
      </c>
      <c r="AA271" s="546" t="s">
        <v>1146</v>
      </c>
      <c r="AB271" s="185"/>
      <c r="AC271" s="185"/>
      <c r="AD271" s="185"/>
      <c r="AE271" s="192"/>
      <c r="AF271" s="192"/>
      <c r="AG271" s="192"/>
      <c r="AH271" s="192"/>
      <c r="AI271" s="192"/>
      <c r="AJ271" s="192"/>
      <c r="AK271" s="192"/>
      <c r="AL271" s="192"/>
      <c r="AM271" s="192"/>
      <c r="AN271" s="192"/>
      <c r="AO271" s="192"/>
      <c r="AP271" s="192"/>
      <c r="AQ271" s="192"/>
      <c r="AR271" s="192"/>
      <c r="AS271" s="192"/>
      <c r="AT271" s="192">
        <f>36000000+10800000+4500000+20200000-8640000</f>
        <v>62860000</v>
      </c>
      <c r="AU271" s="192">
        <v>62860000</v>
      </c>
      <c r="AV271" s="192">
        <v>62860000</v>
      </c>
      <c r="AW271" s="192"/>
      <c r="AX271" s="192"/>
      <c r="AY271" s="192"/>
      <c r="AZ271" s="192"/>
      <c r="BA271" s="192"/>
      <c r="BB271" s="192"/>
      <c r="BC271" s="192"/>
      <c r="BD271" s="192"/>
      <c r="BE271" s="192"/>
      <c r="BF271" s="192">
        <f t="shared" si="19"/>
        <v>62860000</v>
      </c>
      <c r="BG271" s="192">
        <f t="shared" si="20"/>
        <v>62860000</v>
      </c>
      <c r="BH271" s="192">
        <f t="shared" si="21"/>
        <v>62860000</v>
      </c>
      <c r="BI271" s="398" t="s">
        <v>13</v>
      </c>
    </row>
    <row r="272" spans="1:61" s="394" customFormat="1" ht="66.75" customHeight="1">
      <c r="A272" s="423">
        <v>324</v>
      </c>
      <c r="B272" s="392" t="s">
        <v>1126</v>
      </c>
      <c r="C272" s="423">
        <v>1</v>
      </c>
      <c r="D272" s="392" t="s">
        <v>148</v>
      </c>
      <c r="E272" s="423">
        <v>23</v>
      </c>
      <c r="F272" s="392" t="s">
        <v>1127</v>
      </c>
      <c r="G272" s="423">
        <v>2301</v>
      </c>
      <c r="H272" s="392" t="s">
        <v>1128</v>
      </c>
      <c r="I272" s="423">
        <v>2301</v>
      </c>
      <c r="J272" s="392" t="s">
        <v>1129</v>
      </c>
      <c r="K272" s="392" t="s">
        <v>1142</v>
      </c>
      <c r="L272" s="423">
        <v>2301042</v>
      </c>
      <c r="M272" s="397" t="s">
        <v>1151</v>
      </c>
      <c r="N272" s="423">
        <v>2301042</v>
      </c>
      <c r="O272" s="392" t="s">
        <v>1151</v>
      </c>
      <c r="P272" s="388">
        <v>230104201</v>
      </c>
      <c r="Q272" s="397" t="s">
        <v>1152</v>
      </c>
      <c r="R272" s="388">
        <v>230104201</v>
      </c>
      <c r="S272" s="397" t="s">
        <v>1152</v>
      </c>
      <c r="T272" s="401" t="s">
        <v>69</v>
      </c>
      <c r="U272" s="388">
        <v>1</v>
      </c>
      <c r="V272" s="388"/>
      <c r="W272" s="388">
        <f t="shared" si="22"/>
        <v>1</v>
      </c>
      <c r="X272" s="388">
        <v>0.74</v>
      </c>
      <c r="Y272" s="389">
        <v>2020003630139</v>
      </c>
      <c r="Z272" s="412" t="s">
        <v>1145</v>
      </c>
      <c r="AA272" s="546" t="s">
        <v>1146</v>
      </c>
      <c r="AB272" s="185"/>
      <c r="AC272" s="185"/>
      <c r="AD272" s="185"/>
      <c r="AE272" s="192"/>
      <c r="AF272" s="192"/>
      <c r="AG272" s="192"/>
      <c r="AH272" s="192"/>
      <c r="AI272" s="192"/>
      <c r="AJ272" s="192"/>
      <c r="AK272" s="192"/>
      <c r="AL272" s="192"/>
      <c r="AM272" s="192"/>
      <c r="AN272" s="192"/>
      <c r="AO272" s="192"/>
      <c r="AP272" s="192"/>
      <c r="AQ272" s="192"/>
      <c r="AR272" s="192"/>
      <c r="AS272" s="192"/>
      <c r="AT272" s="192">
        <f>18000000+5400000</f>
        <v>23400000</v>
      </c>
      <c r="AU272" s="192">
        <v>17400000</v>
      </c>
      <c r="AV272" s="192">
        <v>17400000</v>
      </c>
      <c r="AW272" s="192"/>
      <c r="AX272" s="192"/>
      <c r="AY272" s="192"/>
      <c r="AZ272" s="192"/>
      <c r="BA272" s="192"/>
      <c r="BB272" s="192"/>
      <c r="BC272" s="192"/>
      <c r="BD272" s="192"/>
      <c r="BE272" s="192"/>
      <c r="BF272" s="192">
        <f t="shared" si="19"/>
        <v>23400000</v>
      </c>
      <c r="BG272" s="192">
        <f t="shared" si="20"/>
        <v>17400000</v>
      </c>
      <c r="BH272" s="192">
        <f t="shared" si="21"/>
        <v>17400000</v>
      </c>
      <c r="BI272" s="398" t="s">
        <v>13</v>
      </c>
    </row>
    <row r="273" spans="1:61" s="394" customFormat="1" ht="66.75" customHeight="1">
      <c r="A273" s="423">
        <v>324</v>
      </c>
      <c r="B273" s="392" t="s">
        <v>1126</v>
      </c>
      <c r="C273" s="423">
        <v>1</v>
      </c>
      <c r="D273" s="392" t="s">
        <v>148</v>
      </c>
      <c r="E273" s="423">
        <v>23</v>
      </c>
      <c r="F273" s="392" t="s">
        <v>1127</v>
      </c>
      <c r="G273" s="423">
        <v>2302</v>
      </c>
      <c r="H273" s="392" t="s">
        <v>1153</v>
      </c>
      <c r="I273" s="423">
        <v>2302</v>
      </c>
      <c r="J273" s="392" t="s">
        <v>1154</v>
      </c>
      <c r="K273" s="392" t="s">
        <v>1130</v>
      </c>
      <c r="L273" s="423">
        <v>2302022</v>
      </c>
      <c r="M273" s="397" t="s">
        <v>1155</v>
      </c>
      <c r="N273" s="423">
        <v>2302022</v>
      </c>
      <c r="O273" s="392" t="s">
        <v>1155</v>
      </c>
      <c r="P273" s="388">
        <v>230202200</v>
      </c>
      <c r="Q273" s="397" t="s">
        <v>1156</v>
      </c>
      <c r="R273" s="388">
        <v>230202200</v>
      </c>
      <c r="S273" s="397" t="s">
        <v>1156</v>
      </c>
      <c r="T273" s="401" t="s">
        <v>157</v>
      </c>
      <c r="U273" s="388">
        <v>30</v>
      </c>
      <c r="V273" s="388"/>
      <c r="W273" s="388">
        <f t="shared" si="22"/>
        <v>30</v>
      </c>
      <c r="X273" s="388">
        <v>30</v>
      </c>
      <c r="Y273" s="389">
        <v>2020003630039</v>
      </c>
      <c r="Z273" s="412" t="s">
        <v>1157</v>
      </c>
      <c r="AA273" s="546" t="s">
        <v>1158</v>
      </c>
      <c r="AB273" s="185"/>
      <c r="AC273" s="185"/>
      <c r="AD273" s="185"/>
      <c r="AE273" s="192"/>
      <c r="AF273" s="192"/>
      <c r="AG273" s="192"/>
      <c r="AH273" s="192"/>
      <c r="AI273" s="192"/>
      <c r="AJ273" s="192"/>
      <c r="AK273" s="192"/>
      <c r="AL273" s="192"/>
      <c r="AM273" s="192"/>
      <c r="AN273" s="192"/>
      <c r="AO273" s="192"/>
      <c r="AP273" s="192"/>
      <c r="AQ273" s="192"/>
      <c r="AR273" s="192"/>
      <c r="AS273" s="192"/>
      <c r="AT273" s="192">
        <f>36000000+9000000+6000000+57500000-33618334</f>
        <v>74881666</v>
      </c>
      <c r="AU273" s="192">
        <v>74881666</v>
      </c>
      <c r="AV273" s="192">
        <v>74881666</v>
      </c>
      <c r="AW273" s="192"/>
      <c r="AX273" s="192"/>
      <c r="AY273" s="192"/>
      <c r="AZ273" s="192"/>
      <c r="BA273" s="192"/>
      <c r="BB273" s="192"/>
      <c r="BC273" s="192"/>
      <c r="BD273" s="192"/>
      <c r="BE273" s="192"/>
      <c r="BF273" s="192">
        <f t="shared" si="19"/>
        <v>74881666</v>
      </c>
      <c r="BG273" s="192">
        <f t="shared" si="20"/>
        <v>74881666</v>
      </c>
      <c r="BH273" s="192">
        <f t="shared" si="21"/>
        <v>74881666</v>
      </c>
      <c r="BI273" s="398" t="s">
        <v>13</v>
      </c>
    </row>
    <row r="274" spans="1:61" s="394" customFormat="1" ht="66.75" customHeight="1">
      <c r="A274" s="423">
        <v>324</v>
      </c>
      <c r="B274" s="392" t="s">
        <v>1126</v>
      </c>
      <c r="C274" s="423">
        <v>1</v>
      </c>
      <c r="D274" s="392" t="s">
        <v>148</v>
      </c>
      <c r="E274" s="423">
        <v>23</v>
      </c>
      <c r="F274" s="392" t="s">
        <v>1127</v>
      </c>
      <c r="G274" s="423">
        <v>2302</v>
      </c>
      <c r="H274" s="392" t="s">
        <v>1153</v>
      </c>
      <c r="I274" s="423">
        <v>2302</v>
      </c>
      <c r="J274" s="392" t="s">
        <v>1154</v>
      </c>
      <c r="K274" s="392" t="s">
        <v>1142</v>
      </c>
      <c r="L274" s="423">
        <v>2302021</v>
      </c>
      <c r="M274" s="397" t="s">
        <v>1159</v>
      </c>
      <c r="N274" s="423">
        <v>2302021</v>
      </c>
      <c r="O274" s="392" t="s">
        <v>1159</v>
      </c>
      <c r="P274" s="388">
        <v>230202100</v>
      </c>
      <c r="Q274" s="397" t="s">
        <v>1160</v>
      </c>
      <c r="R274" s="388">
        <v>230202100</v>
      </c>
      <c r="S274" s="397" t="s">
        <v>1160</v>
      </c>
      <c r="T274" s="401" t="s">
        <v>157</v>
      </c>
      <c r="U274" s="388">
        <v>10</v>
      </c>
      <c r="V274" s="388"/>
      <c r="W274" s="388">
        <f t="shared" si="22"/>
        <v>10</v>
      </c>
      <c r="X274" s="388">
        <v>10</v>
      </c>
      <c r="Y274" s="389">
        <v>2020003630039</v>
      </c>
      <c r="Z274" s="392" t="s">
        <v>1157</v>
      </c>
      <c r="AA274" s="546" t="s">
        <v>1158</v>
      </c>
      <c r="AB274" s="185"/>
      <c r="AC274" s="185"/>
      <c r="AD274" s="185"/>
      <c r="AE274" s="192"/>
      <c r="AF274" s="192"/>
      <c r="AG274" s="192"/>
      <c r="AH274" s="192"/>
      <c r="AI274" s="192"/>
      <c r="AJ274" s="192"/>
      <c r="AK274" s="192"/>
      <c r="AL274" s="192"/>
      <c r="AM274" s="192"/>
      <c r="AN274" s="192"/>
      <c r="AO274" s="192"/>
      <c r="AP274" s="192"/>
      <c r="AQ274" s="192"/>
      <c r="AR274" s="192"/>
      <c r="AS274" s="192"/>
      <c r="AT274" s="192">
        <f>70000000+21000000+22000000+17500000+40500000+13000000-22318335</f>
        <v>161681665</v>
      </c>
      <c r="AU274" s="192">
        <v>161681665</v>
      </c>
      <c r="AV274" s="192">
        <v>161681665</v>
      </c>
      <c r="AW274" s="192"/>
      <c r="AX274" s="192"/>
      <c r="AY274" s="192"/>
      <c r="AZ274" s="192"/>
      <c r="BA274" s="192"/>
      <c r="BB274" s="192"/>
      <c r="BC274" s="192"/>
      <c r="BD274" s="192"/>
      <c r="BE274" s="192"/>
      <c r="BF274" s="192">
        <f t="shared" si="19"/>
        <v>161681665</v>
      </c>
      <c r="BG274" s="192">
        <f t="shared" si="20"/>
        <v>161681665</v>
      </c>
      <c r="BH274" s="192">
        <f t="shared" si="21"/>
        <v>161681665</v>
      </c>
      <c r="BI274" s="398" t="s">
        <v>13</v>
      </c>
    </row>
    <row r="275" spans="1:61" s="394" customFormat="1" ht="66.75" customHeight="1">
      <c r="A275" s="423">
        <v>324</v>
      </c>
      <c r="B275" s="416" t="s">
        <v>1126</v>
      </c>
      <c r="C275" s="438">
        <v>1</v>
      </c>
      <c r="D275" s="392" t="s">
        <v>148</v>
      </c>
      <c r="E275" s="438">
        <v>23</v>
      </c>
      <c r="F275" s="416" t="s">
        <v>1127</v>
      </c>
      <c r="G275" s="438">
        <v>2302</v>
      </c>
      <c r="H275" s="416" t="s">
        <v>1153</v>
      </c>
      <c r="I275" s="438">
        <v>2302</v>
      </c>
      <c r="J275" s="416" t="s">
        <v>1154</v>
      </c>
      <c r="K275" s="416" t="s">
        <v>1161</v>
      </c>
      <c r="L275" s="438">
        <v>2302058</v>
      </c>
      <c r="M275" s="397" t="s">
        <v>1162</v>
      </c>
      <c r="N275" s="438">
        <v>2302058</v>
      </c>
      <c r="O275" s="416" t="s">
        <v>1162</v>
      </c>
      <c r="P275" s="439">
        <v>230205800</v>
      </c>
      <c r="Q275" s="440" t="s">
        <v>1163</v>
      </c>
      <c r="R275" s="439">
        <v>230205800</v>
      </c>
      <c r="S275" s="440" t="s">
        <v>1163</v>
      </c>
      <c r="T275" s="441" t="s">
        <v>157</v>
      </c>
      <c r="U275" s="439">
        <v>400</v>
      </c>
      <c r="V275" s="439"/>
      <c r="W275" s="388">
        <f t="shared" si="22"/>
        <v>400</v>
      </c>
      <c r="X275" s="439">
        <v>400</v>
      </c>
      <c r="Y275" s="414">
        <v>2020003630039</v>
      </c>
      <c r="Z275" s="415" t="s">
        <v>1157</v>
      </c>
      <c r="AA275" s="555" t="s">
        <v>1158</v>
      </c>
      <c r="AB275" s="185"/>
      <c r="AC275" s="185"/>
      <c r="AD275" s="185"/>
      <c r="AE275" s="192"/>
      <c r="AF275" s="192"/>
      <c r="AG275" s="192"/>
      <c r="AH275" s="192"/>
      <c r="AI275" s="192"/>
      <c r="AJ275" s="192"/>
      <c r="AK275" s="192"/>
      <c r="AL275" s="192"/>
      <c r="AM275" s="192"/>
      <c r="AN275" s="192"/>
      <c r="AO275" s="192"/>
      <c r="AP275" s="192"/>
      <c r="AQ275" s="192"/>
      <c r="AR275" s="192"/>
      <c r="AS275" s="192"/>
      <c r="AT275" s="192">
        <f>20000000+5400000+3150000+22000000-9318335+22318335</f>
        <v>63550000</v>
      </c>
      <c r="AU275" s="192">
        <v>62390000</v>
      </c>
      <c r="AV275" s="192">
        <v>62390000</v>
      </c>
      <c r="AW275" s="192"/>
      <c r="AX275" s="192"/>
      <c r="AY275" s="192"/>
      <c r="AZ275" s="192"/>
      <c r="BA275" s="192"/>
      <c r="BB275" s="192"/>
      <c r="BC275" s="192"/>
      <c r="BD275" s="192"/>
      <c r="BE275" s="192"/>
      <c r="BF275" s="192">
        <f t="shared" si="19"/>
        <v>63550000</v>
      </c>
      <c r="BG275" s="192">
        <f t="shared" si="20"/>
        <v>62390000</v>
      </c>
      <c r="BH275" s="192">
        <f t="shared" si="21"/>
        <v>62390000</v>
      </c>
      <c r="BI275" s="398" t="s">
        <v>13</v>
      </c>
    </row>
    <row r="276" spans="1:61" s="394" customFormat="1" ht="66.75" customHeight="1">
      <c r="A276" s="442">
        <v>324</v>
      </c>
      <c r="B276" s="419" t="s">
        <v>1126</v>
      </c>
      <c r="C276" s="443">
        <v>1</v>
      </c>
      <c r="D276" s="392" t="s">
        <v>148</v>
      </c>
      <c r="E276" s="443">
        <v>23</v>
      </c>
      <c r="F276" s="419" t="s">
        <v>1127</v>
      </c>
      <c r="G276" s="443">
        <v>2302</v>
      </c>
      <c r="H276" s="419" t="s">
        <v>1153</v>
      </c>
      <c r="I276" s="443">
        <v>2302</v>
      </c>
      <c r="J276" s="419" t="s">
        <v>1154</v>
      </c>
      <c r="K276" s="419" t="s">
        <v>1161</v>
      </c>
      <c r="L276" s="443">
        <v>2302068</v>
      </c>
      <c r="M276" s="397" t="s">
        <v>1164</v>
      </c>
      <c r="N276" s="443">
        <v>2302068</v>
      </c>
      <c r="O276" s="419" t="s">
        <v>1164</v>
      </c>
      <c r="P276" s="444">
        <v>230206800</v>
      </c>
      <c r="Q276" s="445" t="s">
        <v>1165</v>
      </c>
      <c r="R276" s="444">
        <v>230206800</v>
      </c>
      <c r="S276" s="445" t="s">
        <v>1165</v>
      </c>
      <c r="T276" s="446" t="s">
        <v>157</v>
      </c>
      <c r="U276" s="444">
        <v>80</v>
      </c>
      <c r="V276" s="444"/>
      <c r="W276" s="388">
        <f t="shared" si="22"/>
        <v>80</v>
      </c>
      <c r="X276" s="444">
        <v>80</v>
      </c>
      <c r="Y276" s="417">
        <v>2020003630039</v>
      </c>
      <c r="Z276" s="418" t="s">
        <v>1157</v>
      </c>
      <c r="AA276" s="556" t="s">
        <v>1158</v>
      </c>
      <c r="AB276" s="185"/>
      <c r="AC276" s="185"/>
      <c r="AD276" s="185"/>
      <c r="AE276" s="192"/>
      <c r="AF276" s="192"/>
      <c r="AG276" s="192"/>
      <c r="AH276" s="192"/>
      <c r="AI276" s="192"/>
      <c r="AJ276" s="192"/>
      <c r="AK276" s="192"/>
      <c r="AL276" s="192"/>
      <c r="AM276" s="192"/>
      <c r="AN276" s="192"/>
      <c r="AO276" s="192"/>
      <c r="AP276" s="192"/>
      <c r="AQ276" s="192"/>
      <c r="AR276" s="192"/>
      <c r="AS276" s="192"/>
      <c r="AT276" s="192">
        <f>20000000+6000000+31675000-13000000</f>
        <v>44675000</v>
      </c>
      <c r="AU276" s="192">
        <v>44675000</v>
      </c>
      <c r="AV276" s="192">
        <v>44675000</v>
      </c>
      <c r="AW276" s="192"/>
      <c r="AX276" s="192"/>
      <c r="AY276" s="192"/>
      <c r="AZ276" s="192"/>
      <c r="BA276" s="192"/>
      <c r="BB276" s="192"/>
      <c r="BC276" s="192"/>
      <c r="BD276" s="192"/>
      <c r="BE276" s="192"/>
      <c r="BF276" s="192">
        <f t="shared" si="19"/>
        <v>44675000</v>
      </c>
      <c r="BG276" s="192">
        <f t="shared" si="20"/>
        <v>44675000</v>
      </c>
      <c r="BH276" s="192">
        <f t="shared" si="21"/>
        <v>44675000</v>
      </c>
      <c r="BI276" s="398" t="s">
        <v>13</v>
      </c>
    </row>
    <row r="277" spans="1:61" s="394" customFormat="1" ht="66.75" customHeight="1">
      <c r="A277" s="442">
        <v>324</v>
      </c>
      <c r="B277" s="419" t="s">
        <v>1126</v>
      </c>
      <c r="C277" s="443">
        <v>1</v>
      </c>
      <c r="D277" s="392" t="s">
        <v>148</v>
      </c>
      <c r="E277" s="443">
        <v>23</v>
      </c>
      <c r="F277" s="419" t="s">
        <v>1127</v>
      </c>
      <c r="G277" s="443">
        <v>2302</v>
      </c>
      <c r="H277" s="419" t="s">
        <v>1153</v>
      </c>
      <c r="I277" s="443">
        <v>2302</v>
      </c>
      <c r="J277" s="419" t="s">
        <v>1154</v>
      </c>
      <c r="K277" s="419" t="s">
        <v>1161</v>
      </c>
      <c r="L277" s="443">
        <v>2302039</v>
      </c>
      <c r="M277" s="397" t="s">
        <v>1512</v>
      </c>
      <c r="N277" s="443">
        <v>2302039</v>
      </c>
      <c r="O277" s="419" t="s">
        <v>1512</v>
      </c>
      <c r="P277" s="444">
        <v>230203900</v>
      </c>
      <c r="Q277" s="445" t="s">
        <v>1513</v>
      </c>
      <c r="R277" s="444">
        <v>230203900</v>
      </c>
      <c r="S277" s="445" t="s">
        <v>1513</v>
      </c>
      <c r="T277" s="446" t="s">
        <v>157</v>
      </c>
      <c r="U277" s="444">
        <v>1</v>
      </c>
      <c r="V277" s="444"/>
      <c r="W277" s="444">
        <v>1</v>
      </c>
      <c r="X277" s="444">
        <v>1</v>
      </c>
      <c r="Y277" s="417">
        <v>2020003630039</v>
      </c>
      <c r="Z277" s="420" t="s">
        <v>1157</v>
      </c>
      <c r="AA277" s="557" t="s">
        <v>1158</v>
      </c>
      <c r="AB277" s="185"/>
      <c r="AC277" s="185"/>
      <c r="AD277" s="185"/>
      <c r="AE277" s="192"/>
      <c r="AF277" s="192"/>
      <c r="AG277" s="192"/>
      <c r="AH277" s="192"/>
      <c r="AI277" s="192"/>
      <c r="AJ277" s="192"/>
      <c r="AK277" s="192"/>
      <c r="AL277" s="192"/>
      <c r="AM277" s="192"/>
      <c r="AN277" s="192"/>
      <c r="AO277" s="192"/>
      <c r="AP277" s="192"/>
      <c r="AQ277" s="192"/>
      <c r="AR277" s="192"/>
      <c r="AS277" s="192"/>
      <c r="AT277" s="192">
        <v>80000000</v>
      </c>
      <c r="AU277" s="192">
        <v>80000000</v>
      </c>
      <c r="AV277" s="192">
        <v>80000000</v>
      </c>
      <c r="AW277" s="192"/>
      <c r="AX277" s="192"/>
      <c r="AY277" s="192"/>
      <c r="AZ277" s="192"/>
      <c r="BA277" s="192"/>
      <c r="BB277" s="192"/>
      <c r="BC277" s="192"/>
      <c r="BD277" s="192"/>
      <c r="BE277" s="192"/>
      <c r="BF277" s="192">
        <f t="shared" si="19"/>
        <v>80000000</v>
      </c>
      <c r="BG277" s="192">
        <f t="shared" si="20"/>
        <v>80000000</v>
      </c>
      <c r="BH277" s="192">
        <f t="shared" si="21"/>
        <v>80000000</v>
      </c>
      <c r="BI277" s="398"/>
    </row>
    <row r="278" spans="1:61" s="394" customFormat="1" ht="66.75" customHeight="1">
      <c r="A278" s="442">
        <v>324</v>
      </c>
      <c r="B278" s="419" t="s">
        <v>1126</v>
      </c>
      <c r="C278" s="443">
        <v>2</v>
      </c>
      <c r="D278" s="419" t="s">
        <v>200</v>
      </c>
      <c r="E278" s="443">
        <v>39</v>
      </c>
      <c r="F278" s="419" t="s">
        <v>746</v>
      </c>
      <c r="G278" s="443" t="s">
        <v>1166</v>
      </c>
      <c r="H278" s="419" t="s">
        <v>1167</v>
      </c>
      <c r="I278" s="443" t="s">
        <v>1166</v>
      </c>
      <c r="J278" s="419" t="s">
        <v>1168</v>
      </c>
      <c r="K278" s="419" t="s">
        <v>1169</v>
      </c>
      <c r="L278" s="443">
        <v>3903005</v>
      </c>
      <c r="M278" s="397" t="s">
        <v>1170</v>
      </c>
      <c r="N278" s="443">
        <v>3903005</v>
      </c>
      <c r="O278" s="419" t="s">
        <v>1170</v>
      </c>
      <c r="P278" s="307" t="s">
        <v>1171</v>
      </c>
      <c r="Q278" s="445" t="s">
        <v>1172</v>
      </c>
      <c r="R278" s="307" t="s">
        <v>1171</v>
      </c>
      <c r="S278" s="445" t="s">
        <v>1172</v>
      </c>
      <c r="T278" s="446" t="s">
        <v>69</v>
      </c>
      <c r="U278" s="444">
        <v>1</v>
      </c>
      <c r="V278" s="444"/>
      <c r="W278" s="444">
        <f>+U278+V278</f>
        <v>1</v>
      </c>
      <c r="X278" s="444">
        <v>0.4</v>
      </c>
      <c r="Y278" s="417">
        <v>2020003630140</v>
      </c>
      <c r="Z278" s="421" t="s">
        <v>1173</v>
      </c>
      <c r="AA278" s="558" t="s">
        <v>1174</v>
      </c>
      <c r="AB278" s="185"/>
      <c r="AC278" s="185"/>
      <c r="AD278" s="185"/>
      <c r="AE278" s="192"/>
      <c r="AF278" s="192"/>
      <c r="AG278" s="192"/>
      <c r="AH278" s="192"/>
      <c r="AI278" s="192"/>
      <c r="AJ278" s="192"/>
      <c r="AK278" s="192"/>
      <c r="AL278" s="192"/>
      <c r="AM278" s="192"/>
      <c r="AN278" s="192"/>
      <c r="AO278" s="192"/>
      <c r="AP278" s="192"/>
      <c r="AQ278" s="192"/>
      <c r="AR278" s="192"/>
      <c r="AS278" s="192"/>
      <c r="AT278" s="192">
        <v>7573173</v>
      </c>
      <c r="AU278" s="192">
        <v>6000000</v>
      </c>
      <c r="AV278" s="192">
        <v>6000000</v>
      </c>
      <c r="AW278" s="192"/>
      <c r="AX278" s="192"/>
      <c r="AY278" s="192"/>
      <c r="AZ278" s="192"/>
      <c r="BA278" s="192"/>
      <c r="BB278" s="192"/>
      <c r="BC278" s="192"/>
      <c r="BD278" s="192"/>
      <c r="BE278" s="192"/>
      <c r="BF278" s="192">
        <f t="shared" si="19"/>
        <v>7573173</v>
      </c>
      <c r="BG278" s="192">
        <f t="shared" si="20"/>
        <v>6000000</v>
      </c>
      <c r="BH278" s="192">
        <f t="shared" si="21"/>
        <v>6000000</v>
      </c>
      <c r="BI278" s="398" t="s">
        <v>13</v>
      </c>
    </row>
    <row r="279" spans="1:61" s="394" customFormat="1" ht="66.75" customHeight="1">
      <c r="A279" s="442">
        <v>324</v>
      </c>
      <c r="B279" s="419" t="s">
        <v>1126</v>
      </c>
      <c r="C279" s="443">
        <v>2</v>
      </c>
      <c r="D279" s="419" t="s">
        <v>200</v>
      </c>
      <c r="E279" s="443">
        <v>39</v>
      </c>
      <c r="F279" s="419" t="s">
        <v>746</v>
      </c>
      <c r="G279" s="443" t="s">
        <v>1166</v>
      </c>
      <c r="H279" s="419" t="s">
        <v>1167</v>
      </c>
      <c r="I279" s="443" t="s">
        <v>1166</v>
      </c>
      <c r="J279" s="419" t="s">
        <v>1168</v>
      </c>
      <c r="K279" s="419" t="s">
        <v>1169</v>
      </c>
      <c r="L279" s="443">
        <v>3903005</v>
      </c>
      <c r="M279" s="397" t="s">
        <v>1170</v>
      </c>
      <c r="N279" s="443">
        <v>3903005</v>
      </c>
      <c r="O279" s="419" t="s">
        <v>1170</v>
      </c>
      <c r="P279" s="307" t="s">
        <v>1175</v>
      </c>
      <c r="Q279" s="445" t="s">
        <v>1176</v>
      </c>
      <c r="R279" s="307" t="s">
        <v>1175</v>
      </c>
      <c r="S279" s="445" t="s">
        <v>1176</v>
      </c>
      <c r="T279" s="446" t="s">
        <v>157</v>
      </c>
      <c r="U279" s="444">
        <v>80</v>
      </c>
      <c r="V279" s="444"/>
      <c r="W279" s="444">
        <f>+U279+V279</f>
        <v>80</v>
      </c>
      <c r="X279" s="444">
        <v>80</v>
      </c>
      <c r="Y279" s="417">
        <v>2020003630140</v>
      </c>
      <c r="Z279" s="418" t="s">
        <v>1173</v>
      </c>
      <c r="AA279" s="556" t="s">
        <v>1174</v>
      </c>
      <c r="AB279" s="185"/>
      <c r="AC279" s="185"/>
      <c r="AD279" s="185"/>
      <c r="AE279" s="192"/>
      <c r="AF279" s="192"/>
      <c r="AG279" s="192"/>
      <c r="AH279" s="192"/>
      <c r="AI279" s="192"/>
      <c r="AJ279" s="192"/>
      <c r="AK279" s="192"/>
      <c r="AL279" s="192"/>
      <c r="AM279" s="192"/>
      <c r="AN279" s="192"/>
      <c r="AO279" s="192"/>
      <c r="AP279" s="192"/>
      <c r="AQ279" s="192"/>
      <c r="AR279" s="192"/>
      <c r="AS279" s="192"/>
      <c r="AT279" s="192">
        <f>7573173+12000000+25000000</f>
        <v>44573173</v>
      </c>
      <c r="AU279" s="192">
        <v>44439840</v>
      </c>
      <c r="AV279" s="192">
        <v>44439840</v>
      </c>
      <c r="AW279" s="192"/>
      <c r="AX279" s="192"/>
      <c r="AY279" s="192"/>
      <c r="AZ279" s="192"/>
      <c r="BA279" s="192"/>
      <c r="BB279" s="192"/>
      <c r="BC279" s="192"/>
      <c r="BD279" s="192"/>
      <c r="BE279" s="192"/>
      <c r="BF279" s="192">
        <f t="shared" si="19"/>
        <v>44573173</v>
      </c>
      <c r="BG279" s="192">
        <f t="shared" si="20"/>
        <v>44439840</v>
      </c>
      <c r="BH279" s="192">
        <f t="shared" si="21"/>
        <v>44439840</v>
      </c>
      <c r="BI279" s="398" t="s">
        <v>13</v>
      </c>
    </row>
    <row r="280" spans="1:61" s="394" customFormat="1" ht="66.75" customHeight="1">
      <c r="A280" s="442">
        <v>324</v>
      </c>
      <c r="B280" s="419" t="s">
        <v>1126</v>
      </c>
      <c r="C280" s="443">
        <v>2</v>
      </c>
      <c r="D280" s="419" t="s">
        <v>200</v>
      </c>
      <c r="E280" s="443">
        <v>39</v>
      </c>
      <c r="F280" s="419" t="s">
        <v>746</v>
      </c>
      <c r="G280" s="443" t="s">
        <v>1166</v>
      </c>
      <c r="H280" s="419" t="s">
        <v>1167</v>
      </c>
      <c r="I280" s="443" t="s">
        <v>1166</v>
      </c>
      <c r="J280" s="419" t="s">
        <v>1168</v>
      </c>
      <c r="K280" s="419" t="s">
        <v>1169</v>
      </c>
      <c r="L280" s="443">
        <v>3903005</v>
      </c>
      <c r="M280" s="397" t="s">
        <v>1170</v>
      </c>
      <c r="N280" s="443">
        <v>3903005</v>
      </c>
      <c r="O280" s="419" t="s">
        <v>1170</v>
      </c>
      <c r="P280" s="307" t="s">
        <v>1177</v>
      </c>
      <c r="Q280" s="445" t="s">
        <v>1178</v>
      </c>
      <c r="R280" s="307" t="s">
        <v>1177</v>
      </c>
      <c r="S280" s="445" t="s">
        <v>1178</v>
      </c>
      <c r="T280" s="446" t="s">
        <v>157</v>
      </c>
      <c r="U280" s="444">
        <v>80</v>
      </c>
      <c r="V280" s="444"/>
      <c r="W280" s="444">
        <f>+U280+V280</f>
        <v>80</v>
      </c>
      <c r="X280" s="444">
        <v>80</v>
      </c>
      <c r="Y280" s="417">
        <v>2020003630140</v>
      </c>
      <c r="Z280" s="418" t="s">
        <v>1173</v>
      </c>
      <c r="AA280" s="556" t="s">
        <v>1174</v>
      </c>
      <c r="AB280" s="185"/>
      <c r="AC280" s="185"/>
      <c r="AD280" s="185"/>
      <c r="AE280" s="192"/>
      <c r="AF280" s="192"/>
      <c r="AG280" s="192"/>
      <c r="AH280" s="192"/>
      <c r="AI280" s="192"/>
      <c r="AJ280" s="192"/>
      <c r="AK280" s="192"/>
      <c r="AL280" s="192"/>
      <c r="AM280" s="192"/>
      <c r="AN280" s="192"/>
      <c r="AO280" s="192"/>
      <c r="AP280" s="192"/>
      <c r="AQ280" s="192"/>
      <c r="AR280" s="192"/>
      <c r="AS280" s="192"/>
      <c r="AT280" s="192">
        <f>7573172+12000000</f>
        <v>19573172</v>
      </c>
      <c r="AU280" s="192">
        <v>13573173</v>
      </c>
      <c r="AV280" s="192">
        <v>13573173</v>
      </c>
      <c r="AW280" s="192"/>
      <c r="AX280" s="192"/>
      <c r="AY280" s="192"/>
      <c r="AZ280" s="192"/>
      <c r="BA280" s="192"/>
      <c r="BB280" s="192"/>
      <c r="BC280" s="192"/>
      <c r="BD280" s="192"/>
      <c r="BE280" s="192"/>
      <c r="BF280" s="192">
        <f t="shared" si="19"/>
        <v>19573172</v>
      </c>
      <c r="BG280" s="192">
        <f t="shared" si="20"/>
        <v>13573173</v>
      </c>
      <c r="BH280" s="192">
        <f t="shared" si="21"/>
        <v>13573173</v>
      </c>
      <c r="BI280" s="398" t="s">
        <v>13</v>
      </c>
    </row>
    <row r="281" spans="1:61" s="394" customFormat="1" ht="66.75" customHeight="1">
      <c r="A281" s="442">
        <v>324</v>
      </c>
      <c r="B281" s="419" t="s">
        <v>1126</v>
      </c>
      <c r="C281" s="443">
        <v>2</v>
      </c>
      <c r="D281" s="419" t="s">
        <v>200</v>
      </c>
      <c r="E281" s="443">
        <v>39</v>
      </c>
      <c r="F281" s="419" t="s">
        <v>746</v>
      </c>
      <c r="G281" s="443">
        <v>3904</v>
      </c>
      <c r="H281" s="419" t="s">
        <v>1179</v>
      </c>
      <c r="I281" s="443">
        <v>3904</v>
      </c>
      <c r="J281" s="419" t="s">
        <v>748</v>
      </c>
      <c r="K281" s="419" t="s">
        <v>1180</v>
      </c>
      <c r="L281" s="443">
        <v>3904018</v>
      </c>
      <c r="M281" s="397" t="s">
        <v>1181</v>
      </c>
      <c r="N281" s="443">
        <v>3904018</v>
      </c>
      <c r="O281" s="419" t="s">
        <v>1181</v>
      </c>
      <c r="P281" s="307">
        <v>390401809</v>
      </c>
      <c r="Q281" s="445" t="s">
        <v>1182</v>
      </c>
      <c r="R281" s="307">
        <v>390401809</v>
      </c>
      <c r="S281" s="445" t="s">
        <v>1182</v>
      </c>
      <c r="T281" s="446" t="s">
        <v>157</v>
      </c>
      <c r="U281" s="444">
        <v>7</v>
      </c>
      <c r="V281" s="444"/>
      <c r="W281" s="444">
        <f>+U281+V281</f>
        <v>7</v>
      </c>
      <c r="X281" s="444">
        <v>7</v>
      </c>
      <c r="Y281" s="417">
        <v>2020003630040</v>
      </c>
      <c r="Z281" s="418" t="s">
        <v>1183</v>
      </c>
      <c r="AA281" s="556" t="s">
        <v>1184</v>
      </c>
      <c r="AB281" s="185"/>
      <c r="AC281" s="185"/>
      <c r="AD281" s="185"/>
      <c r="AE281" s="192"/>
      <c r="AF281" s="192"/>
      <c r="AG281" s="192"/>
      <c r="AH281" s="192"/>
      <c r="AI281" s="192"/>
      <c r="AJ281" s="192"/>
      <c r="AK281" s="192"/>
      <c r="AL281" s="192"/>
      <c r="AM281" s="192"/>
      <c r="AN281" s="192"/>
      <c r="AO281" s="192"/>
      <c r="AP281" s="192"/>
      <c r="AQ281" s="192"/>
      <c r="AR281" s="192"/>
      <c r="AS281" s="192"/>
      <c r="AT281" s="192">
        <f>18000000+5400000+5000000+4000000+24000000</f>
        <v>56400000</v>
      </c>
      <c r="AU281" s="192">
        <v>50620000</v>
      </c>
      <c r="AV281" s="192">
        <v>50620000</v>
      </c>
      <c r="AW281" s="192"/>
      <c r="AX281" s="192"/>
      <c r="AY281" s="192"/>
      <c r="AZ281" s="192"/>
      <c r="BA281" s="192"/>
      <c r="BB281" s="192"/>
      <c r="BC281" s="192"/>
      <c r="BD281" s="192"/>
      <c r="BE281" s="192"/>
      <c r="BF281" s="192">
        <f t="shared" si="19"/>
        <v>56400000</v>
      </c>
      <c r="BG281" s="192">
        <f t="shared" si="20"/>
        <v>50620000</v>
      </c>
      <c r="BH281" s="192">
        <f t="shared" si="21"/>
        <v>50620000</v>
      </c>
      <c r="BI281" s="398" t="s">
        <v>13</v>
      </c>
    </row>
    <row r="282" spans="1:61" s="394" customFormat="1" ht="66.75" customHeight="1">
      <c r="A282" s="442">
        <v>324</v>
      </c>
      <c r="B282" s="419" t="s">
        <v>1126</v>
      </c>
      <c r="C282" s="443">
        <v>4</v>
      </c>
      <c r="D282" s="419" t="s">
        <v>59</v>
      </c>
      <c r="E282" s="443">
        <v>23</v>
      </c>
      <c r="F282" s="419" t="s">
        <v>1127</v>
      </c>
      <c r="G282" s="443">
        <v>2302</v>
      </c>
      <c r="H282" s="419" t="s">
        <v>1153</v>
      </c>
      <c r="I282" s="443">
        <v>2302</v>
      </c>
      <c r="J282" s="419" t="s">
        <v>1154</v>
      </c>
      <c r="K282" s="419" t="s">
        <v>1185</v>
      </c>
      <c r="L282" s="443">
        <v>2302003</v>
      </c>
      <c r="M282" s="397" t="s">
        <v>1186</v>
      </c>
      <c r="N282" s="443">
        <v>2302003</v>
      </c>
      <c r="O282" s="419" t="s">
        <v>1186</v>
      </c>
      <c r="P282" s="307">
        <v>230200300</v>
      </c>
      <c r="Q282" s="445" t="s">
        <v>1187</v>
      </c>
      <c r="R282" s="307">
        <v>230200300</v>
      </c>
      <c r="S282" s="445" t="s">
        <v>1187</v>
      </c>
      <c r="T282" s="446" t="s">
        <v>157</v>
      </c>
      <c r="U282" s="444">
        <v>3</v>
      </c>
      <c r="V282" s="444"/>
      <c r="W282" s="444">
        <f t="shared" ref="W282:W293" si="23">U282+V282</f>
        <v>3</v>
      </c>
      <c r="X282" s="444">
        <v>3</v>
      </c>
      <c r="Y282" s="417">
        <v>2020003630141</v>
      </c>
      <c r="Z282" s="418" t="s">
        <v>1188</v>
      </c>
      <c r="AA282" s="556" t="s">
        <v>1189</v>
      </c>
      <c r="AB282" s="185"/>
      <c r="AC282" s="185"/>
      <c r="AD282" s="185"/>
      <c r="AE282" s="192"/>
      <c r="AF282" s="192"/>
      <c r="AG282" s="192"/>
      <c r="AH282" s="192"/>
      <c r="AI282" s="192"/>
      <c r="AJ282" s="192"/>
      <c r="AK282" s="192"/>
      <c r="AL282" s="192"/>
      <c r="AM282" s="192"/>
      <c r="AN282" s="192"/>
      <c r="AO282" s="192"/>
      <c r="AP282" s="192"/>
      <c r="AQ282" s="192"/>
      <c r="AR282" s="192"/>
      <c r="AS282" s="192"/>
      <c r="AT282" s="192">
        <f>120000000+36000000-40000000+100000000-80000000-1865000</f>
        <v>134135000</v>
      </c>
      <c r="AU282" s="192">
        <v>134135000</v>
      </c>
      <c r="AV282" s="192">
        <v>134135000</v>
      </c>
      <c r="AW282" s="192"/>
      <c r="AX282" s="192"/>
      <c r="AY282" s="192"/>
      <c r="AZ282" s="192"/>
      <c r="BA282" s="192"/>
      <c r="BB282" s="192"/>
      <c r="BC282" s="192"/>
      <c r="BD282" s="192"/>
      <c r="BE282" s="192"/>
      <c r="BF282" s="192">
        <f t="shared" si="19"/>
        <v>134135000</v>
      </c>
      <c r="BG282" s="192">
        <f t="shared" si="20"/>
        <v>134135000</v>
      </c>
      <c r="BH282" s="192">
        <f t="shared" si="21"/>
        <v>134135000</v>
      </c>
      <c r="BI282" s="398" t="s">
        <v>13</v>
      </c>
    </row>
    <row r="283" spans="1:61" s="394" customFormat="1" ht="66.75" customHeight="1">
      <c r="A283" s="442">
        <v>324</v>
      </c>
      <c r="B283" s="419" t="s">
        <v>1126</v>
      </c>
      <c r="C283" s="443">
        <v>4</v>
      </c>
      <c r="D283" s="419" t="s">
        <v>59</v>
      </c>
      <c r="E283" s="443">
        <v>23</v>
      </c>
      <c r="F283" s="419" t="s">
        <v>1127</v>
      </c>
      <c r="G283" s="443">
        <v>2302</v>
      </c>
      <c r="H283" s="419" t="s">
        <v>1153</v>
      </c>
      <c r="I283" s="443">
        <v>2302</v>
      </c>
      <c r="J283" s="419" t="s">
        <v>1154</v>
      </c>
      <c r="K283" s="419" t="s">
        <v>1185</v>
      </c>
      <c r="L283" s="443">
        <v>2302033</v>
      </c>
      <c r="M283" s="397" t="s">
        <v>1190</v>
      </c>
      <c r="N283" s="443">
        <v>2302033</v>
      </c>
      <c r="O283" s="419" t="s">
        <v>1190</v>
      </c>
      <c r="P283" s="307">
        <v>230203300</v>
      </c>
      <c r="Q283" s="445" t="s">
        <v>1191</v>
      </c>
      <c r="R283" s="307">
        <v>230203300</v>
      </c>
      <c r="S283" s="445" t="s">
        <v>1191</v>
      </c>
      <c r="T283" s="446" t="s">
        <v>69</v>
      </c>
      <c r="U283" s="444">
        <v>100</v>
      </c>
      <c r="V283" s="444"/>
      <c r="W283" s="444">
        <f t="shared" si="23"/>
        <v>100</v>
      </c>
      <c r="X283" s="444">
        <v>100</v>
      </c>
      <c r="Y283" s="417">
        <v>2020003630141</v>
      </c>
      <c r="Z283" s="418" t="s">
        <v>1188</v>
      </c>
      <c r="AA283" s="556" t="s">
        <v>1189</v>
      </c>
      <c r="AB283" s="185"/>
      <c r="AC283" s="185"/>
      <c r="AD283" s="185"/>
      <c r="AE283" s="192"/>
      <c r="AF283" s="192"/>
      <c r="AG283" s="192"/>
      <c r="AH283" s="192"/>
      <c r="AI283" s="192"/>
      <c r="AJ283" s="192"/>
      <c r="AK283" s="192"/>
      <c r="AL283" s="192"/>
      <c r="AM283" s="192"/>
      <c r="AN283" s="192"/>
      <c r="AO283" s="192"/>
      <c r="AP283" s="192"/>
      <c r="AQ283" s="192"/>
      <c r="AR283" s="192"/>
      <c r="AS283" s="192"/>
      <c r="AT283" s="192">
        <f>50000000+15000000+15000000+15000000-17693333</f>
        <v>77306667</v>
      </c>
      <c r="AU283" s="192">
        <v>77306667</v>
      </c>
      <c r="AV283" s="192">
        <v>77306667</v>
      </c>
      <c r="AW283" s="192"/>
      <c r="AX283" s="192"/>
      <c r="AY283" s="192"/>
      <c r="AZ283" s="192"/>
      <c r="BA283" s="192"/>
      <c r="BB283" s="192"/>
      <c r="BC283" s="192"/>
      <c r="BD283" s="192"/>
      <c r="BE283" s="192"/>
      <c r="BF283" s="192">
        <f t="shared" si="19"/>
        <v>77306667</v>
      </c>
      <c r="BG283" s="192">
        <f t="shared" si="20"/>
        <v>77306667</v>
      </c>
      <c r="BH283" s="192">
        <f t="shared" si="21"/>
        <v>77306667</v>
      </c>
      <c r="BI283" s="398" t="s">
        <v>13</v>
      </c>
    </row>
    <row r="284" spans="1:61" s="394" customFormat="1" ht="66.75" customHeight="1">
      <c r="A284" s="442">
        <v>324</v>
      </c>
      <c r="B284" s="419" t="s">
        <v>1126</v>
      </c>
      <c r="C284" s="443">
        <v>4</v>
      </c>
      <c r="D284" s="419" t="s">
        <v>59</v>
      </c>
      <c r="E284" s="443">
        <v>23</v>
      </c>
      <c r="F284" s="419" t="s">
        <v>1127</v>
      </c>
      <c r="G284" s="443">
        <v>2302</v>
      </c>
      <c r="H284" s="419" t="s">
        <v>1153</v>
      </c>
      <c r="I284" s="443">
        <v>2302</v>
      </c>
      <c r="J284" s="419" t="s">
        <v>1154</v>
      </c>
      <c r="K284" s="419" t="s">
        <v>1185</v>
      </c>
      <c r="L284" s="443">
        <v>2302066</v>
      </c>
      <c r="M284" s="397" t="s">
        <v>1192</v>
      </c>
      <c r="N284" s="443">
        <v>2302066</v>
      </c>
      <c r="O284" s="419" t="s">
        <v>1192</v>
      </c>
      <c r="P284" s="307">
        <v>230206600</v>
      </c>
      <c r="Q284" s="445" t="s">
        <v>1193</v>
      </c>
      <c r="R284" s="307">
        <v>230206600</v>
      </c>
      <c r="S284" s="445" t="s">
        <v>1193</v>
      </c>
      <c r="T284" s="446" t="s">
        <v>157</v>
      </c>
      <c r="U284" s="444">
        <v>60</v>
      </c>
      <c r="V284" s="444"/>
      <c r="W284" s="444">
        <f t="shared" si="23"/>
        <v>60</v>
      </c>
      <c r="X284" s="444">
        <v>60</v>
      </c>
      <c r="Y284" s="417">
        <v>2020003630141</v>
      </c>
      <c r="Z284" s="418" t="s">
        <v>1188</v>
      </c>
      <c r="AA284" s="556" t="s">
        <v>1189</v>
      </c>
      <c r="AB284" s="185"/>
      <c r="AC284" s="185"/>
      <c r="AD284" s="185"/>
      <c r="AE284" s="192"/>
      <c r="AF284" s="192"/>
      <c r="AG284" s="192"/>
      <c r="AH284" s="192"/>
      <c r="AI284" s="192"/>
      <c r="AJ284" s="192"/>
      <c r="AK284" s="192"/>
      <c r="AL284" s="192"/>
      <c r="AM284" s="192"/>
      <c r="AN284" s="192"/>
      <c r="AO284" s="192"/>
      <c r="AP284" s="192"/>
      <c r="AQ284" s="192"/>
      <c r="AR284" s="192"/>
      <c r="AS284" s="192"/>
      <c r="AT284" s="192">
        <f>60000000+18000000-293333</f>
        <v>77706667</v>
      </c>
      <c r="AU284" s="192">
        <v>77706667</v>
      </c>
      <c r="AV284" s="192">
        <v>77706667</v>
      </c>
      <c r="AW284" s="192"/>
      <c r="AX284" s="192"/>
      <c r="AY284" s="192"/>
      <c r="AZ284" s="192"/>
      <c r="BA284" s="192"/>
      <c r="BB284" s="192"/>
      <c r="BC284" s="192"/>
      <c r="BD284" s="192"/>
      <c r="BE284" s="192"/>
      <c r="BF284" s="192">
        <f t="shared" si="19"/>
        <v>77706667</v>
      </c>
      <c r="BG284" s="192">
        <f t="shared" si="20"/>
        <v>77706667</v>
      </c>
      <c r="BH284" s="192">
        <f t="shared" si="21"/>
        <v>77706667</v>
      </c>
      <c r="BI284" s="398" t="s">
        <v>13</v>
      </c>
    </row>
    <row r="285" spans="1:61" s="394" customFormat="1" ht="66.75" customHeight="1">
      <c r="A285" s="442">
        <v>324</v>
      </c>
      <c r="B285" s="419" t="s">
        <v>1126</v>
      </c>
      <c r="C285" s="443">
        <v>4</v>
      </c>
      <c r="D285" s="419" t="s">
        <v>59</v>
      </c>
      <c r="E285" s="443">
        <v>23</v>
      </c>
      <c r="F285" s="419" t="s">
        <v>1127</v>
      </c>
      <c r="G285" s="443">
        <v>2302</v>
      </c>
      <c r="H285" s="419" t="s">
        <v>1153</v>
      </c>
      <c r="I285" s="443">
        <v>2302</v>
      </c>
      <c r="J285" s="419" t="s">
        <v>1154</v>
      </c>
      <c r="K285" s="419" t="s">
        <v>1185</v>
      </c>
      <c r="L285" s="443">
        <v>2302004</v>
      </c>
      <c r="M285" s="397" t="s">
        <v>1194</v>
      </c>
      <c r="N285" s="443">
        <v>2302004</v>
      </c>
      <c r="O285" s="419" t="s">
        <v>1194</v>
      </c>
      <c r="P285" s="307">
        <v>230200403</v>
      </c>
      <c r="Q285" s="445" t="s">
        <v>1195</v>
      </c>
      <c r="R285" s="307">
        <v>230200403</v>
      </c>
      <c r="S285" s="445" t="s">
        <v>1195</v>
      </c>
      <c r="T285" s="446" t="s">
        <v>69</v>
      </c>
      <c r="U285" s="444">
        <v>1</v>
      </c>
      <c r="V285" s="444"/>
      <c r="W285" s="444">
        <f t="shared" si="23"/>
        <v>1</v>
      </c>
      <c r="X285" s="444">
        <v>1</v>
      </c>
      <c r="Y285" s="417">
        <v>2020003630141</v>
      </c>
      <c r="Z285" s="418" t="s">
        <v>1188</v>
      </c>
      <c r="AA285" s="556" t="s">
        <v>1189</v>
      </c>
      <c r="AB285" s="185"/>
      <c r="AC285" s="185"/>
      <c r="AD285" s="185"/>
      <c r="AE285" s="192"/>
      <c r="AF285" s="192"/>
      <c r="AG285" s="192"/>
      <c r="AH285" s="192"/>
      <c r="AI285" s="192"/>
      <c r="AJ285" s="192"/>
      <c r="AK285" s="192"/>
      <c r="AL285" s="192"/>
      <c r="AM285" s="192"/>
      <c r="AN285" s="192"/>
      <c r="AO285" s="192"/>
      <c r="AP285" s="192"/>
      <c r="AQ285" s="192"/>
      <c r="AR285" s="192"/>
      <c r="AS285" s="192"/>
      <c r="AT285" s="192">
        <f>25000000-280000</f>
        <v>24720000</v>
      </c>
      <c r="AU285" s="192">
        <v>24720000</v>
      </c>
      <c r="AV285" s="192">
        <v>24720000</v>
      </c>
      <c r="AW285" s="192"/>
      <c r="AX285" s="192"/>
      <c r="AY285" s="192"/>
      <c r="AZ285" s="192"/>
      <c r="BA285" s="192"/>
      <c r="BB285" s="192"/>
      <c r="BC285" s="192"/>
      <c r="BD285" s="192"/>
      <c r="BE285" s="192"/>
      <c r="BF285" s="192">
        <f t="shared" si="19"/>
        <v>24720000</v>
      </c>
      <c r="BG285" s="192">
        <f t="shared" si="20"/>
        <v>24720000</v>
      </c>
      <c r="BH285" s="192">
        <f t="shared" si="21"/>
        <v>24720000</v>
      </c>
      <c r="BI285" s="398" t="s">
        <v>13</v>
      </c>
    </row>
    <row r="286" spans="1:61" s="394" customFormat="1" ht="66.75" customHeight="1">
      <c r="A286" s="442">
        <v>324</v>
      </c>
      <c r="B286" s="419" t="s">
        <v>1126</v>
      </c>
      <c r="C286" s="443">
        <v>4</v>
      </c>
      <c r="D286" s="419" t="s">
        <v>59</v>
      </c>
      <c r="E286" s="443">
        <v>23</v>
      </c>
      <c r="F286" s="419" t="s">
        <v>1127</v>
      </c>
      <c r="G286" s="443">
        <v>2302</v>
      </c>
      <c r="H286" s="419" t="s">
        <v>1153</v>
      </c>
      <c r="I286" s="443">
        <v>2302</v>
      </c>
      <c r="J286" s="419" t="s">
        <v>1154</v>
      </c>
      <c r="K286" s="419" t="s">
        <v>1185</v>
      </c>
      <c r="L286" s="307">
        <v>2302007</v>
      </c>
      <c r="M286" s="397" t="s">
        <v>1196</v>
      </c>
      <c r="N286" s="443">
        <v>2302007</v>
      </c>
      <c r="O286" s="419" t="s">
        <v>1196</v>
      </c>
      <c r="P286" s="307">
        <v>230200701</v>
      </c>
      <c r="Q286" s="421" t="s">
        <v>1197</v>
      </c>
      <c r="R286" s="307">
        <v>230200701</v>
      </c>
      <c r="S286" s="445" t="s">
        <v>1197</v>
      </c>
      <c r="T286" s="446" t="s">
        <v>69</v>
      </c>
      <c r="U286" s="444">
        <v>1</v>
      </c>
      <c r="V286" s="444"/>
      <c r="W286" s="444">
        <f t="shared" si="23"/>
        <v>1</v>
      </c>
      <c r="X286" s="444">
        <v>1</v>
      </c>
      <c r="Y286" s="417">
        <v>2020003630141</v>
      </c>
      <c r="Z286" s="418" t="s">
        <v>1188</v>
      </c>
      <c r="AA286" s="556" t="s">
        <v>1189</v>
      </c>
      <c r="AB286" s="185"/>
      <c r="AC286" s="185"/>
      <c r="AD286" s="185"/>
      <c r="AE286" s="192"/>
      <c r="AF286" s="192"/>
      <c r="AG286" s="192"/>
      <c r="AH286" s="192"/>
      <c r="AI286" s="192"/>
      <c r="AJ286" s="192"/>
      <c r="AK286" s="192"/>
      <c r="AL286" s="192"/>
      <c r="AM286" s="192"/>
      <c r="AN286" s="192"/>
      <c r="AO286" s="192"/>
      <c r="AP286" s="192"/>
      <c r="AQ286" s="192"/>
      <c r="AR286" s="192"/>
      <c r="AS286" s="192"/>
      <c r="AT286" s="192">
        <f>25000000+20000000+15000000+15000000-3000000</f>
        <v>72000000</v>
      </c>
      <c r="AU286" s="192">
        <v>71832499</v>
      </c>
      <c r="AV286" s="192">
        <v>71832499</v>
      </c>
      <c r="AW286" s="192"/>
      <c r="AX286" s="192"/>
      <c r="AY286" s="192"/>
      <c r="AZ286" s="192"/>
      <c r="BA286" s="192"/>
      <c r="BB286" s="192"/>
      <c r="BC286" s="192"/>
      <c r="BD286" s="192"/>
      <c r="BE286" s="192"/>
      <c r="BF286" s="192">
        <f t="shared" si="19"/>
        <v>72000000</v>
      </c>
      <c r="BG286" s="192">
        <f t="shared" si="20"/>
        <v>71832499</v>
      </c>
      <c r="BH286" s="192">
        <f t="shared" si="21"/>
        <v>71832499</v>
      </c>
      <c r="BI286" s="398" t="s">
        <v>13</v>
      </c>
    </row>
    <row r="287" spans="1:61" s="394" customFormat="1" ht="66.75" customHeight="1">
      <c r="A287" s="442">
        <v>324</v>
      </c>
      <c r="B287" s="419" t="s">
        <v>1126</v>
      </c>
      <c r="C287" s="443">
        <v>4</v>
      </c>
      <c r="D287" s="419" t="s">
        <v>59</v>
      </c>
      <c r="E287" s="443">
        <v>23</v>
      </c>
      <c r="F287" s="419" t="s">
        <v>1127</v>
      </c>
      <c r="G287" s="443">
        <v>2302</v>
      </c>
      <c r="H287" s="419" t="s">
        <v>1153</v>
      </c>
      <c r="I287" s="443">
        <v>2302</v>
      </c>
      <c r="J287" s="419" t="s">
        <v>1154</v>
      </c>
      <c r="K287" s="419" t="s">
        <v>1185</v>
      </c>
      <c r="L287" s="443">
        <v>2302083</v>
      </c>
      <c r="M287" s="397" t="s">
        <v>101</v>
      </c>
      <c r="N287" s="443">
        <v>2302083</v>
      </c>
      <c r="O287" s="419" t="s">
        <v>101</v>
      </c>
      <c r="P287" s="307">
        <v>230208300</v>
      </c>
      <c r="Q287" s="445" t="s">
        <v>540</v>
      </c>
      <c r="R287" s="307">
        <v>230208300</v>
      </c>
      <c r="S287" s="445" t="s">
        <v>540</v>
      </c>
      <c r="T287" s="446" t="s">
        <v>69</v>
      </c>
      <c r="U287" s="444">
        <v>1</v>
      </c>
      <c r="V287" s="444"/>
      <c r="W287" s="444">
        <f t="shared" si="23"/>
        <v>1</v>
      </c>
      <c r="X287" s="444">
        <v>1</v>
      </c>
      <c r="Y287" s="417">
        <v>2020003630141</v>
      </c>
      <c r="Z287" s="418" t="s">
        <v>1188</v>
      </c>
      <c r="AA287" s="556" t="s">
        <v>1189</v>
      </c>
      <c r="AB287" s="185"/>
      <c r="AC287" s="185"/>
      <c r="AD287" s="185"/>
      <c r="AE287" s="192"/>
      <c r="AF287" s="192"/>
      <c r="AG287" s="192"/>
      <c r="AH287" s="192"/>
      <c r="AI287" s="192"/>
      <c r="AJ287" s="192"/>
      <c r="AK287" s="192"/>
      <c r="AL287" s="192"/>
      <c r="AM287" s="192"/>
      <c r="AN287" s="192"/>
      <c r="AO287" s="192"/>
      <c r="AP287" s="192"/>
      <c r="AQ287" s="192"/>
      <c r="AR287" s="192"/>
      <c r="AS287" s="192"/>
      <c r="AT287" s="192">
        <f>18000000+20000000+10000000+20000000</f>
        <v>68000000</v>
      </c>
      <c r="AU287" s="192">
        <v>66666666</v>
      </c>
      <c r="AV287" s="192">
        <v>66666666</v>
      </c>
      <c r="AW287" s="192"/>
      <c r="AX287" s="192"/>
      <c r="AY287" s="192"/>
      <c r="AZ287" s="192"/>
      <c r="BA287" s="192"/>
      <c r="BB287" s="192"/>
      <c r="BC287" s="192"/>
      <c r="BD287" s="192"/>
      <c r="BE287" s="192"/>
      <c r="BF287" s="192">
        <f t="shared" ref="BF287:BF309" si="24">AB287+AE287+AH287+AK287+AN287+AQ287+AT287+AW287+BC287+AZ287</f>
        <v>68000000</v>
      </c>
      <c r="BG287" s="192">
        <f t="shared" ref="BG287:BG309" si="25">AC287+AF287+AI287+AL287+AO287+AR287+AU287+AX287+BD287+BA287</f>
        <v>66666666</v>
      </c>
      <c r="BH287" s="192">
        <f t="shared" ref="BH287:BH309" si="26">AD287+AG287+AJ287+AM287+AP287+AS287+AV287+AY287+BE287+BB287</f>
        <v>66666666</v>
      </c>
      <c r="BI287" s="398" t="s">
        <v>13</v>
      </c>
    </row>
    <row r="288" spans="1:61" s="394" customFormat="1" ht="66.75" customHeight="1">
      <c r="A288" s="423">
        <v>319</v>
      </c>
      <c r="B288" s="392" t="s">
        <v>1198</v>
      </c>
      <c r="C288" s="423">
        <v>1</v>
      </c>
      <c r="D288" s="392" t="s">
        <v>148</v>
      </c>
      <c r="E288" s="423">
        <v>43</v>
      </c>
      <c r="F288" s="392" t="s">
        <v>190</v>
      </c>
      <c r="G288" s="423">
        <v>4301</v>
      </c>
      <c r="H288" s="392" t="s">
        <v>191</v>
      </c>
      <c r="I288" s="423">
        <v>4301</v>
      </c>
      <c r="J288" s="392" t="s">
        <v>192</v>
      </c>
      <c r="K288" s="397" t="s">
        <v>1199</v>
      </c>
      <c r="L288" s="423">
        <v>4301007</v>
      </c>
      <c r="M288" s="397" t="s">
        <v>1200</v>
      </c>
      <c r="N288" s="423">
        <v>4301007</v>
      </c>
      <c r="O288" s="392" t="s">
        <v>1200</v>
      </c>
      <c r="P288" s="423">
        <v>430100701</v>
      </c>
      <c r="Q288" s="397" t="s">
        <v>1201</v>
      </c>
      <c r="R288" s="423">
        <v>430100701</v>
      </c>
      <c r="S288" s="397" t="s">
        <v>1201</v>
      </c>
      <c r="T288" s="428" t="s">
        <v>69</v>
      </c>
      <c r="U288" s="388">
        <v>12</v>
      </c>
      <c r="V288" s="388"/>
      <c r="W288" s="388">
        <f t="shared" si="23"/>
        <v>12</v>
      </c>
      <c r="X288" s="388">
        <v>12</v>
      </c>
      <c r="Y288" s="389">
        <v>2020003630009</v>
      </c>
      <c r="Z288" s="412" t="s">
        <v>1202</v>
      </c>
      <c r="AA288" s="546" t="s">
        <v>1203</v>
      </c>
      <c r="AB288" s="185">
        <f>180000000-130000000+14438423</f>
        <v>64438423</v>
      </c>
      <c r="AC288" s="185">
        <v>52038423</v>
      </c>
      <c r="AD288" s="185">
        <v>52038423</v>
      </c>
      <c r="AE288" s="190">
        <v>152638555.31</v>
      </c>
      <c r="AF288" s="190">
        <v>130306187.40000001</v>
      </c>
      <c r="AG288" s="190">
        <v>130306187.40000001</v>
      </c>
      <c r="AH288" s="185"/>
      <c r="AI288" s="185"/>
      <c r="AJ288" s="185"/>
      <c r="AK288" s="185">
        <v>12851234.699999999</v>
      </c>
      <c r="AL288" s="185">
        <v>0</v>
      </c>
      <c r="AM288" s="185">
        <v>0</v>
      </c>
      <c r="AN288" s="185"/>
      <c r="AO288" s="185"/>
      <c r="AP288" s="185"/>
      <c r="AQ288" s="185"/>
      <c r="AR288" s="185"/>
      <c r="AS288" s="185"/>
      <c r="AT288" s="190">
        <v>15000000</v>
      </c>
      <c r="AU288" s="190">
        <v>11300000</v>
      </c>
      <c r="AV288" s="190">
        <v>11300000</v>
      </c>
      <c r="AW288" s="190">
        <v>812700106.11000001</v>
      </c>
      <c r="AX288" s="190">
        <v>755057182.16999996</v>
      </c>
      <c r="AY288" s="190">
        <v>755057182.16999996</v>
      </c>
      <c r="AZ288" s="190"/>
      <c r="BA288" s="190"/>
      <c r="BB288" s="190"/>
      <c r="BC288" s="185">
        <f>430000000+7500000+56533330</f>
        <v>494033330</v>
      </c>
      <c r="BD288" s="185">
        <v>403704227</v>
      </c>
      <c r="BE288" s="185">
        <v>403704227</v>
      </c>
      <c r="BF288" s="192">
        <f t="shared" si="24"/>
        <v>1551661649.1199999</v>
      </c>
      <c r="BG288" s="192">
        <f t="shared" si="25"/>
        <v>1352406019.5699999</v>
      </c>
      <c r="BH288" s="192">
        <f t="shared" si="26"/>
        <v>1352406019.5699999</v>
      </c>
      <c r="BI288" s="398" t="s">
        <v>4</v>
      </c>
    </row>
    <row r="289" spans="1:61" s="394" customFormat="1" ht="66.75" customHeight="1">
      <c r="A289" s="423">
        <v>319</v>
      </c>
      <c r="B289" s="392" t="s">
        <v>1198</v>
      </c>
      <c r="C289" s="423">
        <v>1</v>
      </c>
      <c r="D289" s="392" t="s">
        <v>148</v>
      </c>
      <c r="E289" s="423">
        <v>43</v>
      </c>
      <c r="F289" s="392" t="s">
        <v>190</v>
      </c>
      <c r="G289" s="423">
        <v>4301</v>
      </c>
      <c r="H289" s="392" t="s">
        <v>191</v>
      </c>
      <c r="I289" s="423">
        <v>4301</v>
      </c>
      <c r="J289" s="392" t="s">
        <v>192</v>
      </c>
      <c r="K289" s="397" t="s">
        <v>1199</v>
      </c>
      <c r="L289" s="423">
        <v>4301037</v>
      </c>
      <c r="M289" s="397" t="s">
        <v>1204</v>
      </c>
      <c r="N289" s="423">
        <v>4301037</v>
      </c>
      <c r="O289" s="392" t="s">
        <v>1204</v>
      </c>
      <c r="P289" s="423">
        <v>430103701</v>
      </c>
      <c r="Q289" s="397" t="s">
        <v>1205</v>
      </c>
      <c r="R289" s="423">
        <v>430103701</v>
      </c>
      <c r="S289" s="397" t="s">
        <v>1205</v>
      </c>
      <c r="T289" s="388" t="s">
        <v>69</v>
      </c>
      <c r="U289" s="388">
        <v>12</v>
      </c>
      <c r="V289" s="388"/>
      <c r="W289" s="388">
        <f t="shared" si="23"/>
        <v>12</v>
      </c>
      <c r="X289" s="388">
        <v>12</v>
      </c>
      <c r="Y289" s="389">
        <v>2020003630009</v>
      </c>
      <c r="Z289" s="412" t="s">
        <v>1202</v>
      </c>
      <c r="AA289" s="546" t="s">
        <v>1203</v>
      </c>
      <c r="AB289" s="192">
        <f>20000000-20000000</f>
        <v>0</v>
      </c>
      <c r="AC289" s="192"/>
      <c r="AD289" s="192"/>
      <c r="AE289" s="190">
        <f>166500000-30000000-33732980</f>
        <v>102767020</v>
      </c>
      <c r="AF289" s="190">
        <v>92931990</v>
      </c>
      <c r="AG289" s="190">
        <v>92931990</v>
      </c>
      <c r="AH289" s="185"/>
      <c r="AI289" s="185"/>
      <c r="AJ289" s="185"/>
      <c r="AK289" s="185"/>
      <c r="AL289" s="185"/>
      <c r="AM289" s="185"/>
      <c r="AN289" s="185"/>
      <c r="AO289" s="185"/>
      <c r="AP289" s="185"/>
      <c r="AQ289" s="185"/>
      <c r="AR289" s="185"/>
      <c r="AS289" s="185"/>
      <c r="AT289" s="190">
        <v>0</v>
      </c>
      <c r="AU289" s="190"/>
      <c r="AV289" s="190"/>
      <c r="AW289" s="190"/>
      <c r="AX289" s="190"/>
      <c r="AY289" s="190"/>
      <c r="AZ289" s="190"/>
      <c r="BA289" s="190"/>
      <c r="BB289" s="190"/>
      <c r="BC289" s="190">
        <f>90000000-90000000</f>
        <v>0</v>
      </c>
      <c r="BD289" s="190"/>
      <c r="BE289" s="190"/>
      <c r="BF289" s="192">
        <f t="shared" si="24"/>
        <v>102767020</v>
      </c>
      <c r="BG289" s="192">
        <f t="shared" si="25"/>
        <v>92931990</v>
      </c>
      <c r="BH289" s="192">
        <f t="shared" si="26"/>
        <v>92931990</v>
      </c>
      <c r="BI289" s="398" t="s">
        <v>4</v>
      </c>
    </row>
    <row r="290" spans="1:61" s="394" customFormat="1" ht="66.75" customHeight="1">
      <c r="A290" s="423">
        <v>319</v>
      </c>
      <c r="B290" s="392" t="s">
        <v>1198</v>
      </c>
      <c r="C290" s="423">
        <v>1</v>
      </c>
      <c r="D290" s="392" t="s">
        <v>148</v>
      </c>
      <c r="E290" s="423">
        <v>43</v>
      </c>
      <c r="F290" s="392" t="s">
        <v>190</v>
      </c>
      <c r="G290" s="423">
        <v>4301</v>
      </c>
      <c r="H290" s="392" t="s">
        <v>191</v>
      </c>
      <c r="I290" s="423">
        <v>4301</v>
      </c>
      <c r="J290" s="392" t="s">
        <v>192</v>
      </c>
      <c r="K290" s="397" t="s">
        <v>1199</v>
      </c>
      <c r="L290" s="423">
        <v>4301037</v>
      </c>
      <c r="M290" s="397" t="s">
        <v>1204</v>
      </c>
      <c r="N290" s="423">
        <v>4301037</v>
      </c>
      <c r="O290" s="392" t="s">
        <v>1204</v>
      </c>
      <c r="P290" s="423" t="s">
        <v>1206</v>
      </c>
      <c r="Q290" s="397" t="s">
        <v>1207</v>
      </c>
      <c r="R290" s="423" t="s">
        <v>1206</v>
      </c>
      <c r="S290" s="397" t="s">
        <v>1207</v>
      </c>
      <c r="T290" s="388" t="s">
        <v>69</v>
      </c>
      <c r="U290" s="388">
        <v>12</v>
      </c>
      <c r="V290" s="388"/>
      <c r="W290" s="388">
        <f t="shared" si="23"/>
        <v>12</v>
      </c>
      <c r="X290" s="388">
        <v>12</v>
      </c>
      <c r="Y290" s="389">
        <v>2020003630009</v>
      </c>
      <c r="Z290" s="412" t="s">
        <v>1202</v>
      </c>
      <c r="AA290" s="546" t="s">
        <v>1203</v>
      </c>
      <c r="AB290" s="185">
        <f>530000000-330000000</f>
        <v>200000000</v>
      </c>
      <c r="AC290" s="185">
        <v>80000000</v>
      </c>
      <c r="AD290" s="185">
        <v>80000000</v>
      </c>
      <c r="AE290" s="190">
        <f>80000000+50000000+14405547.65</f>
        <v>144405547.65000001</v>
      </c>
      <c r="AF290" s="190">
        <v>100415543.65000001</v>
      </c>
      <c r="AG290" s="190">
        <v>100415543.65000001</v>
      </c>
      <c r="AH290" s="185"/>
      <c r="AI290" s="185"/>
      <c r="AJ290" s="185"/>
      <c r="AK290" s="185">
        <v>133682807.56999999</v>
      </c>
      <c r="AL290" s="185">
        <v>121889335.27000001</v>
      </c>
      <c r="AM290" s="185">
        <v>121889335.27000001</v>
      </c>
      <c r="AN290" s="185"/>
      <c r="AO290" s="185"/>
      <c r="AP290" s="185"/>
      <c r="AQ290" s="185"/>
      <c r="AR290" s="185"/>
      <c r="AS290" s="185"/>
      <c r="AT290" s="190">
        <f>298552259.2-15000000</f>
        <v>283552259.19999999</v>
      </c>
      <c r="AU290" s="190">
        <v>146241202.24000001</v>
      </c>
      <c r="AV290" s="190">
        <v>146241202.24000001</v>
      </c>
      <c r="AW290" s="190">
        <v>189262631.31</v>
      </c>
      <c r="AX290" s="190">
        <v>185334021.50999999</v>
      </c>
      <c r="AY290" s="190">
        <v>185334021.50999999</v>
      </c>
      <c r="AZ290" s="190"/>
      <c r="BA290" s="190"/>
      <c r="BB290" s="190"/>
      <c r="BC290" s="185">
        <f>480000000+195000000+5000000-7500000+179625098+33466670</f>
        <v>885591768</v>
      </c>
      <c r="BD290" s="185">
        <v>775208717.18000007</v>
      </c>
      <c r="BE290" s="185">
        <v>775208717.18000007</v>
      </c>
      <c r="BF290" s="192">
        <f t="shared" si="24"/>
        <v>1836495013.73</v>
      </c>
      <c r="BG290" s="192">
        <f t="shared" si="25"/>
        <v>1409088819.8500001</v>
      </c>
      <c r="BH290" s="192">
        <f t="shared" si="26"/>
        <v>1409088819.8500001</v>
      </c>
      <c r="BI290" s="398" t="s">
        <v>4</v>
      </c>
    </row>
    <row r="291" spans="1:61" s="394" customFormat="1" ht="66.75" customHeight="1">
      <c r="A291" s="423">
        <v>319</v>
      </c>
      <c r="B291" s="392" t="s">
        <v>1198</v>
      </c>
      <c r="C291" s="423">
        <v>1</v>
      </c>
      <c r="D291" s="392" t="s">
        <v>148</v>
      </c>
      <c r="E291" s="423">
        <v>43</v>
      </c>
      <c r="F291" s="392" t="s">
        <v>190</v>
      </c>
      <c r="G291" s="423">
        <v>4301</v>
      </c>
      <c r="H291" s="392" t="s">
        <v>191</v>
      </c>
      <c r="I291" s="423">
        <v>4301</v>
      </c>
      <c r="J291" s="392" t="s">
        <v>192</v>
      </c>
      <c r="K291" s="397" t="s">
        <v>1199</v>
      </c>
      <c r="L291" s="388" t="s">
        <v>61</v>
      </c>
      <c r="M291" s="397" t="s">
        <v>1208</v>
      </c>
      <c r="N291" s="423">
        <v>4301006</v>
      </c>
      <c r="O291" s="392" t="s">
        <v>1209</v>
      </c>
      <c r="P291" s="388" t="s">
        <v>61</v>
      </c>
      <c r="Q291" s="397" t="s">
        <v>1210</v>
      </c>
      <c r="R291" s="423">
        <v>430100600</v>
      </c>
      <c r="S291" s="397" t="s">
        <v>1211</v>
      </c>
      <c r="T291" s="428" t="s">
        <v>69</v>
      </c>
      <c r="U291" s="388">
        <v>1</v>
      </c>
      <c r="V291" s="388"/>
      <c r="W291" s="388">
        <f t="shared" si="23"/>
        <v>1</v>
      </c>
      <c r="X291" s="388">
        <v>1</v>
      </c>
      <c r="Y291" s="389">
        <v>2020003630009</v>
      </c>
      <c r="Z291" s="412" t="s">
        <v>1202</v>
      </c>
      <c r="AA291" s="546" t="s">
        <v>1203</v>
      </c>
      <c r="AB291" s="185">
        <v>0</v>
      </c>
      <c r="AC291" s="185"/>
      <c r="AD291" s="185"/>
      <c r="AE291" s="286">
        <f>100000000-50000000</f>
        <v>50000000</v>
      </c>
      <c r="AF291" s="286">
        <v>40200000</v>
      </c>
      <c r="AG291" s="286">
        <v>40200000</v>
      </c>
      <c r="AH291" s="185"/>
      <c r="AI291" s="185"/>
      <c r="AJ291" s="185"/>
      <c r="AK291" s="185">
        <v>26000000</v>
      </c>
      <c r="AL291" s="185">
        <v>17300000</v>
      </c>
      <c r="AM291" s="185">
        <v>17300000</v>
      </c>
      <c r="AN291" s="185"/>
      <c r="AO291" s="185"/>
      <c r="AP291" s="185"/>
      <c r="AQ291" s="185"/>
      <c r="AR291" s="185"/>
      <c r="AS291" s="185"/>
      <c r="AT291" s="194"/>
      <c r="AU291" s="194"/>
      <c r="AV291" s="194"/>
      <c r="AW291" s="185"/>
      <c r="AX291" s="286"/>
      <c r="AY291" s="286"/>
      <c r="AZ291" s="286"/>
      <c r="BA291" s="286"/>
      <c r="BB291" s="286"/>
      <c r="BC291" s="194">
        <v>0</v>
      </c>
      <c r="BD291" s="194"/>
      <c r="BE291" s="194"/>
      <c r="BF291" s="192">
        <f t="shared" si="24"/>
        <v>76000000</v>
      </c>
      <c r="BG291" s="192">
        <f t="shared" si="25"/>
        <v>57500000</v>
      </c>
      <c r="BH291" s="192">
        <f t="shared" si="26"/>
        <v>57500000</v>
      </c>
      <c r="BI291" s="398" t="s">
        <v>4</v>
      </c>
    </row>
    <row r="292" spans="1:61" s="394" customFormat="1" ht="66.75" customHeight="1">
      <c r="A292" s="423">
        <v>319</v>
      </c>
      <c r="B292" s="392" t="s">
        <v>1198</v>
      </c>
      <c r="C292" s="423">
        <v>1</v>
      </c>
      <c r="D292" s="392" t="s">
        <v>148</v>
      </c>
      <c r="E292" s="423">
        <v>43</v>
      </c>
      <c r="F292" s="392" t="s">
        <v>190</v>
      </c>
      <c r="G292" s="423">
        <v>4302</v>
      </c>
      <c r="H292" s="392" t="s">
        <v>1212</v>
      </c>
      <c r="I292" s="423">
        <v>4302</v>
      </c>
      <c r="J292" s="392" t="s">
        <v>1213</v>
      </c>
      <c r="K292" s="393" t="s">
        <v>1214</v>
      </c>
      <c r="L292" s="308">
        <v>4302075</v>
      </c>
      <c r="M292" s="397" t="s">
        <v>1215</v>
      </c>
      <c r="N292" s="308">
        <v>4302075</v>
      </c>
      <c r="O292" s="392" t="s">
        <v>1215</v>
      </c>
      <c r="P292" s="388">
        <v>430207500</v>
      </c>
      <c r="Q292" s="397" t="s">
        <v>1216</v>
      </c>
      <c r="R292" s="388">
        <v>430207500</v>
      </c>
      <c r="S292" s="397" t="s">
        <v>1216</v>
      </c>
      <c r="T292" s="428" t="s">
        <v>69</v>
      </c>
      <c r="U292" s="388">
        <v>25</v>
      </c>
      <c r="V292" s="388"/>
      <c r="W292" s="388">
        <f t="shared" si="23"/>
        <v>25</v>
      </c>
      <c r="X292" s="388">
        <v>25</v>
      </c>
      <c r="Y292" s="389">
        <v>2020003630010</v>
      </c>
      <c r="Z292" s="412" t="s">
        <v>1217</v>
      </c>
      <c r="AA292" s="559" t="s">
        <v>1218</v>
      </c>
      <c r="AB292" s="185">
        <f>2970000000-1413227407+1201555130.82</f>
        <v>2758327723.8199997</v>
      </c>
      <c r="AC292" s="185">
        <v>2513797769.3299999</v>
      </c>
      <c r="AD292" s="185">
        <v>2513797769.3299999</v>
      </c>
      <c r="AE292" s="294">
        <f>325298207+52474+1462010+208578261+33732980</f>
        <v>569123932</v>
      </c>
      <c r="AF292" s="294">
        <v>299096210</v>
      </c>
      <c r="AG292" s="294">
        <v>299096210</v>
      </c>
      <c r="AH292" s="185"/>
      <c r="AI292" s="185"/>
      <c r="AJ292" s="185"/>
      <c r="AK292" s="185">
        <v>361351362</v>
      </c>
      <c r="AL292" s="185">
        <v>307949920</v>
      </c>
      <c r="AM292" s="185">
        <v>307949920</v>
      </c>
      <c r="AN292" s="185"/>
      <c r="AO292" s="185"/>
      <c r="AP292" s="185"/>
      <c r="AQ292" s="185"/>
      <c r="AR292" s="185"/>
      <c r="AS292" s="185"/>
      <c r="AT292" s="194">
        <v>535352417.80000001</v>
      </c>
      <c r="AU292" s="294">
        <v>429773316.73000002</v>
      </c>
      <c r="AV292" s="294">
        <v>429773316.73000002</v>
      </c>
      <c r="AW292" s="192">
        <v>66436961.920000002</v>
      </c>
      <c r="AX292" s="294">
        <v>63856738.539999999</v>
      </c>
      <c r="AY292" s="294">
        <v>63856738.539999999</v>
      </c>
      <c r="AZ292" s="294"/>
      <c r="BA292" s="294"/>
      <c r="BB292" s="294"/>
      <c r="BC292" s="185">
        <v>20000000</v>
      </c>
      <c r="BD292" s="185"/>
      <c r="BE292" s="185"/>
      <c r="BF292" s="192">
        <f t="shared" si="24"/>
        <v>4310592397.54</v>
      </c>
      <c r="BG292" s="192">
        <f t="shared" si="25"/>
        <v>3614473954.5999999</v>
      </c>
      <c r="BH292" s="192">
        <f t="shared" si="26"/>
        <v>3614473954.5999999</v>
      </c>
      <c r="BI292" s="398" t="s">
        <v>4</v>
      </c>
    </row>
    <row r="293" spans="1:61" s="394" customFormat="1" ht="66.75" customHeight="1">
      <c r="A293" s="423">
        <v>319</v>
      </c>
      <c r="B293" s="392" t="s">
        <v>1198</v>
      </c>
      <c r="C293" s="423">
        <v>1</v>
      </c>
      <c r="D293" s="392" t="s">
        <v>148</v>
      </c>
      <c r="E293" s="423">
        <v>43</v>
      </c>
      <c r="F293" s="392" t="s">
        <v>190</v>
      </c>
      <c r="G293" s="423">
        <v>4302</v>
      </c>
      <c r="H293" s="392" t="s">
        <v>1212</v>
      </c>
      <c r="I293" s="423">
        <v>4302</v>
      </c>
      <c r="J293" s="392" t="s">
        <v>1213</v>
      </c>
      <c r="K293" s="393" t="s">
        <v>1214</v>
      </c>
      <c r="L293" s="308">
        <v>4302075</v>
      </c>
      <c r="M293" s="397" t="s">
        <v>1215</v>
      </c>
      <c r="N293" s="308">
        <v>4302004</v>
      </c>
      <c r="O293" s="392" t="s">
        <v>1219</v>
      </c>
      <c r="P293" s="388" t="s">
        <v>61</v>
      </c>
      <c r="Q293" s="397" t="s">
        <v>1220</v>
      </c>
      <c r="R293" s="425">
        <v>430200401</v>
      </c>
      <c r="S293" s="397" t="s">
        <v>1221</v>
      </c>
      <c r="T293" s="428" t="s">
        <v>69</v>
      </c>
      <c r="U293" s="388">
        <v>1</v>
      </c>
      <c r="V293" s="388"/>
      <c r="W293" s="388">
        <f t="shared" si="23"/>
        <v>1</v>
      </c>
      <c r="X293" s="388">
        <v>1</v>
      </c>
      <c r="Y293" s="389">
        <v>2020003630013</v>
      </c>
      <c r="Z293" s="412" t="s">
        <v>1222</v>
      </c>
      <c r="AA293" s="546" t="s">
        <v>1223</v>
      </c>
      <c r="AB293" s="185">
        <f>50000000+1413227407+130000000+330000000+20000000+181953667</f>
        <v>2125181074</v>
      </c>
      <c r="AC293" s="185">
        <v>1551929928.02</v>
      </c>
      <c r="AD293" s="185">
        <v>1551929928.02</v>
      </c>
      <c r="AE293" s="294">
        <f>135184145+84900000</f>
        <v>220084145</v>
      </c>
      <c r="AF293" s="294">
        <v>156859145</v>
      </c>
      <c r="AG293" s="294">
        <v>156859145</v>
      </c>
      <c r="AH293" s="185"/>
      <c r="AI293" s="185"/>
      <c r="AJ293" s="185"/>
      <c r="AK293" s="185"/>
      <c r="AL293" s="185"/>
      <c r="AM293" s="185"/>
      <c r="AN293" s="185"/>
      <c r="AO293" s="185"/>
      <c r="AP293" s="185"/>
      <c r="AQ293" s="185"/>
      <c r="AR293" s="185"/>
      <c r="AS293" s="185"/>
      <c r="AT293" s="194">
        <v>86652613</v>
      </c>
      <c r="AU293" s="192">
        <v>34100000</v>
      </c>
      <c r="AV293" s="192">
        <v>34100000</v>
      </c>
      <c r="AW293" s="192">
        <v>15000000</v>
      </c>
      <c r="AX293" s="192">
        <v>15000000</v>
      </c>
      <c r="AY293" s="192">
        <v>15000000</v>
      </c>
      <c r="AZ293" s="192"/>
      <c r="BA293" s="192"/>
      <c r="BB293" s="192"/>
      <c r="BC293" s="185">
        <v>0</v>
      </c>
      <c r="BD293" s="185"/>
      <c r="BE293" s="185"/>
      <c r="BF293" s="192">
        <f t="shared" si="24"/>
        <v>2446917832</v>
      </c>
      <c r="BG293" s="192">
        <f t="shared" si="25"/>
        <v>1757889073.02</v>
      </c>
      <c r="BH293" s="192">
        <f t="shared" si="26"/>
        <v>1757889073.02</v>
      </c>
      <c r="BI293" s="398" t="s">
        <v>4</v>
      </c>
    </row>
    <row r="294" spans="1:61" s="394" customFormat="1" ht="66.75" customHeight="1">
      <c r="A294" s="423">
        <v>320</v>
      </c>
      <c r="B294" s="392" t="s">
        <v>1224</v>
      </c>
      <c r="C294" s="423">
        <v>1</v>
      </c>
      <c r="D294" s="392" t="s">
        <v>148</v>
      </c>
      <c r="E294" s="423">
        <v>43</v>
      </c>
      <c r="F294" s="392" t="s">
        <v>190</v>
      </c>
      <c r="G294" s="423">
        <v>4301</v>
      </c>
      <c r="H294" s="392" t="s">
        <v>191</v>
      </c>
      <c r="I294" s="423">
        <v>4301</v>
      </c>
      <c r="J294" s="392" t="s">
        <v>192</v>
      </c>
      <c r="K294" s="392" t="s">
        <v>193</v>
      </c>
      <c r="L294" s="388" t="s">
        <v>61</v>
      </c>
      <c r="M294" s="397" t="s">
        <v>1225</v>
      </c>
      <c r="N294" s="423">
        <v>4301004</v>
      </c>
      <c r="O294" s="188" t="s">
        <v>195</v>
      </c>
      <c r="P294" s="388" t="s">
        <v>61</v>
      </c>
      <c r="Q294" s="397" t="s">
        <v>1226</v>
      </c>
      <c r="R294" s="191">
        <v>430100401</v>
      </c>
      <c r="S294" s="188" t="s">
        <v>197</v>
      </c>
      <c r="T294" s="401" t="s">
        <v>157</v>
      </c>
      <c r="U294" s="388">
        <v>3</v>
      </c>
      <c r="V294" s="388"/>
      <c r="W294" s="388">
        <f t="shared" ref="W294:W303" si="27">+U294+V294</f>
        <v>3</v>
      </c>
      <c r="X294" s="388">
        <v>17</v>
      </c>
      <c r="Y294" s="389">
        <v>2020003630142</v>
      </c>
      <c r="Z294" s="412" t="s">
        <v>1227</v>
      </c>
      <c r="AA294" s="553" t="s">
        <v>1228</v>
      </c>
      <c r="AB294" s="562">
        <f>1500000000-130000000</f>
        <v>1370000000</v>
      </c>
      <c r="AC294" s="562">
        <v>1369799748.7</v>
      </c>
      <c r="AD294" s="562">
        <v>1369799748.7</v>
      </c>
      <c r="AE294" s="185"/>
      <c r="AF294" s="185"/>
      <c r="AG294" s="185"/>
      <c r="AH294" s="185"/>
      <c r="AI294" s="185"/>
      <c r="AJ294" s="185"/>
      <c r="AK294" s="185"/>
      <c r="AL294" s="185"/>
      <c r="AM294" s="185"/>
      <c r="AN294" s="185"/>
      <c r="AO294" s="185"/>
      <c r="AP294" s="185"/>
      <c r="AQ294" s="185"/>
      <c r="AR294" s="185"/>
      <c r="AS294" s="185"/>
      <c r="AT294" s="194"/>
      <c r="AU294" s="194"/>
      <c r="AV294" s="194"/>
      <c r="AW294" s="190">
        <f>40000000+52000000</f>
        <v>92000000</v>
      </c>
      <c r="AX294" s="190">
        <v>91080667</v>
      </c>
      <c r="AY294" s="190">
        <v>91080667</v>
      </c>
      <c r="AZ294" s="190"/>
      <c r="BA294" s="190"/>
      <c r="BB294" s="190"/>
      <c r="BC294" s="185"/>
      <c r="BD294" s="185"/>
      <c r="BE294" s="185"/>
      <c r="BF294" s="192">
        <f t="shared" si="24"/>
        <v>1462000000</v>
      </c>
      <c r="BG294" s="192">
        <f t="shared" si="25"/>
        <v>1460880415.7</v>
      </c>
      <c r="BH294" s="192">
        <f t="shared" si="26"/>
        <v>1460880415.7</v>
      </c>
      <c r="BI294" s="398" t="s">
        <v>3</v>
      </c>
    </row>
    <row r="295" spans="1:61" s="394" customFormat="1" ht="66.75" customHeight="1">
      <c r="A295" s="423">
        <v>320</v>
      </c>
      <c r="B295" s="392" t="s">
        <v>1224</v>
      </c>
      <c r="C295" s="423">
        <v>1</v>
      </c>
      <c r="D295" s="392" t="s">
        <v>148</v>
      </c>
      <c r="E295" s="423">
        <v>22</v>
      </c>
      <c r="F295" s="392" t="s">
        <v>160</v>
      </c>
      <c r="G295" s="423">
        <v>2201</v>
      </c>
      <c r="H295" s="392" t="s">
        <v>298</v>
      </c>
      <c r="I295" s="423">
        <v>2201</v>
      </c>
      <c r="J295" s="392" t="s">
        <v>162</v>
      </c>
      <c r="K295" s="392" t="s">
        <v>163</v>
      </c>
      <c r="L295" s="388" t="s">
        <v>61</v>
      </c>
      <c r="M295" s="397" t="s">
        <v>666</v>
      </c>
      <c r="N295" s="191">
        <v>2201062</v>
      </c>
      <c r="O295" s="392" t="s">
        <v>165</v>
      </c>
      <c r="P295" s="388" t="s">
        <v>61</v>
      </c>
      <c r="Q295" s="397" t="s">
        <v>166</v>
      </c>
      <c r="R295" s="423">
        <v>220106200</v>
      </c>
      <c r="S295" s="393" t="s">
        <v>167</v>
      </c>
      <c r="T295" s="401" t="s">
        <v>157</v>
      </c>
      <c r="U295" s="423">
        <v>13</v>
      </c>
      <c r="V295" s="423"/>
      <c r="W295" s="388">
        <f t="shared" si="27"/>
        <v>13</v>
      </c>
      <c r="X295" s="388">
        <v>13</v>
      </c>
      <c r="Y295" s="389">
        <v>2020003630143</v>
      </c>
      <c r="Z295" s="412" t="s">
        <v>1229</v>
      </c>
      <c r="AA295" s="553" t="s">
        <v>1230</v>
      </c>
      <c r="AB295" s="192">
        <v>1138923248</v>
      </c>
      <c r="AC295" s="448">
        <v>1137673939</v>
      </c>
      <c r="AD295" s="448">
        <v>1137673939</v>
      </c>
      <c r="AE295" s="185"/>
      <c r="AF295" s="185"/>
      <c r="AG295" s="185"/>
      <c r="AH295" s="185"/>
      <c r="AI295" s="185"/>
      <c r="AJ295" s="185"/>
      <c r="AK295" s="185"/>
      <c r="AL295" s="185"/>
      <c r="AM295" s="185"/>
      <c r="AN295" s="185"/>
      <c r="AO295" s="185"/>
      <c r="AP295" s="185"/>
      <c r="AQ295" s="185"/>
      <c r="AR295" s="185"/>
      <c r="AS295" s="185"/>
      <c r="AT295" s="194"/>
      <c r="AU295" s="194"/>
      <c r="AV295" s="194"/>
      <c r="AW295" s="185">
        <v>57387924</v>
      </c>
      <c r="AX295" s="185">
        <v>52864925</v>
      </c>
      <c r="AY295" s="185">
        <v>52864925</v>
      </c>
      <c r="AZ295" s="185"/>
      <c r="BA295" s="185"/>
      <c r="BB295" s="185"/>
      <c r="BC295" s="284"/>
      <c r="BD295" s="284"/>
      <c r="BE295" s="284"/>
      <c r="BF295" s="192">
        <f t="shared" si="24"/>
        <v>1196311172</v>
      </c>
      <c r="BG295" s="192">
        <f t="shared" si="25"/>
        <v>1190538864</v>
      </c>
      <c r="BH295" s="192">
        <f t="shared" si="26"/>
        <v>1190538864</v>
      </c>
      <c r="BI295" s="398" t="s">
        <v>3</v>
      </c>
    </row>
    <row r="296" spans="1:61" s="394" customFormat="1" ht="66.75" customHeight="1">
      <c r="A296" s="423">
        <v>320</v>
      </c>
      <c r="B296" s="392" t="s">
        <v>1224</v>
      </c>
      <c r="C296" s="423">
        <v>3</v>
      </c>
      <c r="D296" s="392" t="s">
        <v>212</v>
      </c>
      <c r="E296" s="423">
        <v>24</v>
      </c>
      <c r="F296" s="392" t="s">
        <v>213</v>
      </c>
      <c r="G296" s="423">
        <v>2402</v>
      </c>
      <c r="H296" s="392" t="s">
        <v>214</v>
      </c>
      <c r="I296" s="423">
        <v>2402</v>
      </c>
      <c r="J296" s="392" t="s">
        <v>215</v>
      </c>
      <c r="K296" s="188" t="s">
        <v>1231</v>
      </c>
      <c r="L296" s="388" t="s">
        <v>61</v>
      </c>
      <c r="M296" s="397" t="s">
        <v>223</v>
      </c>
      <c r="N296" s="191">
        <v>2402041</v>
      </c>
      <c r="O296" s="392" t="s">
        <v>224</v>
      </c>
      <c r="P296" s="388" t="s">
        <v>61</v>
      </c>
      <c r="Q296" s="397" t="s">
        <v>225</v>
      </c>
      <c r="R296" s="191">
        <v>240204100</v>
      </c>
      <c r="S296" s="188" t="s">
        <v>226</v>
      </c>
      <c r="T296" s="401" t="s">
        <v>69</v>
      </c>
      <c r="U296" s="186">
        <v>52.1</v>
      </c>
      <c r="V296" s="186">
        <v>0</v>
      </c>
      <c r="W296" s="388">
        <f>U296+V296</f>
        <v>52.1</v>
      </c>
      <c r="X296" s="388">
        <v>52.1</v>
      </c>
      <c r="Y296" s="389">
        <v>2020003630144</v>
      </c>
      <c r="Z296" s="412" t="s">
        <v>1232</v>
      </c>
      <c r="AA296" s="546" t="s">
        <v>1524</v>
      </c>
      <c r="AB296" s="185"/>
      <c r="AC296" s="185"/>
      <c r="AD296" s="185"/>
      <c r="AE296" s="185"/>
      <c r="AF296" s="185"/>
      <c r="AG296" s="185"/>
      <c r="AH296" s="185"/>
      <c r="AI296" s="185"/>
      <c r="AJ296" s="185"/>
      <c r="AK296" s="185"/>
      <c r="AL296" s="185"/>
      <c r="AM296" s="185"/>
      <c r="AN296" s="185"/>
      <c r="AO296" s="185"/>
      <c r="AP296" s="185"/>
      <c r="AQ296" s="185"/>
      <c r="AR296" s="185"/>
      <c r="AS296" s="185"/>
      <c r="AT296" s="194"/>
      <c r="AU296" s="194"/>
      <c r="AV296" s="194"/>
      <c r="AW296" s="190">
        <f>520000000+100000000-127643232-52000000</f>
        <v>440356768</v>
      </c>
      <c r="AX296" s="190">
        <v>421335509</v>
      </c>
      <c r="AY296" s="190">
        <v>421335509</v>
      </c>
      <c r="AZ296" s="190"/>
      <c r="BA296" s="190"/>
      <c r="BB296" s="190"/>
      <c r="BC296" s="185"/>
      <c r="BD296" s="185"/>
      <c r="BE296" s="185"/>
      <c r="BF296" s="192">
        <f t="shared" si="24"/>
        <v>440356768</v>
      </c>
      <c r="BG296" s="192">
        <f t="shared" si="25"/>
        <v>421335509</v>
      </c>
      <c r="BH296" s="192">
        <f t="shared" si="26"/>
        <v>421335509</v>
      </c>
      <c r="BI296" s="398" t="s">
        <v>3</v>
      </c>
    </row>
    <row r="297" spans="1:61" s="394" customFormat="1" ht="66.75" customHeight="1">
      <c r="A297" s="423">
        <v>320</v>
      </c>
      <c r="B297" s="392" t="s">
        <v>1224</v>
      </c>
      <c r="C297" s="423">
        <v>3</v>
      </c>
      <c r="D297" s="392" t="s">
        <v>212</v>
      </c>
      <c r="E297" s="423">
        <v>40</v>
      </c>
      <c r="F297" s="392" t="s">
        <v>241</v>
      </c>
      <c r="G297" s="423">
        <v>4001</v>
      </c>
      <c r="H297" s="392" t="s">
        <v>242</v>
      </c>
      <c r="I297" s="423">
        <v>4001</v>
      </c>
      <c r="J297" s="392" t="s">
        <v>243</v>
      </c>
      <c r="K297" s="392" t="s">
        <v>244</v>
      </c>
      <c r="L297" s="435">
        <v>4001001</v>
      </c>
      <c r="M297" s="397" t="s">
        <v>1233</v>
      </c>
      <c r="N297" s="447">
        <v>4001001</v>
      </c>
      <c r="O297" s="392" t="s">
        <v>1233</v>
      </c>
      <c r="P297" s="388" t="s">
        <v>1234</v>
      </c>
      <c r="Q297" s="397" t="s">
        <v>1235</v>
      </c>
      <c r="R297" s="388" t="s">
        <v>1234</v>
      </c>
      <c r="S297" s="397" t="s">
        <v>1235</v>
      </c>
      <c r="T297" s="401" t="s">
        <v>157</v>
      </c>
      <c r="U297" s="388">
        <v>3</v>
      </c>
      <c r="V297" s="388">
        <v>3</v>
      </c>
      <c r="W297" s="388">
        <f t="shared" si="27"/>
        <v>6</v>
      </c>
      <c r="X297" s="388">
        <v>9</v>
      </c>
      <c r="Y297" s="389">
        <v>2020003630145</v>
      </c>
      <c r="Z297" s="412" t="s">
        <v>1236</v>
      </c>
      <c r="AA297" s="546" t="s">
        <v>1237</v>
      </c>
      <c r="AB297" s="192"/>
      <c r="AC297" s="192"/>
      <c r="AD297" s="192"/>
      <c r="AE297" s="185"/>
      <c r="AF297" s="185"/>
      <c r="AG297" s="185"/>
      <c r="AH297" s="185"/>
      <c r="AI297" s="185"/>
      <c r="AJ297" s="185"/>
      <c r="AK297" s="185"/>
      <c r="AL297" s="185"/>
      <c r="AM297" s="185"/>
      <c r="AN297" s="185"/>
      <c r="AO297" s="185"/>
      <c r="AP297" s="185"/>
      <c r="AQ297" s="185"/>
      <c r="AR297" s="185"/>
      <c r="AS297" s="185"/>
      <c r="AT297" s="194"/>
      <c r="AU297" s="194"/>
      <c r="AV297" s="194"/>
      <c r="AW297" s="185">
        <f>25000000+60000000+25000000-4846152</f>
        <v>105153848</v>
      </c>
      <c r="AX297" s="185">
        <v>105153848</v>
      </c>
      <c r="AY297" s="185">
        <v>105153848</v>
      </c>
      <c r="AZ297" s="185"/>
      <c r="BA297" s="185"/>
      <c r="BB297" s="185"/>
      <c r="BC297" s="284"/>
      <c r="BD297" s="284"/>
      <c r="BE297" s="284"/>
      <c r="BF297" s="192">
        <f t="shared" si="24"/>
        <v>105153848</v>
      </c>
      <c r="BG297" s="192">
        <f t="shared" si="25"/>
        <v>105153848</v>
      </c>
      <c r="BH297" s="192">
        <f t="shared" si="26"/>
        <v>105153848</v>
      </c>
      <c r="BI297" s="398" t="s">
        <v>3</v>
      </c>
    </row>
    <row r="298" spans="1:61" s="394" customFormat="1" ht="66.75" customHeight="1">
      <c r="A298" s="423">
        <v>320</v>
      </c>
      <c r="B298" s="392" t="s">
        <v>1224</v>
      </c>
      <c r="C298" s="423">
        <v>3</v>
      </c>
      <c r="D298" s="392" t="s">
        <v>212</v>
      </c>
      <c r="E298" s="423">
        <v>40</v>
      </c>
      <c r="F298" s="392" t="s">
        <v>241</v>
      </c>
      <c r="G298" s="423">
        <v>4001</v>
      </c>
      <c r="H298" s="392" t="s">
        <v>242</v>
      </c>
      <c r="I298" s="423">
        <v>4001</v>
      </c>
      <c r="J298" s="392" t="s">
        <v>243</v>
      </c>
      <c r="K298" s="392" t="s">
        <v>1238</v>
      </c>
      <c r="L298" s="435">
        <v>4001017</v>
      </c>
      <c r="M298" s="397" t="s">
        <v>1239</v>
      </c>
      <c r="N298" s="447">
        <v>4001017</v>
      </c>
      <c r="O298" s="392" t="s">
        <v>1239</v>
      </c>
      <c r="P298" s="388" t="s">
        <v>1240</v>
      </c>
      <c r="Q298" s="397" t="s">
        <v>1241</v>
      </c>
      <c r="R298" s="388" t="s">
        <v>1240</v>
      </c>
      <c r="S298" s="397" t="s">
        <v>1241</v>
      </c>
      <c r="T298" s="388" t="s">
        <v>157</v>
      </c>
      <c r="U298" s="388">
        <v>25</v>
      </c>
      <c r="V298" s="388">
        <v>59</v>
      </c>
      <c r="W298" s="388">
        <f t="shared" si="27"/>
        <v>84</v>
      </c>
      <c r="X298" s="388">
        <v>8</v>
      </c>
      <c r="Y298" s="389">
        <v>2020003630145</v>
      </c>
      <c r="Z298" s="412" t="s">
        <v>1236</v>
      </c>
      <c r="AA298" s="546" t="s">
        <v>1237</v>
      </c>
      <c r="AB298" s="192">
        <f>170000000-168500000</f>
        <v>1500000</v>
      </c>
      <c r="AC298" s="192">
        <v>1500000</v>
      </c>
      <c r="AD298" s="192">
        <v>1500000</v>
      </c>
      <c r="AE298" s="185"/>
      <c r="AF298" s="185"/>
      <c r="AG298" s="185"/>
      <c r="AH298" s="185"/>
      <c r="AI298" s="185"/>
      <c r="AJ298" s="185"/>
      <c r="AK298" s="185"/>
      <c r="AL298" s="185"/>
      <c r="AM298" s="185"/>
      <c r="AN298" s="185"/>
      <c r="AO298" s="185"/>
      <c r="AP298" s="185"/>
      <c r="AQ298" s="185"/>
      <c r="AR298" s="185"/>
      <c r="AS298" s="185"/>
      <c r="AT298" s="194"/>
      <c r="AU298" s="194"/>
      <c r="AV298" s="194"/>
      <c r="AW298" s="192">
        <f>200000000-150000000+14100873</f>
        <v>64100873</v>
      </c>
      <c r="AX298" s="192">
        <v>64050873</v>
      </c>
      <c r="AY298" s="192">
        <v>64050873</v>
      </c>
      <c r="AZ298" s="192"/>
      <c r="BA298" s="192"/>
      <c r="BB298" s="192"/>
      <c r="BC298" s="284"/>
      <c r="BD298" s="284"/>
      <c r="BE298" s="284"/>
      <c r="BF298" s="192">
        <f t="shared" si="24"/>
        <v>65600873</v>
      </c>
      <c r="BG298" s="192">
        <f t="shared" si="25"/>
        <v>65550873</v>
      </c>
      <c r="BH298" s="192">
        <f t="shared" si="26"/>
        <v>65550873</v>
      </c>
      <c r="BI298" s="398" t="s">
        <v>3</v>
      </c>
    </row>
    <row r="299" spans="1:61" s="394" customFormat="1" ht="66.75" customHeight="1">
      <c r="A299" s="423">
        <v>320</v>
      </c>
      <c r="B299" s="392" t="s">
        <v>1224</v>
      </c>
      <c r="C299" s="423">
        <v>3</v>
      </c>
      <c r="D299" s="392" t="s">
        <v>212</v>
      </c>
      <c r="E299" s="423">
        <v>40</v>
      </c>
      <c r="F299" s="392" t="s">
        <v>241</v>
      </c>
      <c r="G299" s="423">
        <v>4001</v>
      </c>
      <c r="H299" s="392" t="s">
        <v>242</v>
      </c>
      <c r="I299" s="423">
        <v>4001</v>
      </c>
      <c r="J299" s="392" t="s">
        <v>243</v>
      </c>
      <c r="K299" s="392" t="s">
        <v>244</v>
      </c>
      <c r="L299" s="435">
        <v>4001018</v>
      </c>
      <c r="M299" s="397" t="s">
        <v>1242</v>
      </c>
      <c r="N299" s="447">
        <v>4001018</v>
      </c>
      <c r="O299" s="392" t="s">
        <v>1242</v>
      </c>
      <c r="P299" s="388" t="s">
        <v>1243</v>
      </c>
      <c r="Q299" s="397" t="s">
        <v>1244</v>
      </c>
      <c r="R299" s="388" t="s">
        <v>1243</v>
      </c>
      <c r="S299" s="397" t="s">
        <v>1244</v>
      </c>
      <c r="T299" s="388" t="s">
        <v>157</v>
      </c>
      <c r="U299" s="388">
        <v>75</v>
      </c>
      <c r="V299" s="388">
        <v>173</v>
      </c>
      <c r="W299" s="388">
        <f t="shared" si="27"/>
        <v>248</v>
      </c>
      <c r="X299" s="388">
        <v>158</v>
      </c>
      <c r="Y299" s="389">
        <v>2020003630145</v>
      </c>
      <c r="Z299" s="412" t="s">
        <v>1236</v>
      </c>
      <c r="AA299" s="546" t="s">
        <v>1237</v>
      </c>
      <c r="AB299" s="192">
        <f>350000000-38000000</f>
        <v>312000000</v>
      </c>
      <c r="AC299" s="192">
        <v>270028135</v>
      </c>
      <c r="AD299" s="192">
        <v>270028135</v>
      </c>
      <c r="AE299" s="185"/>
      <c r="AF299" s="185"/>
      <c r="AG299" s="185"/>
      <c r="AH299" s="185"/>
      <c r="AI299" s="185"/>
      <c r="AJ299" s="185"/>
      <c r="AK299" s="185"/>
      <c r="AL299" s="185"/>
      <c r="AM299" s="185"/>
      <c r="AN299" s="185"/>
      <c r="AO299" s="185"/>
      <c r="AP299" s="185"/>
      <c r="AQ299" s="185"/>
      <c r="AR299" s="185"/>
      <c r="AS299" s="185"/>
      <c r="AT299" s="194"/>
      <c r="AU299" s="194"/>
      <c r="AV299" s="194"/>
      <c r="AW299" s="185">
        <v>25000000</v>
      </c>
      <c r="AX299" s="185">
        <v>25000000</v>
      </c>
      <c r="AY299" s="185">
        <v>25000000</v>
      </c>
      <c r="AZ299" s="185"/>
      <c r="BA299" s="185"/>
      <c r="BB299" s="185"/>
      <c r="BC299" s="284"/>
      <c r="BD299" s="284"/>
      <c r="BE299" s="284"/>
      <c r="BF299" s="192">
        <f t="shared" si="24"/>
        <v>337000000</v>
      </c>
      <c r="BG299" s="192">
        <f t="shared" si="25"/>
        <v>295028135</v>
      </c>
      <c r="BH299" s="192">
        <f t="shared" si="26"/>
        <v>295028135</v>
      </c>
      <c r="BI299" s="398" t="s">
        <v>3</v>
      </c>
    </row>
    <row r="300" spans="1:61" s="394" customFormat="1" ht="66.75" customHeight="1">
      <c r="A300" s="423">
        <v>320</v>
      </c>
      <c r="B300" s="392" t="s">
        <v>1224</v>
      </c>
      <c r="C300" s="423">
        <v>3</v>
      </c>
      <c r="D300" s="392" t="s">
        <v>212</v>
      </c>
      <c r="E300" s="423">
        <v>40</v>
      </c>
      <c r="F300" s="392" t="s">
        <v>241</v>
      </c>
      <c r="G300" s="423">
        <v>4001</v>
      </c>
      <c r="H300" s="392" t="s">
        <v>242</v>
      </c>
      <c r="I300" s="423">
        <v>4001</v>
      </c>
      <c r="J300" s="392" t="s">
        <v>243</v>
      </c>
      <c r="K300" s="392" t="s">
        <v>244</v>
      </c>
      <c r="L300" s="435">
        <v>4001030</v>
      </c>
      <c r="M300" s="397" t="s">
        <v>1245</v>
      </c>
      <c r="N300" s="447">
        <v>4001030</v>
      </c>
      <c r="O300" s="392" t="s">
        <v>1245</v>
      </c>
      <c r="P300" s="388" t="s">
        <v>1246</v>
      </c>
      <c r="Q300" s="397" t="s">
        <v>268</v>
      </c>
      <c r="R300" s="388" t="s">
        <v>1246</v>
      </c>
      <c r="S300" s="397" t="s">
        <v>268</v>
      </c>
      <c r="T300" s="401" t="s">
        <v>157</v>
      </c>
      <c r="U300" s="388">
        <v>3</v>
      </c>
      <c r="V300" s="388">
        <v>6</v>
      </c>
      <c r="W300" s="388">
        <f t="shared" si="27"/>
        <v>9</v>
      </c>
      <c r="X300" s="388">
        <v>0</v>
      </c>
      <c r="Y300" s="389">
        <v>2020003630145</v>
      </c>
      <c r="Z300" s="412" t="s">
        <v>1236</v>
      </c>
      <c r="AA300" s="546" t="s">
        <v>1237</v>
      </c>
      <c r="AB300" s="192"/>
      <c r="AC300" s="192"/>
      <c r="AD300" s="192"/>
      <c r="AE300" s="185"/>
      <c r="AF300" s="185"/>
      <c r="AG300" s="185"/>
      <c r="AH300" s="185"/>
      <c r="AI300" s="185"/>
      <c r="AJ300" s="185"/>
      <c r="AK300" s="185"/>
      <c r="AL300" s="185"/>
      <c r="AM300" s="185"/>
      <c r="AN300" s="185"/>
      <c r="AO300" s="185"/>
      <c r="AP300" s="185"/>
      <c r="AQ300" s="185"/>
      <c r="AR300" s="185"/>
      <c r="AS300" s="185"/>
      <c r="AT300" s="190"/>
      <c r="AU300" s="190"/>
      <c r="AV300" s="190"/>
      <c r="AW300" s="185">
        <v>10000000</v>
      </c>
      <c r="AX300" s="185">
        <v>9633333</v>
      </c>
      <c r="AY300" s="185">
        <v>9633333</v>
      </c>
      <c r="AZ300" s="185"/>
      <c r="BA300" s="185"/>
      <c r="BB300" s="185"/>
      <c r="BC300" s="284"/>
      <c r="BD300" s="284"/>
      <c r="BE300" s="284"/>
      <c r="BF300" s="192">
        <f t="shared" si="24"/>
        <v>10000000</v>
      </c>
      <c r="BG300" s="192">
        <f t="shared" si="25"/>
        <v>9633333</v>
      </c>
      <c r="BH300" s="192">
        <f t="shared" si="26"/>
        <v>9633333</v>
      </c>
      <c r="BI300" s="398" t="s">
        <v>3</v>
      </c>
    </row>
    <row r="301" spans="1:61" s="394" customFormat="1" ht="66.75" customHeight="1">
      <c r="A301" s="423">
        <v>320</v>
      </c>
      <c r="B301" s="392" t="s">
        <v>1224</v>
      </c>
      <c r="C301" s="423">
        <v>3</v>
      </c>
      <c r="D301" s="392" t="s">
        <v>212</v>
      </c>
      <c r="E301" s="423">
        <v>40</v>
      </c>
      <c r="F301" s="392" t="s">
        <v>241</v>
      </c>
      <c r="G301" s="423">
        <v>4001</v>
      </c>
      <c r="H301" s="392" t="s">
        <v>242</v>
      </c>
      <c r="I301" s="423">
        <v>4001</v>
      </c>
      <c r="J301" s="392" t="s">
        <v>243</v>
      </c>
      <c r="K301" s="392" t="s">
        <v>244</v>
      </c>
      <c r="L301" s="435">
        <v>4001031</v>
      </c>
      <c r="M301" s="397" t="s">
        <v>1247</v>
      </c>
      <c r="N301" s="447">
        <v>4001031</v>
      </c>
      <c r="O301" s="392" t="s">
        <v>1247</v>
      </c>
      <c r="P301" s="388">
        <v>400103103</v>
      </c>
      <c r="Q301" s="397" t="s">
        <v>1248</v>
      </c>
      <c r="R301" s="388">
        <v>400103103</v>
      </c>
      <c r="S301" s="397" t="s">
        <v>1248</v>
      </c>
      <c r="T301" s="401" t="s">
        <v>157</v>
      </c>
      <c r="U301" s="388">
        <v>8</v>
      </c>
      <c r="V301" s="388">
        <v>16</v>
      </c>
      <c r="W301" s="388">
        <f t="shared" si="27"/>
        <v>24</v>
      </c>
      <c r="X301" s="388">
        <v>27</v>
      </c>
      <c r="Y301" s="389">
        <v>2020003630145</v>
      </c>
      <c r="Z301" s="412" t="s">
        <v>1236</v>
      </c>
      <c r="AA301" s="546" t="s">
        <v>1237</v>
      </c>
      <c r="AB301" s="192"/>
      <c r="AC301" s="192"/>
      <c r="AD301" s="192"/>
      <c r="AE301" s="185"/>
      <c r="AF301" s="185"/>
      <c r="AG301" s="185"/>
      <c r="AH301" s="185"/>
      <c r="AI301" s="185"/>
      <c r="AJ301" s="185"/>
      <c r="AK301" s="185"/>
      <c r="AL301" s="185"/>
      <c r="AM301" s="185"/>
      <c r="AN301" s="185"/>
      <c r="AO301" s="185"/>
      <c r="AP301" s="185"/>
      <c r="AQ301" s="185"/>
      <c r="AR301" s="185"/>
      <c r="AS301" s="185"/>
      <c r="AT301" s="190"/>
      <c r="AU301" s="190"/>
      <c r="AV301" s="190"/>
      <c r="AW301" s="185">
        <v>186000587</v>
      </c>
      <c r="AX301" s="185">
        <v>186000587</v>
      </c>
      <c r="AY301" s="185">
        <v>186000587</v>
      </c>
      <c r="AZ301" s="185"/>
      <c r="BA301" s="185"/>
      <c r="BB301" s="185"/>
      <c r="BC301" s="284"/>
      <c r="BD301" s="284"/>
      <c r="BE301" s="284"/>
      <c r="BF301" s="192">
        <f t="shared" si="24"/>
        <v>186000587</v>
      </c>
      <c r="BG301" s="192">
        <f t="shared" si="25"/>
        <v>186000587</v>
      </c>
      <c r="BH301" s="192">
        <f t="shared" si="26"/>
        <v>186000587</v>
      </c>
      <c r="BI301" s="398" t="s">
        <v>3</v>
      </c>
    </row>
    <row r="302" spans="1:61" s="394" customFormat="1" ht="66.75" customHeight="1">
      <c r="A302" s="423">
        <v>320</v>
      </c>
      <c r="B302" s="392" t="s">
        <v>1224</v>
      </c>
      <c r="C302" s="423">
        <v>3</v>
      </c>
      <c r="D302" s="392" t="s">
        <v>212</v>
      </c>
      <c r="E302" s="423">
        <v>40</v>
      </c>
      <c r="F302" s="392" t="s">
        <v>241</v>
      </c>
      <c r="G302" s="423">
        <v>4001</v>
      </c>
      <c r="H302" s="392" t="s">
        <v>242</v>
      </c>
      <c r="I302" s="423">
        <v>4001</v>
      </c>
      <c r="J302" s="392" t="s">
        <v>243</v>
      </c>
      <c r="K302" s="392" t="s">
        <v>1238</v>
      </c>
      <c r="L302" s="435" t="s">
        <v>1249</v>
      </c>
      <c r="M302" s="397" t="s">
        <v>1250</v>
      </c>
      <c r="N302" s="447" t="s">
        <v>1249</v>
      </c>
      <c r="O302" s="392" t="s">
        <v>1250</v>
      </c>
      <c r="P302" s="388" t="s">
        <v>1251</v>
      </c>
      <c r="Q302" s="397" t="s">
        <v>1250</v>
      </c>
      <c r="R302" s="388" t="s">
        <v>1251</v>
      </c>
      <c r="S302" s="397" t="s">
        <v>1250</v>
      </c>
      <c r="T302" s="401" t="s">
        <v>157</v>
      </c>
      <c r="U302" s="388">
        <v>30</v>
      </c>
      <c r="V302" s="388">
        <v>70</v>
      </c>
      <c r="W302" s="388">
        <f t="shared" si="27"/>
        <v>100</v>
      </c>
      <c r="X302" s="388">
        <v>0</v>
      </c>
      <c r="Y302" s="389">
        <v>2020003630145</v>
      </c>
      <c r="Z302" s="412" t="s">
        <v>1236</v>
      </c>
      <c r="AA302" s="546" t="s">
        <v>1237</v>
      </c>
      <c r="AB302" s="192"/>
      <c r="AC302" s="192"/>
      <c r="AD302" s="192"/>
      <c r="AE302" s="185"/>
      <c r="AF302" s="185"/>
      <c r="AG302" s="185"/>
      <c r="AH302" s="185"/>
      <c r="AI302" s="185"/>
      <c r="AJ302" s="185"/>
      <c r="AK302" s="185"/>
      <c r="AL302" s="185"/>
      <c r="AM302" s="185"/>
      <c r="AN302" s="185"/>
      <c r="AO302" s="185"/>
      <c r="AP302" s="185"/>
      <c r="AQ302" s="185"/>
      <c r="AR302" s="185"/>
      <c r="AS302" s="185"/>
      <c r="AT302" s="190"/>
      <c r="AU302" s="190"/>
      <c r="AV302" s="190"/>
      <c r="AW302" s="185">
        <f>35000000-25000000</f>
        <v>10000000</v>
      </c>
      <c r="AX302" s="185">
        <v>10000000</v>
      </c>
      <c r="AY302" s="185">
        <v>10000000</v>
      </c>
      <c r="AZ302" s="185"/>
      <c r="BA302" s="185"/>
      <c r="BB302" s="185"/>
      <c r="BC302" s="284"/>
      <c r="BD302" s="284"/>
      <c r="BE302" s="284"/>
      <c r="BF302" s="192">
        <f t="shared" si="24"/>
        <v>10000000</v>
      </c>
      <c r="BG302" s="192">
        <f t="shared" si="25"/>
        <v>10000000</v>
      </c>
      <c r="BH302" s="192">
        <f t="shared" si="26"/>
        <v>10000000</v>
      </c>
      <c r="BI302" s="398" t="s">
        <v>3</v>
      </c>
    </row>
    <row r="303" spans="1:61" s="394" customFormat="1" ht="66.75" customHeight="1">
      <c r="A303" s="423">
        <v>320</v>
      </c>
      <c r="B303" s="392" t="s">
        <v>1224</v>
      </c>
      <c r="C303" s="423">
        <v>3</v>
      </c>
      <c r="D303" s="392" t="s">
        <v>212</v>
      </c>
      <c r="E303" s="423">
        <v>40</v>
      </c>
      <c r="F303" s="392" t="s">
        <v>241</v>
      </c>
      <c r="G303" s="423">
        <v>4001</v>
      </c>
      <c r="H303" s="392" t="s">
        <v>242</v>
      </c>
      <c r="I303" s="423">
        <v>4001</v>
      </c>
      <c r="J303" s="392" t="s">
        <v>243</v>
      </c>
      <c r="K303" s="392" t="s">
        <v>244</v>
      </c>
      <c r="L303" s="435" t="s">
        <v>1252</v>
      </c>
      <c r="M303" s="397" t="s">
        <v>247</v>
      </c>
      <c r="N303" s="447" t="s">
        <v>1252</v>
      </c>
      <c r="O303" s="392" t="s">
        <v>247</v>
      </c>
      <c r="P303" s="388">
        <v>400101500</v>
      </c>
      <c r="Q303" s="397" t="s">
        <v>247</v>
      </c>
      <c r="R303" s="388">
        <v>400101500</v>
      </c>
      <c r="S303" s="397" t="s">
        <v>247</v>
      </c>
      <c r="T303" s="401" t="s">
        <v>157</v>
      </c>
      <c r="U303" s="423">
        <v>120</v>
      </c>
      <c r="V303" s="423">
        <v>166</v>
      </c>
      <c r="W303" s="388">
        <f t="shared" si="27"/>
        <v>286</v>
      </c>
      <c r="X303" s="388">
        <v>197</v>
      </c>
      <c r="Y303" s="389">
        <v>2020003630145</v>
      </c>
      <c r="Z303" s="412" t="s">
        <v>1236</v>
      </c>
      <c r="AA303" s="546" t="s">
        <v>1237</v>
      </c>
      <c r="AB303" s="192">
        <v>206500000</v>
      </c>
      <c r="AC303" s="192">
        <v>186500000</v>
      </c>
      <c r="AD303" s="192">
        <v>186500000</v>
      </c>
      <c r="AE303" s="185"/>
      <c r="AF303" s="185"/>
      <c r="AG303" s="185"/>
      <c r="AH303" s="185"/>
      <c r="AI303" s="185"/>
      <c r="AJ303" s="185"/>
      <c r="AK303" s="185"/>
      <c r="AL303" s="185"/>
      <c r="AM303" s="185"/>
      <c r="AN303" s="185"/>
      <c r="AO303" s="185"/>
      <c r="AP303" s="185"/>
      <c r="AQ303" s="185"/>
      <c r="AR303" s="185"/>
      <c r="AS303" s="185"/>
      <c r="AT303" s="190"/>
      <c r="AU303" s="190"/>
      <c r="AV303" s="190"/>
      <c r="AW303" s="185">
        <f>260000000-260000000</f>
        <v>0</v>
      </c>
      <c r="AX303" s="185"/>
      <c r="AY303" s="185"/>
      <c r="AZ303" s="185"/>
      <c r="BA303" s="185"/>
      <c r="BB303" s="185"/>
      <c r="BC303" s="284"/>
      <c r="BD303" s="284"/>
      <c r="BE303" s="284"/>
      <c r="BF303" s="192">
        <f t="shared" si="24"/>
        <v>206500000</v>
      </c>
      <c r="BG303" s="192">
        <f t="shared" si="25"/>
        <v>186500000</v>
      </c>
      <c r="BH303" s="192">
        <f t="shared" si="26"/>
        <v>186500000</v>
      </c>
      <c r="BI303" s="398" t="s">
        <v>3</v>
      </c>
    </row>
    <row r="304" spans="1:61" s="394" customFormat="1" ht="66.75" customHeight="1">
      <c r="A304" s="423">
        <v>320</v>
      </c>
      <c r="B304" s="392" t="s">
        <v>147</v>
      </c>
      <c r="C304" s="423">
        <v>3</v>
      </c>
      <c r="D304" s="392" t="s">
        <v>212</v>
      </c>
      <c r="E304" s="423">
        <v>40</v>
      </c>
      <c r="F304" s="392" t="s">
        <v>241</v>
      </c>
      <c r="G304" s="423">
        <v>4003</v>
      </c>
      <c r="H304" s="392" t="s">
        <v>250</v>
      </c>
      <c r="I304" s="423">
        <v>4003</v>
      </c>
      <c r="J304" s="392" t="s">
        <v>251</v>
      </c>
      <c r="K304" s="188" t="s">
        <v>252</v>
      </c>
      <c r="L304" s="191">
        <v>4003025</v>
      </c>
      <c r="M304" s="397" t="s">
        <v>263</v>
      </c>
      <c r="N304" s="191">
        <v>4003025</v>
      </c>
      <c r="O304" s="188" t="s">
        <v>263</v>
      </c>
      <c r="P304" s="186">
        <v>400302500</v>
      </c>
      <c r="Q304" s="288" t="s">
        <v>264</v>
      </c>
      <c r="R304" s="186">
        <v>400302500</v>
      </c>
      <c r="S304" s="288" t="s">
        <v>264</v>
      </c>
      <c r="T304" s="401" t="s">
        <v>157</v>
      </c>
      <c r="U304" s="186">
        <v>1</v>
      </c>
      <c r="V304" s="188"/>
      <c r="W304" s="388">
        <f>U304+V304</f>
        <v>1</v>
      </c>
      <c r="X304" s="388">
        <v>3</v>
      </c>
      <c r="Y304" s="389">
        <v>2023003630001</v>
      </c>
      <c r="Z304" s="397" t="s">
        <v>1506</v>
      </c>
      <c r="AA304" s="546" t="s">
        <v>1523</v>
      </c>
      <c r="AB304" s="192">
        <v>130000000</v>
      </c>
      <c r="AC304" s="185">
        <v>130000000</v>
      </c>
      <c r="AD304" s="185">
        <v>130000000</v>
      </c>
      <c r="AE304" s="185"/>
      <c r="AF304" s="185"/>
      <c r="AG304" s="185"/>
      <c r="AH304" s="185"/>
      <c r="AI304" s="185"/>
      <c r="AJ304" s="185"/>
      <c r="AK304" s="185"/>
      <c r="AL304" s="185"/>
      <c r="AM304" s="185"/>
      <c r="AN304" s="185"/>
      <c r="AO304" s="185"/>
      <c r="AP304" s="185"/>
      <c r="AQ304" s="185"/>
      <c r="AR304" s="185"/>
      <c r="AS304" s="185"/>
      <c r="AT304" s="189"/>
      <c r="AU304" s="189"/>
      <c r="AV304" s="189"/>
      <c r="AW304" s="190">
        <v>20000000</v>
      </c>
      <c r="AX304" s="190">
        <v>16000000</v>
      </c>
      <c r="AY304" s="190">
        <v>16000000</v>
      </c>
      <c r="AZ304" s="190"/>
      <c r="BA304" s="190"/>
      <c r="BB304" s="190"/>
      <c r="BC304" s="185"/>
      <c r="BD304" s="185"/>
      <c r="BE304" s="185"/>
      <c r="BF304" s="192">
        <f t="shared" si="24"/>
        <v>150000000</v>
      </c>
      <c r="BG304" s="192">
        <f t="shared" si="25"/>
        <v>146000000</v>
      </c>
      <c r="BH304" s="192">
        <f t="shared" si="26"/>
        <v>146000000</v>
      </c>
      <c r="BI304" s="398" t="s">
        <v>3</v>
      </c>
    </row>
    <row r="305" spans="1:61" s="394" customFormat="1" ht="66.75" customHeight="1">
      <c r="A305" s="423">
        <v>320</v>
      </c>
      <c r="B305" s="392" t="s">
        <v>1224</v>
      </c>
      <c r="C305" s="423">
        <v>4</v>
      </c>
      <c r="D305" s="392" t="s">
        <v>59</v>
      </c>
      <c r="E305" s="423">
        <v>45</v>
      </c>
      <c r="F305" s="390" t="s">
        <v>60</v>
      </c>
      <c r="G305" s="423" t="s">
        <v>61</v>
      </c>
      <c r="H305" s="392" t="s">
        <v>1253</v>
      </c>
      <c r="I305" s="423">
        <v>4599</v>
      </c>
      <c r="J305" s="392" t="s">
        <v>63</v>
      </c>
      <c r="K305" s="392" t="s">
        <v>64</v>
      </c>
      <c r="L305" s="435" t="s">
        <v>61</v>
      </c>
      <c r="M305" s="397" t="s">
        <v>273</v>
      </c>
      <c r="N305" s="191" t="s">
        <v>274</v>
      </c>
      <c r="O305" s="392" t="s">
        <v>167</v>
      </c>
      <c r="P305" s="388" t="s">
        <v>61</v>
      </c>
      <c r="Q305" s="392" t="s">
        <v>1254</v>
      </c>
      <c r="R305" s="191">
        <v>459901600</v>
      </c>
      <c r="S305" s="393" t="s">
        <v>167</v>
      </c>
      <c r="T305" s="401" t="s">
        <v>157</v>
      </c>
      <c r="U305" s="423">
        <v>4</v>
      </c>
      <c r="V305" s="423"/>
      <c r="W305" s="388">
        <v>4</v>
      </c>
      <c r="X305" s="388">
        <v>32</v>
      </c>
      <c r="Y305" s="389">
        <v>2022003630006</v>
      </c>
      <c r="Z305" s="412" t="s">
        <v>1255</v>
      </c>
      <c r="AA305" s="560" t="s">
        <v>277</v>
      </c>
      <c r="AB305" s="192"/>
      <c r="AC305" s="192"/>
      <c r="AD305" s="192"/>
      <c r="AE305" s="192"/>
      <c r="AF305" s="192"/>
      <c r="AG305" s="192"/>
      <c r="AH305" s="192"/>
      <c r="AI305" s="192"/>
      <c r="AJ305" s="192"/>
      <c r="AK305" s="192"/>
      <c r="AL305" s="192"/>
      <c r="AM305" s="192"/>
      <c r="AN305" s="192"/>
      <c r="AO305" s="192"/>
      <c r="AP305" s="192"/>
      <c r="AQ305" s="192"/>
      <c r="AR305" s="192"/>
      <c r="AS305" s="194"/>
      <c r="AT305" s="194"/>
      <c r="AU305" s="194"/>
      <c r="AV305" s="185"/>
      <c r="AW305" s="185">
        <f>386000000+158000000</f>
        <v>544000000</v>
      </c>
      <c r="AX305" s="449">
        <v>540781710</v>
      </c>
      <c r="AY305" s="449">
        <v>540781710</v>
      </c>
      <c r="AZ305" s="185"/>
      <c r="BA305" s="185"/>
      <c r="BB305" s="192"/>
      <c r="BC305" s="192"/>
      <c r="BD305" s="192"/>
      <c r="BE305" s="192"/>
      <c r="BF305" s="192">
        <f t="shared" si="24"/>
        <v>544000000</v>
      </c>
      <c r="BG305" s="192">
        <f t="shared" si="25"/>
        <v>540781710</v>
      </c>
      <c r="BH305" s="192">
        <f t="shared" si="26"/>
        <v>540781710</v>
      </c>
      <c r="BI305" s="398" t="s">
        <v>3</v>
      </c>
    </row>
    <row r="306" spans="1:61" s="394" customFormat="1" ht="66.75" customHeight="1">
      <c r="A306" s="423">
        <v>321</v>
      </c>
      <c r="B306" s="392" t="s">
        <v>1256</v>
      </c>
      <c r="C306" s="423">
        <v>3</v>
      </c>
      <c r="D306" s="392" t="s">
        <v>212</v>
      </c>
      <c r="E306" s="423">
        <v>24</v>
      </c>
      <c r="F306" s="392" t="s">
        <v>213</v>
      </c>
      <c r="G306" s="423">
        <v>2409</v>
      </c>
      <c r="H306" s="393" t="s">
        <v>1257</v>
      </c>
      <c r="I306" s="423">
        <v>2409</v>
      </c>
      <c r="J306" s="393" t="s">
        <v>1258</v>
      </c>
      <c r="K306" s="397" t="s">
        <v>1259</v>
      </c>
      <c r="L306" s="388" t="s">
        <v>61</v>
      </c>
      <c r="M306" s="397" t="s">
        <v>1260</v>
      </c>
      <c r="N306" s="423">
        <v>2409009</v>
      </c>
      <c r="O306" s="392" t="s">
        <v>1261</v>
      </c>
      <c r="P306" s="388" t="s">
        <v>61</v>
      </c>
      <c r="Q306" s="397" t="s">
        <v>1262</v>
      </c>
      <c r="R306" s="423">
        <v>240900900</v>
      </c>
      <c r="S306" s="397" t="s">
        <v>1263</v>
      </c>
      <c r="T306" s="388" t="s">
        <v>69</v>
      </c>
      <c r="U306" s="388">
        <v>1</v>
      </c>
      <c r="V306" s="388"/>
      <c r="W306" s="388">
        <f>U306+V306</f>
        <v>1</v>
      </c>
      <c r="X306" s="388">
        <v>1</v>
      </c>
      <c r="Y306" s="389">
        <v>2020003630149</v>
      </c>
      <c r="Z306" s="412" t="s">
        <v>1264</v>
      </c>
      <c r="AA306" s="546" t="s">
        <v>1265</v>
      </c>
      <c r="AB306" s="185"/>
      <c r="AC306" s="185"/>
      <c r="AD306" s="185"/>
      <c r="AE306" s="185"/>
      <c r="AF306" s="185"/>
      <c r="AG306" s="185"/>
      <c r="AH306" s="185"/>
      <c r="AI306" s="185"/>
      <c r="AJ306" s="185"/>
      <c r="AK306" s="185"/>
      <c r="AL306" s="185"/>
      <c r="AM306" s="185"/>
      <c r="AN306" s="185"/>
      <c r="AO306" s="185"/>
      <c r="AP306" s="185"/>
      <c r="AQ306" s="185"/>
      <c r="AR306" s="185"/>
      <c r="AS306" s="185"/>
      <c r="AT306" s="194"/>
      <c r="AU306" s="194"/>
      <c r="AV306" s="194"/>
      <c r="AW306" s="192">
        <f>26791548-19791548</f>
        <v>7000000</v>
      </c>
      <c r="AX306" s="192">
        <v>7000000</v>
      </c>
      <c r="AY306" s="192">
        <v>7000000</v>
      </c>
      <c r="AZ306" s="192"/>
      <c r="BA306" s="192"/>
      <c r="BB306" s="192"/>
      <c r="BC306" s="185"/>
      <c r="BD306" s="185"/>
      <c r="BE306" s="185"/>
      <c r="BF306" s="192">
        <f t="shared" si="24"/>
        <v>7000000</v>
      </c>
      <c r="BG306" s="192">
        <f t="shared" si="25"/>
        <v>7000000</v>
      </c>
      <c r="BH306" s="192">
        <f t="shared" si="26"/>
        <v>7000000</v>
      </c>
      <c r="BI306" s="398" t="s">
        <v>1</v>
      </c>
    </row>
    <row r="307" spans="1:61" s="394" customFormat="1" ht="66.75" customHeight="1">
      <c r="A307" s="423">
        <v>321</v>
      </c>
      <c r="B307" s="392" t="s">
        <v>1256</v>
      </c>
      <c r="C307" s="423">
        <v>3</v>
      </c>
      <c r="D307" s="392" t="s">
        <v>212</v>
      </c>
      <c r="E307" s="423">
        <v>24</v>
      </c>
      <c r="F307" s="392" t="s">
        <v>213</v>
      </c>
      <c r="G307" s="423">
        <v>2409</v>
      </c>
      <c r="H307" s="393" t="s">
        <v>1257</v>
      </c>
      <c r="I307" s="423">
        <v>2409</v>
      </c>
      <c r="J307" s="393" t="s">
        <v>1258</v>
      </c>
      <c r="K307" s="397" t="s">
        <v>1259</v>
      </c>
      <c r="L307" s="388" t="s">
        <v>61</v>
      </c>
      <c r="M307" s="397" t="s">
        <v>1266</v>
      </c>
      <c r="N307" s="423">
        <v>2409022</v>
      </c>
      <c r="O307" s="392" t="s">
        <v>1267</v>
      </c>
      <c r="P307" s="388" t="s">
        <v>61</v>
      </c>
      <c r="Q307" s="397" t="s">
        <v>1268</v>
      </c>
      <c r="R307" s="423">
        <v>240902202</v>
      </c>
      <c r="S307" s="397" t="s">
        <v>1269</v>
      </c>
      <c r="T307" s="388" t="s">
        <v>69</v>
      </c>
      <c r="U307" s="388">
        <v>1</v>
      </c>
      <c r="V307" s="388"/>
      <c r="W307" s="388">
        <f>U307+V307</f>
        <v>1</v>
      </c>
      <c r="X307" s="388">
        <v>1</v>
      </c>
      <c r="Y307" s="389">
        <v>2020003630149</v>
      </c>
      <c r="Z307" s="412" t="s">
        <v>1264</v>
      </c>
      <c r="AA307" s="546" t="s">
        <v>1265</v>
      </c>
      <c r="AB307" s="185"/>
      <c r="AC307" s="185"/>
      <c r="AD307" s="185"/>
      <c r="AE307" s="185"/>
      <c r="AF307" s="185"/>
      <c r="AG307" s="185"/>
      <c r="AH307" s="185"/>
      <c r="AI307" s="185"/>
      <c r="AJ307" s="185"/>
      <c r="AK307" s="185"/>
      <c r="AL307" s="185"/>
      <c r="AM307" s="185"/>
      <c r="AN307" s="185"/>
      <c r="AO307" s="185"/>
      <c r="AP307" s="185"/>
      <c r="AQ307" s="185"/>
      <c r="AR307" s="185"/>
      <c r="AS307" s="185"/>
      <c r="AT307" s="194"/>
      <c r="AU307" s="194"/>
      <c r="AV307" s="194"/>
      <c r="AW307" s="192">
        <f>15750567+10499433+7875000</f>
        <v>34125000</v>
      </c>
      <c r="AX307" s="192">
        <v>34125000</v>
      </c>
      <c r="AY307" s="192">
        <v>34125000</v>
      </c>
      <c r="AZ307" s="192"/>
      <c r="BA307" s="192"/>
      <c r="BB307" s="192"/>
      <c r="BC307" s="185"/>
      <c r="BD307" s="185"/>
      <c r="BE307" s="185"/>
      <c r="BF307" s="192">
        <f t="shared" si="24"/>
        <v>34125000</v>
      </c>
      <c r="BG307" s="192">
        <f t="shared" si="25"/>
        <v>34125000</v>
      </c>
      <c r="BH307" s="192">
        <f t="shared" si="26"/>
        <v>34125000</v>
      </c>
      <c r="BI307" s="398" t="s">
        <v>1</v>
      </c>
    </row>
    <row r="308" spans="1:61" s="394" customFormat="1" ht="66.75" customHeight="1">
      <c r="A308" s="423">
        <v>321</v>
      </c>
      <c r="B308" s="392" t="s">
        <v>1256</v>
      </c>
      <c r="C308" s="423">
        <v>3</v>
      </c>
      <c r="D308" s="392" t="s">
        <v>212</v>
      </c>
      <c r="E308" s="423">
        <v>24</v>
      </c>
      <c r="F308" s="392" t="s">
        <v>213</v>
      </c>
      <c r="G308" s="423">
        <v>2409</v>
      </c>
      <c r="H308" s="393" t="s">
        <v>1257</v>
      </c>
      <c r="I308" s="423">
        <v>2409</v>
      </c>
      <c r="J308" s="393" t="s">
        <v>1258</v>
      </c>
      <c r="K308" s="397" t="s">
        <v>1259</v>
      </c>
      <c r="L308" s="388" t="s">
        <v>61</v>
      </c>
      <c r="M308" s="397" t="s">
        <v>1270</v>
      </c>
      <c r="N308" s="423">
        <v>2409014</v>
      </c>
      <c r="O308" s="392" t="s">
        <v>254</v>
      </c>
      <c r="P308" s="388" t="s">
        <v>61</v>
      </c>
      <c r="Q308" s="397" t="s">
        <v>1271</v>
      </c>
      <c r="R308" s="423">
        <v>240901400</v>
      </c>
      <c r="S308" s="397" t="s">
        <v>1272</v>
      </c>
      <c r="T308" s="388" t="s">
        <v>69</v>
      </c>
      <c r="U308" s="388">
        <v>1</v>
      </c>
      <c r="V308" s="388"/>
      <c r="W308" s="388">
        <f>U308+V308</f>
        <v>1</v>
      </c>
      <c r="X308" s="388">
        <v>1</v>
      </c>
      <c r="Y308" s="389">
        <v>2020003630149</v>
      </c>
      <c r="Z308" s="412" t="s">
        <v>1264</v>
      </c>
      <c r="AA308" s="546" t="s">
        <v>1265</v>
      </c>
      <c r="AB308" s="185"/>
      <c r="AC308" s="185"/>
      <c r="AD308" s="185"/>
      <c r="AE308" s="185"/>
      <c r="AF308" s="185"/>
      <c r="AG308" s="185"/>
      <c r="AH308" s="185"/>
      <c r="AI308" s="185"/>
      <c r="AJ308" s="185"/>
      <c r="AK308" s="185"/>
      <c r="AL308" s="185"/>
      <c r="AM308" s="185"/>
      <c r="AN308" s="185"/>
      <c r="AO308" s="185"/>
      <c r="AP308" s="185"/>
      <c r="AQ308" s="185"/>
      <c r="AR308" s="185"/>
      <c r="AS308" s="185"/>
      <c r="AT308" s="194"/>
      <c r="AU308" s="194"/>
      <c r="AV308" s="194"/>
      <c r="AW308" s="192">
        <f>26250000-10499433+5249433+26250000</f>
        <v>47250000</v>
      </c>
      <c r="AX308" s="192">
        <v>47250000</v>
      </c>
      <c r="AY308" s="192">
        <v>47250000</v>
      </c>
      <c r="AZ308" s="192"/>
      <c r="BA308" s="192"/>
      <c r="BB308" s="192"/>
      <c r="BC308" s="185"/>
      <c r="BD308" s="185"/>
      <c r="BE308" s="185"/>
      <c r="BF308" s="192">
        <f t="shared" si="24"/>
        <v>47250000</v>
      </c>
      <c r="BG308" s="192">
        <f t="shared" si="25"/>
        <v>47250000</v>
      </c>
      <c r="BH308" s="192">
        <f t="shared" si="26"/>
        <v>47250000</v>
      </c>
      <c r="BI308" s="398" t="s">
        <v>1</v>
      </c>
    </row>
    <row r="309" spans="1:61" s="394" customFormat="1" ht="66.75" customHeight="1">
      <c r="A309" s="429">
        <v>321</v>
      </c>
      <c r="B309" s="407" t="s">
        <v>1256</v>
      </c>
      <c r="C309" s="429">
        <v>3</v>
      </c>
      <c r="D309" s="407" t="s">
        <v>212</v>
      </c>
      <c r="E309" s="429">
        <v>24</v>
      </c>
      <c r="F309" s="407" t="s">
        <v>213</v>
      </c>
      <c r="G309" s="429">
        <v>2409</v>
      </c>
      <c r="H309" s="407" t="s">
        <v>1257</v>
      </c>
      <c r="I309" s="429">
        <v>2409</v>
      </c>
      <c r="J309" s="407" t="s">
        <v>1258</v>
      </c>
      <c r="K309" s="430" t="s">
        <v>1259</v>
      </c>
      <c r="L309" s="431" t="s">
        <v>61</v>
      </c>
      <c r="M309" s="397" t="s">
        <v>1273</v>
      </c>
      <c r="N309" s="429">
        <v>2409039</v>
      </c>
      <c r="O309" s="407" t="s">
        <v>1274</v>
      </c>
      <c r="P309" s="431" t="s">
        <v>61</v>
      </c>
      <c r="Q309" s="430" t="s">
        <v>1275</v>
      </c>
      <c r="R309" s="429">
        <v>240903905</v>
      </c>
      <c r="S309" s="430" t="s">
        <v>1276</v>
      </c>
      <c r="T309" s="431" t="s">
        <v>69</v>
      </c>
      <c r="U309" s="431">
        <v>1</v>
      </c>
      <c r="V309" s="431"/>
      <c r="W309" s="431">
        <f>U309+V309</f>
        <v>1</v>
      </c>
      <c r="X309" s="431">
        <v>1</v>
      </c>
      <c r="Y309" s="406">
        <v>2020003630149</v>
      </c>
      <c r="Z309" s="422" t="s">
        <v>1264</v>
      </c>
      <c r="AA309" s="551" t="s">
        <v>1265</v>
      </c>
      <c r="AB309" s="185"/>
      <c r="AC309" s="185"/>
      <c r="AD309" s="185"/>
      <c r="AE309" s="185"/>
      <c r="AF309" s="185"/>
      <c r="AG309" s="185"/>
      <c r="AH309" s="185"/>
      <c r="AI309" s="185"/>
      <c r="AJ309" s="185"/>
      <c r="AK309" s="185"/>
      <c r="AL309" s="185"/>
      <c r="AM309" s="185"/>
      <c r="AN309" s="185"/>
      <c r="AO309" s="185"/>
      <c r="AP309" s="185"/>
      <c r="AQ309" s="185"/>
      <c r="AR309" s="185"/>
      <c r="AS309" s="185"/>
      <c r="AT309" s="194"/>
      <c r="AU309" s="194"/>
      <c r="AV309" s="194"/>
      <c r="AW309" s="192">
        <f>50140535-13124433-6458452+50000000</f>
        <v>80557650</v>
      </c>
      <c r="AX309" s="192">
        <f>AW309</f>
        <v>80557650</v>
      </c>
      <c r="AY309" s="192">
        <v>80557650</v>
      </c>
      <c r="AZ309" s="192"/>
      <c r="BA309" s="192"/>
      <c r="BB309" s="192"/>
      <c r="BC309" s="185"/>
      <c r="BD309" s="185"/>
      <c r="BE309" s="185"/>
      <c r="BF309" s="192">
        <f t="shared" si="24"/>
        <v>80557650</v>
      </c>
      <c r="BG309" s="192">
        <f t="shared" si="25"/>
        <v>80557650</v>
      </c>
      <c r="BH309" s="192">
        <f t="shared" si="26"/>
        <v>80557650</v>
      </c>
      <c r="BI309" s="398" t="s">
        <v>1</v>
      </c>
    </row>
    <row r="310" spans="1:61" s="195" customFormat="1" ht="34.5" customHeight="1">
      <c r="A310" s="277" t="s">
        <v>1277</v>
      </c>
      <c r="B310" s="309"/>
      <c r="C310" s="310"/>
      <c r="D310" s="311"/>
      <c r="E310" s="312"/>
      <c r="F310" s="311"/>
      <c r="G310" s="312"/>
      <c r="H310" s="309"/>
      <c r="I310" s="309"/>
      <c r="J310" s="309"/>
      <c r="K310" s="311"/>
      <c r="L310" s="312"/>
      <c r="M310" s="337"/>
      <c r="N310" s="313"/>
      <c r="O310" s="311"/>
      <c r="P310" s="311"/>
      <c r="Q310" s="309"/>
      <c r="R310" s="312"/>
      <c r="S310" s="309"/>
      <c r="T310" s="314"/>
      <c r="U310" s="312"/>
      <c r="V310" s="312"/>
      <c r="W310" s="312"/>
      <c r="X310" s="312"/>
      <c r="Y310" s="312"/>
      <c r="Z310" s="309"/>
      <c r="AA310" s="309"/>
      <c r="AB310" s="563">
        <f t="shared" ref="AB310:BH310" si="28">SUBTOTAL(9,AB6:AB309)</f>
        <v>31574310009.34</v>
      </c>
      <c r="AC310" s="563">
        <f t="shared" si="28"/>
        <v>21641551927.580002</v>
      </c>
      <c r="AD310" s="563">
        <f t="shared" si="28"/>
        <v>18997813831.939999</v>
      </c>
      <c r="AE310" s="563">
        <f t="shared" si="28"/>
        <v>7822226288.3299999</v>
      </c>
      <c r="AF310" s="563">
        <f t="shared" si="28"/>
        <v>6727209811.8199997</v>
      </c>
      <c r="AG310" s="563">
        <f t="shared" si="28"/>
        <v>5224287887.9299994</v>
      </c>
      <c r="AH310" s="563">
        <f t="shared" si="28"/>
        <v>7968751666.3899994</v>
      </c>
      <c r="AI310" s="563">
        <f t="shared" si="28"/>
        <v>7327482719.0599995</v>
      </c>
      <c r="AJ310" s="563">
        <f t="shared" si="28"/>
        <v>7036082479</v>
      </c>
      <c r="AK310" s="563">
        <f t="shared" si="28"/>
        <v>48835247172.649994</v>
      </c>
      <c r="AL310" s="563">
        <f t="shared" si="28"/>
        <v>41172097100.900009</v>
      </c>
      <c r="AM310" s="563">
        <f t="shared" si="28"/>
        <v>41166497100.900009</v>
      </c>
      <c r="AN310" s="563">
        <f t="shared" si="28"/>
        <v>182758473683.48001</v>
      </c>
      <c r="AO310" s="563">
        <f t="shared" si="28"/>
        <v>144278083689.12</v>
      </c>
      <c r="AP310" s="563">
        <f t="shared" si="28"/>
        <v>143623348033.79001</v>
      </c>
      <c r="AQ310" s="563">
        <f t="shared" si="28"/>
        <v>3720411051.8400002</v>
      </c>
      <c r="AR310" s="563">
        <f t="shared" si="28"/>
        <v>3701358406</v>
      </c>
      <c r="AS310" s="563">
        <f t="shared" si="28"/>
        <v>3701358406</v>
      </c>
      <c r="AT310" s="563">
        <f t="shared" si="28"/>
        <v>60581676686</v>
      </c>
      <c r="AU310" s="563">
        <f t="shared" si="28"/>
        <v>50624943414.770004</v>
      </c>
      <c r="AV310" s="563">
        <f t="shared" si="28"/>
        <v>47325982904.860008</v>
      </c>
      <c r="AW310" s="563">
        <f t="shared" si="28"/>
        <v>15486329180.249998</v>
      </c>
      <c r="AX310" s="563">
        <f t="shared" si="28"/>
        <v>10704027951.1</v>
      </c>
      <c r="AY310" s="563">
        <f t="shared" si="28"/>
        <v>7820322596.5900002</v>
      </c>
      <c r="AZ310" s="563">
        <f t="shared" si="28"/>
        <v>34750000000</v>
      </c>
      <c r="BA310" s="563">
        <f t="shared" si="28"/>
        <v>22437812305.330002</v>
      </c>
      <c r="BB310" s="563">
        <f t="shared" si="28"/>
        <v>15099748263.48</v>
      </c>
      <c r="BC310" s="563">
        <f t="shared" si="28"/>
        <v>67997099911.870003</v>
      </c>
      <c r="BD310" s="563">
        <f t="shared" si="28"/>
        <v>53088083480.18</v>
      </c>
      <c r="BE310" s="563">
        <f t="shared" si="28"/>
        <v>18747575688.830002</v>
      </c>
      <c r="BF310" s="563">
        <f t="shared" si="28"/>
        <v>461494525650.1499</v>
      </c>
      <c r="BG310" s="563">
        <f t="shared" si="28"/>
        <v>361702650805.85999</v>
      </c>
      <c r="BH310" s="563">
        <f t="shared" si="28"/>
        <v>308455072348</v>
      </c>
      <c r="BI310" s="564"/>
    </row>
    <row r="316" spans="1:61">
      <c r="AT316" s="320">
        <f>2024-1998</f>
        <v>26</v>
      </c>
    </row>
  </sheetData>
  <sortState ref="A7:XET295">
    <sortCondition ref="A7:A295"/>
  </sortState>
  <mergeCells count="46">
    <mergeCell ref="AB5:BH5"/>
    <mergeCell ref="L6:L7"/>
    <mergeCell ref="N6:N7"/>
    <mergeCell ref="O6:O7"/>
    <mergeCell ref="C1:BE1"/>
    <mergeCell ref="A5:B5"/>
    <mergeCell ref="C5:D5"/>
    <mergeCell ref="E5:F5"/>
    <mergeCell ref="Y5:AA5"/>
    <mergeCell ref="P5:S5"/>
    <mergeCell ref="G5:K5"/>
    <mergeCell ref="L5:O5"/>
    <mergeCell ref="T5:W5"/>
    <mergeCell ref="C4:BE4"/>
    <mergeCell ref="C2:BE2"/>
    <mergeCell ref="C3:BE3"/>
    <mergeCell ref="Y6:Y7"/>
    <mergeCell ref="Z6:Z7"/>
    <mergeCell ref="BI6:BI7"/>
    <mergeCell ref="BF6:BH6"/>
    <mergeCell ref="AN6:AP6"/>
    <mergeCell ref="BC6:BE6"/>
    <mergeCell ref="AZ6:BB6"/>
    <mergeCell ref="AW6:AY6"/>
    <mergeCell ref="AT6:AV6"/>
    <mergeCell ref="AB6:AD6"/>
    <mergeCell ref="AE6:AG6"/>
    <mergeCell ref="AH6:AJ6"/>
    <mergeCell ref="AK6:AM6"/>
    <mergeCell ref="AQ6:AS6"/>
    <mergeCell ref="W6:W7"/>
    <mergeCell ref="X6:X7"/>
    <mergeCell ref="Q6:Q7"/>
    <mergeCell ref="A6:A7"/>
    <mergeCell ref="R6:R7"/>
    <mergeCell ref="M6:M7"/>
    <mergeCell ref="B6:B7"/>
    <mergeCell ref="C6:C7"/>
    <mergeCell ref="D6:D7"/>
    <mergeCell ref="E6:E7"/>
    <mergeCell ref="F6:F7"/>
    <mergeCell ref="G6:G7"/>
    <mergeCell ref="H6:H7"/>
    <mergeCell ref="I6:I7"/>
    <mergeCell ref="J6:J7"/>
    <mergeCell ref="K6:K7"/>
  </mergeCells>
  <conditionalFormatting sqref="P131">
    <cfRule type="duplicateValues" dxfId="507" priority="365"/>
    <cfRule type="duplicateValues" dxfId="506" priority="366"/>
  </conditionalFormatting>
  <conditionalFormatting sqref="P132">
    <cfRule type="duplicateValues" dxfId="505" priority="363"/>
    <cfRule type="duplicateValues" dxfId="504" priority="364"/>
  </conditionalFormatting>
  <conditionalFormatting sqref="P179">
    <cfRule type="duplicateValues" dxfId="503" priority="351"/>
    <cfRule type="duplicateValues" dxfId="502" priority="352"/>
  </conditionalFormatting>
  <conditionalFormatting sqref="P197">
    <cfRule type="duplicateValues" dxfId="501" priority="329"/>
  </conditionalFormatting>
  <conditionalFormatting sqref="P198">
    <cfRule type="duplicateValues" dxfId="500" priority="328"/>
  </conditionalFormatting>
  <conditionalFormatting sqref="P199">
    <cfRule type="duplicateValues" dxfId="499" priority="327"/>
  </conditionalFormatting>
  <conditionalFormatting sqref="P200">
    <cfRule type="duplicateValues" dxfId="498" priority="326"/>
  </conditionalFormatting>
  <conditionalFormatting sqref="P201">
    <cfRule type="duplicateValues" dxfId="497" priority="323"/>
    <cfRule type="duplicateValues" dxfId="496" priority="324"/>
    <cfRule type="duplicateValues" dxfId="495" priority="325"/>
  </conditionalFormatting>
  <conditionalFormatting sqref="P205">
    <cfRule type="duplicateValues" dxfId="494" priority="23"/>
    <cfRule type="duplicateValues" dxfId="493" priority="24"/>
  </conditionalFormatting>
  <conditionalFormatting sqref="P210">
    <cfRule type="duplicateValues" dxfId="492" priority="21"/>
    <cfRule type="duplicateValues" dxfId="491" priority="22"/>
  </conditionalFormatting>
  <conditionalFormatting sqref="P211">
    <cfRule type="duplicateValues" dxfId="490" priority="19"/>
    <cfRule type="duplicateValues" dxfId="489" priority="20"/>
  </conditionalFormatting>
  <conditionalFormatting sqref="P212">
    <cfRule type="duplicateValues" dxfId="488" priority="17"/>
    <cfRule type="duplicateValues" dxfId="487" priority="18"/>
  </conditionalFormatting>
  <conditionalFormatting sqref="P213">
    <cfRule type="duplicateValues" dxfId="486" priority="15"/>
    <cfRule type="duplicateValues" dxfId="485" priority="16"/>
  </conditionalFormatting>
  <conditionalFormatting sqref="P216">
    <cfRule type="duplicateValues" dxfId="484" priority="27"/>
    <cfRule type="duplicateValues" dxfId="483" priority="28"/>
  </conditionalFormatting>
  <conditionalFormatting sqref="P221">
    <cfRule type="duplicateValues" dxfId="482" priority="25"/>
    <cfRule type="duplicateValues" dxfId="481" priority="26"/>
  </conditionalFormatting>
  <conditionalFormatting sqref="P239">
    <cfRule type="duplicateValues" dxfId="480" priority="7"/>
  </conditionalFormatting>
  <conditionalFormatting sqref="P247">
    <cfRule type="duplicateValues" dxfId="479" priority="5"/>
    <cfRule type="duplicateValues" dxfId="478" priority="6"/>
  </conditionalFormatting>
  <conditionalFormatting sqref="P254">
    <cfRule type="duplicateValues" dxfId="477" priority="3"/>
    <cfRule type="duplicateValues" dxfId="476" priority="4"/>
  </conditionalFormatting>
  <conditionalFormatting sqref="P255">
    <cfRule type="duplicateValues" dxfId="475" priority="1"/>
    <cfRule type="duplicateValues" dxfId="474" priority="2"/>
  </conditionalFormatting>
  <conditionalFormatting sqref="R131">
    <cfRule type="duplicateValues" dxfId="473" priority="361"/>
    <cfRule type="duplicateValues" dxfId="472" priority="362"/>
  </conditionalFormatting>
  <conditionalFormatting sqref="R132">
    <cfRule type="duplicateValues" dxfId="471" priority="359"/>
    <cfRule type="duplicateValues" dxfId="470" priority="360"/>
  </conditionalFormatting>
  <conditionalFormatting sqref="R179">
    <cfRule type="duplicateValues" dxfId="469" priority="353"/>
    <cfRule type="duplicateValues" dxfId="468" priority="354"/>
  </conditionalFormatting>
  <conditionalFormatting sqref="R197">
    <cfRule type="duplicateValues" dxfId="467" priority="349"/>
  </conditionalFormatting>
  <conditionalFormatting sqref="R198">
    <cfRule type="duplicateValues" dxfId="466" priority="348"/>
  </conditionalFormatting>
  <conditionalFormatting sqref="R199">
    <cfRule type="duplicateValues" dxfId="465" priority="350"/>
  </conditionalFormatting>
  <conditionalFormatting sqref="R200">
    <cfRule type="duplicateValues" dxfId="464" priority="347"/>
  </conditionalFormatting>
  <conditionalFormatting sqref="R201">
    <cfRule type="duplicateValues" dxfId="463" priority="344"/>
    <cfRule type="duplicateValues" dxfId="462" priority="345"/>
    <cfRule type="duplicateValues" dxfId="461" priority="346"/>
  </conditionalFormatting>
  <conditionalFormatting sqref="R205">
    <cfRule type="duplicateValues" dxfId="460" priority="37"/>
    <cfRule type="duplicateValues" dxfId="459" priority="38"/>
  </conditionalFormatting>
  <conditionalFormatting sqref="R210">
    <cfRule type="duplicateValues" dxfId="458" priority="35"/>
    <cfRule type="duplicateValues" dxfId="457" priority="36"/>
  </conditionalFormatting>
  <conditionalFormatting sqref="R211">
    <cfRule type="duplicateValues" dxfId="456" priority="33"/>
    <cfRule type="duplicateValues" dxfId="455" priority="34"/>
  </conditionalFormatting>
  <conditionalFormatting sqref="R212">
    <cfRule type="duplicateValues" dxfId="454" priority="31"/>
    <cfRule type="duplicateValues" dxfId="453" priority="32"/>
  </conditionalFormatting>
  <conditionalFormatting sqref="R213">
    <cfRule type="duplicateValues" dxfId="452" priority="29"/>
    <cfRule type="duplicateValues" dxfId="451" priority="30"/>
  </conditionalFormatting>
  <conditionalFormatting sqref="R216">
    <cfRule type="duplicateValues" dxfId="450" priority="41"/>
    <cfRule type="duplicateValues" dxfId="449" priority="42"/>
  </conditionalFormatting>
  <conditionalFormatting sqref="R221">
    <cfRule type="duplicateValues" dxfId="448" priority="39"/>
    <cfRule type="duplicateValues" dxfId="447" priority="40"/>
  </conditionalFormatting>
  <conditionalFormatting sqref="R239">
    <cfRule type="duplicateValues" dxfId="446" priority="14"/>
  </conditionalFormatting>
  <conditionalFormatting sqref="R247">
    <cfRule type="duplicateValues" dxfId="445" priority="12"/>
    <cfRule type="duplicateValues" dxfId="444" priority="13"/>
  </conditionalFormatting>
  <conditionalFormatting sqref="R254">
    <cfRule type="duplicateValues" dxfId="443" priority="10"/>
    <cfRule type="duplicateValues" dxfId="442" priority="11"/>
  </conditionalFormatting>
  <conditionalFormatting sqref="R255">
    <cfRule type="duplicateValues" dxfId="441" priority="8"/>
    <cfRule type="duplicateValues" dxfId="440" priority="9"/>
  </conditionalFormatting>
  <pageMargins left="0.7" right="0.7" top="0.75" bottom="0.75" header="0.3" footer="0.3"/>
  <pageSetup paperSize="14" scale="13"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002060"/>
  </sheetPr>
  <dimension ref="A1:I205"/>
  <sheetViews>
    <sheetView showGridLines="0" zoomScale="80" zoomScaleNormal="80" workbookViewId="0">
      <selection activeCell="E197" sqref="E197:H198"/>
    </sheetView>
  </sheetViews>
  <sheetFormatPr baseColWidth="10" defaultColWidth="11.42578125" defaultRowHeight="15"/>
  <cols>
    <col min="1" max="1" width="17.5703125" style="5" customWidth="1"/>
    <col min="2" max="2" width="11" style="5" customWidth="1"/>
    <col min="3" max="3" width="13.140625" style="5" customWidth="1"/>
    <col min="4" max="4" width="49" style="6" customWidth="1"/>
    <col min="5" max="5" width="34.42578125" style="6" customWidth="1"/>
    <col min="6" max="6" width="25.28515625" style="2" customWidth="1"/>
    <col min="7" max="7" width="20.5703125" style="2" customWidth="1"/>
    <col min="8" max="8" width="25.140625" style="2" customWidth="1"/>
    <col min="9" max="9" width="18.42578125" style="1" customWidth="1"/>
    <col min="10" max="16384" width="11.42578125" style="1"/>
  </cols>
  <sheetData>
    <row r="1" spans="1:9" ht="30.75" customHeight="1">
      <c r="A1" s="496" t="s">
        <v>1532</v>
      </c>
      <c r="B1" s="497"/>
      <c r="C1" s="497"/>
      <c r="D1" s="497"/>
      <c r="E1" s="497"/>
      <c r="F1" s="497"/>
      <c r="G1" s="497"/>
      <c r="H1" s="497"/>
      <c r="I1" s="497"/>
    </row>
    <row r="2" spans="1:9" ht="30.75" customHeight="1">
      <c r="A2" s="496"/>
      <c r="B2" s="497"/>
      <c r="C2" s="497"/>
      <c r="D2" s="497"/>
      <c r="E2" s="497"/>
      <c r="F2" s="497"/>
      <c r="G2" s="497"/>
      <c r="H2" s="497"/>
      <c r="I2" s="497"/>
    </row>
    <row r="3" spans="1:9" ht="30.75" customHeight="1">
      <c r="A3" s="496"/>
      <c r="B3" s="497"/>
      <c r="C3" s="497"/>
      <c r="D3" s="497"/>
      <c r="E3" s="497"/>
      <c r="F3" s="497"/>
      <c r="G3" s="497"/>
      <c r="H3" s="497"/>
      <c r="I3" s="497"/>
    </row>
    <row r="4" spans="1:9" ht="9.75" customHeight="1">
      <c r="A4" s="10"/>
      <c r="B4" s="11"/>
      <c r="C4" s="11"/>
      <c r="D4" s="11"/>
      <c r="E4" s="11"/>
    </row>
    <row r="5" spans="1:9" s="3" customFormat="1" ht="56.25" customHeight="1">
      <c r="A5" s="83" t="s">
        <v>23</v>
      </c>
      <c r="B5" s="84" t="s">
        <v>24</v>
      </c>
      <c r="C5" s="494" t="s">
        <v>25</v>
      </c>
      <c r="D5" s="495"/>
      <c r="E5" s="85" t="s">
        <v>1278</v>
      </c>
      <c r="F5" s="85" t="s">
        <v>1461</v>
      </c>
      <c r="G5" s="85" t="s">
        <v>1468</v>
      </c>
      <c r="H5" s="85" t="s">
        <v>1462</v>
      </c>
      <c r="I5" s="85" t="s">
        <v>1469</v>
      </c>
    </row>
    <row r="6" spans="1:9" s="4" customFormat="1" ht="24" customHeight="1">
      <c r="A6" s="56" t="s">
        <v>1279</v>
      </c>
      <c r="B6" s="62"/>
      <c r="C6" s="62"/>
      <c r="D6" s="63"/>
      <c r="E6" s="64">
        <f>E7</f>
        <v>14299509202</v>
      </c>
      <c r="F6" s="64">
        <f t="shared" ref="F6:H7" si="0">F7</f>
        <v>9790017963</v>
      </c>
      <c r="G6" s="196">
        <f>F6/E6</f>
        <v>0.68464013867208251</v>
      </c>
      <c r="H6" s="64">
        <f t="shared" si="0"/>
        <v>9790017963</v>
      </c>
      <c r="I6" s="196">
        <f>H6/E6</f>
        <v>0.68464013867208251</v>
      </c>
    </row>
    <row r="7" spans="1:9" s="4" customFormat="1" ht="24" customHeight="1">
      <c r="A7" s="100">
        <v>4</v>
      </c>
      <c r="B7" s="101" t="s">
        <v>1280</v>
      </c>
      <c r="C7" s="101"/>
      <c r="D7" s="101"/>
      <c r="E7" s="102">
        <f>E8</f>
        <v>14299509202</v>
      </c>
      <c r="F7" s="102">
        <f t="shared" si="0"/>
        <v>9790017963</v>
      </c>
      <c r="G7" s="196">
        <f>F7/E7</f>
        <v>0.68464013867208251</v>
      </c>
      <c r="H7" s="102">
        <f t="shared" si="0"/>
        <v>9790017963</v>
      </c>
      <c r="I7" s="196">
        <f>H7/E7</f>
        <v>0.68464013867208251</v>
      </c>
    </row>
    <row r="8" spans="1:9" ht="24" customHeight="1">
      <c r="A8" s="25"/>
      <c r="B8" s="115">
        <v>45</v>
      </c>
      <c r="C8" s="107" t="s">
        <v>60</v>
      </c>
      <c r="D8" s="113"/>
      <c r="E8" s="109">
        <f>SUM(E9:E10)</f>
        <v>14299509202</v>
      </c>
      <c r="F8" s="109">
        <f>SUM(F9:F10)</f>
        <v>9790017963</v>
      </c>
      <c r="G8" s="196">
        <f>F8/E8</f>
        <v>0.68464013867208251</v>
      </c>
      <c r="H8" s="109">
        <f>SUM(H9:H10)</f>
        <v>9790017963</v>
      </c>
      <c r="I8" s="196">
        <f>H8/E8</f>
        <v>0.68464013867208251</v>
      </c>
    </row>
    <row r="9" spans="1:9" ht="70.5" customHeight="1">
      <c r="A9" s="26"/>
      <c r="B9" s="27"/>
      <c r="C9" s="28">
        <v>4502</v>
      </c>
      <c r="D9" s="23" t="s">
        <v>1281</v>
      </c>
      <c r="E9" s="29">
        <f>'SGTO POAI 2023 NOV-DIC'!BF10</f>
        <v>125910000</v>
      </c>
      <c r="F9" s="29">
        <f>'SGTO POAI 2023 NOV-DIC'!BG10</f>
        <v>125824933</v>
      </c>
      <c r="G9" s="196">
        <f>F9/E9</f>
        <v>0.99932438249543321</v>
      </c>
      <c r="H9" s="29">
        <f>'SGTO POAI 2023 NOV-DIC'!BH10</f>
        <v>125824933</v>
      </c>
      <c r="I9" s="196">
        <f>H9/E9</f>
        <v>0.99932438249543321</v>
      </c>
    </row>
    <row r="10" spans="1:9" ht="53.25" customHeight="1">
      <c r="A10" s="30"/>
      <c r="B10" s="31"/>
      <c r="C10" s="32">
        <v>4599</v>
      </c>
      <c r="D10" s="33" t="s">
        <v>1282</v>
      </c>
      <c r="E10" s="34">
        <f>'SGTO POAI 2023 NOV-DIC'!BF8+'SGTO POAI 2023 NOV-DIC'!BF9+'SGTO POAI 2023 NOV-DIC'!BF11</f>
        <v>14173599202</v>
      </c>
      <c r="F10" s="34">
        <f>'SGTO POAI 2023 NOV-DIC'!BG8+'SGTO POAI 2023 NOV-DIC'!BG9+'SGTO POAI 2023 NOV-DIC'!BG11</f>
        <v>9664193030</v>
      </c>
      <c r="G10" s="196">
        <f>F10/E10</f>
        <v>0.68184466713552272</v>
      </c>
      <c r="H10" s="34">
        <f>'SGTO POAI 2023 NOV-DIC'!BH8+'SGTO POAI 2023 NOV-DIC'!BH9+'SGTO POAI 2023 NOV-DIC'!BH11</f>
        <v>9664193030</v>
      </c>
      <c r="I10" s="196">
        <f>H10/E10</f>
        <v>0.68184466713552272</v>
      </c>
    </row>
    <row r="11" spans="1:9" ht="15.75">
      <c r="A11" s="19"/>
      <c r="B11" s="19"/>
      <c r="C11" s="19"/>
      <c r="D11" s="8"/>
      <c r="E11" s="8"/>
      <c r="F11" s="8"/>
      <c r="G11" s="8"/>
      <c r="H11" s="8"/>
    </row>
    <row r="12" spans="1:9" s="4" customFormat="1" ht="24" customHeight="1">
      <c r="A12" s="70" t="s">
        <v>1283</v>
      </c>
      <c r="B12" s="71"/>
      <c r="C12" s="71"/>
      <c r="D12" s="72"/>
      <c r="E12" s="73">
        <f>E13</f>
        <v>1457064026</v>
      </c>
      <c r="F12" s="73">
        <f t="shared" ref="F12:H13" si="1">F13</f>
        <v>1280251070</v>
      </c>
      <c r="G12" s="196">
        <f>F12/E12</f>
        <v>0.87865121034839133</v>
      </c>
      <c r="H12" s="73">
        <f t="shared" si="1"/>
        <v>1280251070</v>
      </c>
      <c r="I12" s="196">
        <f>H12/E12</f>
        <v>0.87865121034839133</v>
      </c>
    </row>
    <row r="13" spans="1:9" ht="24" customHeight="1">
      <c r="A13" s="103">
        <v>4</v>
      </c>
      <c r="B13" s="104" t="s">
        <v>1280</v>
      </c>
      <c r="C13" s="104"/>
      <c r="D13" s="104"/>
      <c r="E13" s="105">
        <f>E14</f>
        <v>1457064026</v>
      </c>
      <c r="F13" s="105">
        <f t="shared" si="1"/>
        <v>1280251070</v>
      </c>
      <c r="G13" s="196">
        <f>F13/E13</f>
        <v>0.87865121034839133</v>
      </c>
      <c r="H13" s="105">
        <f t="shared" si="1"/>
        <v>1280251070</v>
      </c>
      <c r="I13" s="196">
        <f>H13/E13</f>
        <v>0.87865121034839133</v>
      </c>
    </row>
    <row r="14" spans="1:9" ht="24" customHeight="1">
      <c r="A14" s="25"/>
      <c r="B14" s="115">
        <v>45</v>
      </c>
      <c r="C14" s="107" t="s">
        <v>60</v>
      </c>
      <c r="D14" s="113"/>
      <c r="E14" s="109">
        <f>SUM(E15:E16)</f>
        <v>1457064026</v>
      </c>
      <c r="F14" s="109">
        <f>SUM(F15:F16)</f>
        <v>1280251070</v>
      </c>
      <c r="G14" s="196">
        <f>F14/E14</f>
        <v>0.87865121034839133</v>
      </c>
      <c r="H14" s="109">
        <f>SUM(H15:H16)</f>
        <v>1280251070</v>
      </c>
      <c r="I14" s="196">
        <f>H14/E14</f>
        <v>0.87865121034839133</v>
      </c>
    </row>
    <row r="15" spans="1:9" ht="56.25" customHeight="1">
      <c r="A15" s="35"/>
      <c r="B15" s="36"/>
      <c r="C15" s="28">
        <v>4502</v>
      </c>
      <c r="D15" s="23" t="s">
        <v>1281</v>
      </c>
      <c r="E15" s="29">
        <f>'SGTO POAI 2023 NOV-DIC'!BF12+'SGTO POAI 2023 NOV-DIC'!BF13</f>
        <v>195000000</v>
      </c>
      <c r="F15" s="29">
        <f>'SGTO POAI 2023 NOV-DIC'!BG12+'SGTO POAI 2023 NOV-DIC'!BG13</f>
        <v>175477690</v>
      </c>
      <c r="G15" s="196">
        <f>F15/E15</f>
        <v>0.89988558974358979</v>
      </c>
      <c r="H15" s="29">
        <f>'SGTO POAI 2023 NOV-DIC'!BH12+'SGTO POAI 2023 NOV-DIC'!BH13</f>
        <v>175477690</v>
      </c>
      <c r="I15" s="196">
        <f>H15/E15</f>
        <v>0.89988558974358979</v>
      </c>
    </row>
    <row r="16" spans="1:9" ht="56.25" customHeight="1">
      <c r="A16" s="31"/>
      <c r="B16" s="37"/>
      <c r="C16" s="28">
        <v>4599</v>
      </c>
      <c r="D16" s="23" t="s">
        <v>1282</v>
      </c>
      <c r="E16" s="29">
        <f>'SGTO POAI 2023 NOV-DIC'!BF14+'SGTO POAI 2023 NOV-DIC'!BF15+'SGTO POAI 2023 NOV-DIC'!BF16+'SGTO POAI 2023 NOV-DIC'!BF17+'SGTO POAI 2023 NOV-DIC'!BF18+'SGTO POAI 2023 NOV-DIC'!BF19+'SGTO POAI 2023 NOV-DIC'!BF20+'SGTO POAI 2023 NOV-DIC'!BF21+'SGTO POAI 2023 NOV-DIC'!BF22+'SGTO POAI 2023 NOV-DIC'!BF23</f>
        <v>1262064026</v>
      </c>
      <c r="F16" s="29">
        <f>'SGTO POAI 2023 NOV-DIC'!BG14+'SGTO POAI 2023 NOV-DIC'!BG15+'SGTO POAI 2023 NOV-DIC'!BG16+'SGTO POAI 2023 NOV-DIC'!BG17+'SGTO POAI 2023 NOV-DIC'!BG18+'SGTO POAI 2023 NOV-DIC'!BG19+'SGTO POAI 2023 NOV-DIC'!BG20+'SGTO POAI 2023 NOV-DIC'!BG21+'SGTO POAI 2023 NOV-DIC'!BG22+'SGTO POAI 2023 NOV-DIC'!BG23</f>
        <v>1104773380</v>
      </c>
      <c r="G16" s="196">
        <f>F16/E16</f>
        <v>0.87537031183868008</v>
      </c>
      <c r="H16" s="29">
        <f>'SGTO POAI 2023 NOV-DIC'!BH14+'SGTO POAI 2023 NOV-DIC'!BH15+'SGTO POAI 2023 NOV-DIC'!BH16+'SGTO POAI 2023 NOV-DIC'!BH17+'SGTO POAI 2023 NOV-DIC'!BH18+'SGTO POAI 2023 NOV-DIC'!BH19+'SGTO POAI 2023 NOV-DIC'!BH20+'SGTO POAI 2023 NOV-DIC'!BH21+'SGTO POAI 2023 NOV-DIC'!BH22+'SGTO POAI 2023 NOV-DIC'!BH23</f>
        <v>1104773380</v>
      </c>
      <c r="I16" s="196">
        <f>H16/E16</f>
        <v>0.87537031183868008</v>
      </c>
    </row>
    <row r="17" spans="1:9" ht="18" customHeight="1">
      <c r="F17" s="6"/>
      <c r="G17" s="6"/>
      <c r="H17" s="6"/>
    </row>
    <row r="18" spans="1:9" ht="24" customHeight="1">
      <c r="A18" s="70" t="s">
        <v>1284</v>
      </c>
      <c r="B18" s="71"/>
      <c r="C18" s="71"/>
      <c r="D18" s="72"/>
      <c r="E18" s="73">
        <f>E19</f>
        <v>5228695734</v>
      </c>
      <c r="F18" s="73">
        <f t="shared" ref="F18:H20" si="2">F19</f>
        <v>5109163160</v>
      </c>
      <c r="G18" s="196">
        <f>F18/E18</f>
        <v>0.9771391222436735</v>
      </c>
      <c r="H18" s="73">
        <f t="shared" si="2"/>
        <v>5109163160</v>
      </c>
      <c r="I18" s="196">
        <f>H18/E18</f>
        <v>0.9771391222436735</v>
      </c>
    </row>
    <row r="19" spans="1:9" ht="24" customHeight="1">
      <c r="A19" s="103">
        <v>4</v>
      </c>
      <c r="B19" s="104" t="s">
        <v>1280</v>
      </c>
      <c r="C19" s="104"/>
      <c r="D19" s="104"/>
      <c r="E19" s="105">
        <f>E20</f>
        <v>5228695734</v>
      </c>
      <c r="F19" s="105">
        <f>F20</f>
        <v>5109163160</v>
      </c>
      <c r="G19" s="196">
        <f>F19/E19</f>
        <v>0.9771391222436735</v>
      </c>
      <c r="H19" s="105">
        <f t="shared" si="2"/>
        <v>5109163160</v>
      </c>
      <c r="I19" s="196">
        <f>H19/E19</f>
        <v>0.9771391222436735</v>
      </c>
    </row>
    <row r="20" spans="1:9" ht="24" customHeight="1">
      <c r="A20" s="25"/>
      <c r="B20" s="115">
        <v>45</v>
      </c>
      <c r="C20" s="107" t="s">
        <v>60</v>
      </c>
      <c r="D20" s="113"/>
      <c r="E20" s="109">
        <f>E21</f>
        <v>5228695734</v>
      </c>
      <c r="F20" s="109">
        <f t="shared" si="2"/>
        <v>5109163160</v>
      </c>
      <c r="G20" s="196">
        <f>F20/E20</f>
        <v>0.9771391222436735</v>
      </c>
      <c r="H20" s="109">
        <f t="shared" si="2"/>
        <v>5109163160</v>
      </c>
      <c r="I20" s="196">
        <f>H20/E20</f>
        <v>0.9771391222436735</v>
      </c>
    </row>
    <row r="21" spans="1:9" ht="70.5" customHeight="1">
      <c r="A21" s="31"/>
      <c r="B21" s="22"/>
      <c r="C21" s="14">
        <v>4599</v>
      </c>
      <c r="D21" s="23" t="s">
        <v>1282</v>
      </c>
      <c r="E21" s="29">
        <f>'SGTO POAI 2023 NOV-DIC'!BF24+'SGTO POAI 2023 NOV-DIC'!BF25</f>
        <v>5228695734</v>
      </c>
      <c r="F21" s="29">
        <f>'SGTO POAI 2023 NOV-DIC'!BG24+'SGTO POAI 2023 NOV-DIC'!BG25</f>
        <v>5109163160</v>
      </c>
      <c r="G21" s="196">
        <f>F21/E21</f>
        <v>0.9771391222436735</v>
      </c>
      <c r="H21" s="29">
        <f>'SGTO POAI 2023 NOV-DIC'!BH24+'SGTO POAI 2023 NOV-DIC'!BH25</f>
        <v>5109163160</v>
      </c>
      <c r="I21" s="196">
        <f>H21/E21</f>
        <v>0.9771391222436735</v>
      </c>
    </row>
    <row r="22" spans="1:9" s="39" customFormat="1">
      <c r="A22" s="5"/>
      <c r="B22" s="5"/>
      <c r="C22" s="5"/>
      <c r="D22" s="6"/>
      <c r="E22" s="38"/>
      <c r="F22" s="38"/>
      <c r="G22" s="38"/>
      <c r="H22" s="38"/>
    </row>
    <row r="23" spans="1:9" ht="24" customHeight="1">
      <c r="A23" s="56" t="s">
        <v>1285</v>
      </c>
      <c r="B23" s="62"/>
      <c r="C23" s="62"/>
      <c r="D23" s="63"/>
      <c r="E23" s="64">
        <f>E24+E42+E50+E37</f>
        <v>95388240819.809998</v>
      </c>
      <c r="F23" s="64">
        <f>F24+F42+F50+F37</f>
        <v>70117585681.610001</v>
      </c>
      <c r="G23" s="196">
        <f t="shared" ref="G23:G53" si="3">F23/E23</f>
        <v>0.73507578165806942</v>
      </c>
      <c r="H23" s="64">
        <f>H24+H42+H50+H37</f>
        <v>21331072828.539997</v>
      </c>
      <c r="I23" s="196">
        <f t="shared" ref="I23:I53" si="4">H23/E23</f>
        <v>0.22362371551473262</v>
      </c>
    </row>
    <row r="24" spans="1:9" ht="24" customHeight="1">
      <c r="A24" s="100">
        <v>1</v>
      </c>
      <c r="B24" s="101" t="s">
        <v>1286</v>
      </c>
      <c r="C24" s="101"/>
      <c r="D24" s="101"/>
      <c r="E24" s="102">
        <f>E25+E29+E31+E35+E33+E27</f>
        <v>36111014664.099998</v>
      </c>
      <c r="F24" s="102">
        <f>F25+F29+F31+F35+F33+F27</f>
        <v>25129013205.510002</v>
      </c>
      <c r="G24" s="196">
        <f t="shared" si="3"/>
        <v>0.69588222428134028</v>
      </c>
      <c r="H24" s="102">
        <f>H25+H29+H31+H35+H33+H27</f>
        <v>3257715588</v>
      </c>
      <c r="I24" s="196">
        <f t="shared" si="4"/>
        <v>9.0213903383852559E-2</v>
      </c>
    </row>
    <row r="25" spans="1:9" ht="24" customHeight="1">
      <c r="A25" s="25"/>
      <c r="B25" s="115">
        <v>12</v>
      </c>
      <c r="C25" s="107" t="s">
        <v>149</v>
      </c>
      <c r="D25" s="113"/>
      <c r="E25" s="109">
        <f>E26</f>
        <v>82327300</v>
      </c>
      <c r="F25" s="109">
        <f>F26</f>
        <v>24050000</v>
      </c>
      <c r="G25" s="196">
        <f t="shared" si="3"/>
        <v>0.29212667001104131</v>
      </c>
      <c r="H25" s="109">
        <f>H26</f>
        <v>24050000</v>
      </c>
      <c r="I25" s="196">
        <f t="shared" si="4"/>
        <v>0.29212667001104131</v>
      </c>
    </row>
    <row r="26" spans="1:9" ht="61.5" customHeight="1">
      <c r="A26" s="35"/>
      <c r="B26" s="22"/>
      <c r="C26" s="12">
        <v>1202</v>
      </c>
      <c r="D26" s="23" t="s">
        <v>150</v>
      </c>
      <c r="E26" s="29">
        <f>'SGTO POAI 2023 NOV-DIC'!BF26</f>
        <v>82327300</v>
      </c>
      <c r="F26" s="29">
        <f>'SGTO POAI 2023 NOV-DIC'!BG26</f>
        <v>24050000</v>
      </c>
      <c r="G26" s="196">
        <f t="shared" si="3"/>
        <v>0.29212667001104131</v>
      </c>
      <c r="H26" s="29">
        <f>'SGTO POAI 2023 NOV-DIC'!BH26</f>
        <v>24050000</v>
      </c>
      <c r="I26" s="196">
        <f t="shared" si="4"/>
        <v>0.29212667001104131</v>
      </c>
    </row>
    <row r="27" spans="1:9" ht="24" customHeight="1">
      <c r="A27" s="40"/>
      <c r="B27" s="112">
        <v>19</v>
      </c>
      <c r="C27" s="107" t="s">
        <v>756</v>
      </c>
      <c r="D27" s="160"/>
      <c r="E27" s="109">
        <f>E28</f>
        <v>21612200000</v>
      </c>
      <c r="F27" s="109">
        <f>F28</f>
        <v>16085599260</v>
      </c>
      <c r="G27" s="196">
        <f t="shared" si="3"/>
        <v>0.744283287217405</v>
      </c>
      <c r="H27" s="109">
        <f>H28</f>
        <v>0</v>
      </c>
      <c r="I27" s="196">
        <f t="shared" si="4"/>
        <v>0</v>
      </c>
    </row>
    <row r="28" spans="1:9" ht="64.5" customHeight="1">
      <c r="A28" s="35"/>
      <c r="B28" s="22"/>
      <c r="C28" s="12">
        <v>1903</v>
      </c>
      <c r="D28" s="23" t="s">
        <v>934</v>
      </c>
      <c r="E28" s="29">
        <f>'SGTO POAI 2023 NOV-DIC'!BF52</f>
        <v>21612200000</v>
      </c>
      <c r="F28" s="29">
        <f>'SGTO POAI 2023 NOV-DIC'!BG52</f>
        <v>16085599260</v>
      </c>
      <c r="G28" s="196">
        <f t="shared" si="3"/>
        <v>0.744283287217405</v>
      </c>
      <c r="H28" s="29">
        <f>'SGTO POAI 2023 NOV-DIC'!BH52</f>
        <v>0</v>
      </c>
      <c r="I28" s="196">
        <f t="shared" si="4"/>
        <v>0</v>
      </c>
    </row>
    <row r="29" spans="1:9" ht="24" customHeight="1">
      <c r="A29" s="40"/>
      <c r="B29" s="112">
        <v>22</v>
      </c>
      <c r="C29" s="107" t="s">
        <v>160</v>
      </c>
      <c r="D29" s="108"/>
      <c r="E29" s="109">
        <f>E30</f>
        <v>3207024296</v>
      </c>
      <c r="F29" s="109">
        <f>F30</f>
        <v>2662167584.1099997</v>
      </c>
      <c r="G29" s="196">
        <f t="shared" si="3"/>
        <v>0.83010521230862533</v>
      </c>
      <c r="H29" s="109">
        <f>H30</f>
        <v>2069830190.3099999</v>
      </c>
      <c r="I29" s="196">
        <f t="shared" si="4"/>
        <v>0.64540521033520726</v>
      </c>
    </row>
    <row r="30" spans="1:9" ht="64.5" customHeight="1">
      <c r="A30" s="35"/>
      <c r="B30" s="22"/>
      <c r="C30" s="12">
        <v>2201</v>
      </c>
      <c r="D30" s="23" t="s">
        <v>161</v>
      </c>
      <c r="E30" s="29">
        <f>'SGTO POAI 2023 NOV-DIC'!BF27</f>
        <v>3207024296</v>
      </c>
      <c r="F30" s="29">
        <f>'SGTO POAI 2023 NOV-DIC'!BG27</f>
        <v>2662167584.1099997</v>
      </c>
      <c r="G30" s="196">
        <f t="shared" si="3"/>
        <v>0.83010521230862533</v>
      </c>
      <c r="H30" s="29">
        <f>'SGTO POAI 2023 NOV-DIC'!BH27</f>
        <v>2069830190.3099999</v>
      </c>
      <c r="I30" s="196">
        <f t="shared" si="4"/>
        <v>0.64540521033520726</v>
      </c>
    </row>
    <row r="31" spans="1:9" ht="24" customHeight="1">
      <c r="A31" s="40"/>
      <c r="B31" s="112">
        <v>33</v>
      </c>
      <c r="C31" s="114" t="s">
        <v>170</v>
      </c>
      <c r="D31" s="108"/>
      <c r="E31" s="109">
        <f>E32</f>
        <v>73966912</v>
      </c>
      <c r="F31" s="109">
        <f>F32</f>
        <v>30175000</v>
      </c>
      <c r="G31" s="196">
        <f t="shared" si="3"/>
        <v>0.40795268024708131</v>
      </c>
      <c r="H31" s="109">
        <f>H32</f>
        <v>30175000</v>
      </c>
      <c r="I31" s="196">
        <f t="shared" si="4"/>
        <v>0.40795268024708131</v>
      </c>
    </row>
    <row r="32" spans="1:9" ht="63" customHeight="1">
      <c r="A32" s="35"/>
      <c r="B32" s="22"/>
      <c r="C32" s="12">
        <v>3301</v>
      </c>
      <c r="D32" s="23" t="s">
        <v>171</v>
      </c>
      <c r="E32" s="29">
        <f>'SGTO POAI 2023 NOV-DIC'!BF28</f>
        <v>73966912</v>
      </c>
      <c r="F32" s="29">
        <f>'SGTO POAI 2023 NOV-DIC'!BG28</f>
        <v>30175000</v>
      </c>
      <c r="G32" s="196">
        <f t="shared" si="3"/>
        <v>0.40795268024708131</v>
      </c>
      <c r="H32" s="29">
        <f>'SGTO POAI 2023 NOV-DIC'!BH28</f>
        <v>30175000</v>
      </c>
      <c r="I32" s="196">
        <f t="shared" si="4"/>
        <v>0.40795268024708131</v>
      </c>
    </row>
    <row r="33" spans="1:9" ht="26.25" customHeight="1">
      <c r="A33" s="35"/>
      <c r="B33" s="112">
        <v>41</v>
      </c>
      <c r="C33" s="107" t="s">
        <v>180</v>
      </c>
      <c r="D33" s="108"/>
      <c r="E33" s="109">
        <f>E34</f>
        <v>4879932867</v>
      </c>
      <c r="F33" s="109">
        <f>F34</f>
        <v>3049428918</v>
      </c>
      <c r="G33" s="196">
        <f t="shared" si="3"/>
        <v>0.62489157148480912</v>
      </c>
      <c r="H33" s="109">
        <f>H34</f>
        <v>0</v>
      </c>
      <c r="I33" s="196">
        <f t="shared" si="4"/>
        <v>0</v>
      </c>
    </row>
    <row r="34" spans="1:9" ht="57" customHeight="1">
      <c r="A34" s="35"/>
      <c r="B34" s="22"/>
      <c r="C34" s="12">
        <f>'SGTO POAI 2023 NOV-DIC'!I29</f>
        <v>4104</v>
      </c>
      <c r="D34" s="23" t="s">
        <v>181</v>
      </c>
      <c r="E34" s="29">
        <f>'SGTO POAI 2023 NOV-DIC'!BF29+'SGTO POAI 2023 NOV-DIC'!BF30</f>
        <v>4879932867</v>
      </c>
      <c r="F34" s="29">
        <f>'SGTO POAI 2023 NOV-DIC'!BG29+'SGTO POAI 2023 NOV-DIC'!BG30</f>
        <v>3049428918</v>
      </c>
      <c r="G34" s="196">
        <f t="shared" si="3"/>
        <v>0.62489157148480912</v>
      </c>
      <c r="H34" s="29">
        <f>'SGTO POAI 2023 NOV-DIC'!BH29+'SGTO POAI 2023 NOV-DIC'!BH30</f>
        <v>0</v>
      </c>
      <c r="I34" s="196">
        <f t="shared" si="4"/>
        <v>0</v>
      </c>
    </row>
    <row r="35" spans="1:9" ht="24" customHeight="1">
      <c r="A35" s="40"/>
      <c r="B35" s="112">
        <v>43</v>
      </c>
      <c r="C35" s="107" t="s">
        <v>190</v>
      </c>
      <c r="D35" s="107"/>
      <c r="E35" s="109">
        <f>E36</f>
        <v>6255563289.1000004</v>
      </c>
      <c r="F35" s="109">
        <f>F36</f>
        <v>3277592443.4000001</v>
      </c>
      <c r="G35" s="196">
        <f t="shared" si="3"/>
        <v>0.5239484107068404</v>
      </c>
      <c r="H35" s="109">
        <f>H36</f>
        <v>1133660397.6900001</v>
      </c>
      <c r="I35" s="196">
        <f t="shared" si="4"/>
        <v>0.18122435107727955</v>
      </c>
    </row>
    <row r="36" spans="1:9" ht="65.25" customHeight="1">
      <c r="A36" s="31"/>
      <c r="B36" s="22"/>
      <c r="C36" s="12">
        <v>4301</v>
      </c>
      <c r="D36" s="23" t="s">
        <v>1287</v>
      </c>
      <c r="E36" s="29">
        <f>'SGTO POAI 2023 NOV-DIC'!BF31</f>
        <v>6255563289.1000004</v>
      </c>
      <c r="F36" s="29">
        <f>'SGTO POAI 2023 NOV-DIC'!BG31</f>
        <v>3277592443.4000001</v>
      </c>
      <c r="G36" s="196">
        <f t="shared" si="3"/>
        <v>0.5239484107068404</v>
      </c>
      <c r="H36" s="29">
        <f>'SGTO POAI 2023 NOV-DIC'!BH31</f>
        <v>1133660397.6900001</v>
      </c>
      <c r="I36" s="196">
        <f t="shared" si="4"/>
        <v>0.18122435107727955</v>
      </c>
    </row>
    <row r="37" spans="1:9" ht="27" customHeight="1">
      <c r="A37" s="100">
        <v>2</v>
      </c>
      <c r="B37" s="101" t="s">
        <v>1288</v>
      </c>
      <c r="C37" s="101"/>
      <c r="D37" s="101"/>
      <c r="E37" s="102">
        <f>+E40+E38</f>
        <v>441000000</v>
      </c>
      <c r="F37" s="102">
        <f>+F40+F38</f>
        <v>430900000</v>
      </c>
      <c r="G37" s="196">
        <f t="shared" si="3"/>
        <v>0.97709750566893427</v>
      </c>
      <c r="H37" s="102">
        <f>+H40+H38</f>
        <v>430900000</v>
      </c>
      <c r="I37" s="196">
        <f t="shared" si="4"/>
        <v>0.97709750566893427</v>
      </c>
    </row>
    <row r="38" spans="1:9" ht="27" customHeight="1">
      <c r="A38" s="13"/>
      <c r="B38" s="106">
        <v>17</v>
      </c>
      <c r="C38" s="107" t="s">
        <v>1289</v>
      </c>
      <c r="D38" s="108"/>
      <c r="E38" s="109">
        <f>E39</f>
        <v>41000000</v>
      </c>
      <c r="F38" s="109">
        <f t="shared" ref="F38:H40" si="5">F39</f>
        <v>30900000</v>
      </c>
      <c r="G38" s="196">
        <f t="shared" si="3"/>
        <v>0.75365853658536586</v>
      </c>
      <c r="H38" s="109">
        <f t="shared" si="5"/>
        <v>30900000</v>
      </c>
      <c r="I38" s="196">
        <f t="shared" si="4"/>
        <v>0.75365853658536586</v>
      </c>
    </row>
    <row r="39" spans="1:9" ht="65.25" customHeight="1">
      <c r="A39" s="12"/>
      <c r="B39" s="12"/>
      <c r="C39" s="12">
        <v>1709</v>
      </c>
      <c r="D39" s="23" t="s">
        <v>202</v>
      </c>
      <c r="E39" s="29">
        <f>'SGTO POAI 2023 NOV-DIC'!BF32+'SGTO POAI 2023 NOV-DIC'!BF33</f>
        <v>41000000</v>
      </c>
      <c r="F39" s="29">
        <f>'SGTO POAI 2023 NOV-DIC'!BG32+'SGTO POAI 2023 NOV-DIC'!BG33</f>
        <v>30900000</v>
      </c>
      <c r="G39" s="196">
        <f t="shared" si="3"/>
        <v>0.75365853658536586</v>
      </c>
      <c r="H39" s="29">
        <f>'SGTO POAI 2023 NOV-DIC'!BH32+'SGTO POAI 2023 NOV-DIC'!BH33</f>
        <v>30900000</v>
      </c>
      <c r="I39" s="196">
        <f t="shared" si="4"/>
        <v>0.75365853658536586</v>
      </c>
    </row>
    <row r="40" spans="1:9" ht="27" customHeight="1">
      <c r="A40" s="13"/>
      <c r="B40" s="106">
        <v>35</v>
      </c>
      <c r="C40" s="107" t="s">
        <v>418</v>
      </c>
      <c r="D40" s="108"/>
      <c r="E40" s="109">
        <f>E41</f>
        <v>400000000</v>
      </c>
      <c r="F40" s="109">
        <f t="shared" si="5"/>
        <v>400000000</v>
      </c>
      <c r="G40" s="196">
        <f>F40/E40</f>
        <v>1</v>
      </c>
      <c r="H40" s="109">
        <f t="shared" si="5"/>
        <v>400000000</v>
      </c>
      <c r="I40" s="196">
        <f>H40/E40</f>
        <v>1</v>
      </c>
    </row>
    <row r="41" spans="1:9" ht="65.25" customHeight="1">
      <c r="A41" s="275"/>
      <c r="B41" s="12"/>
      <c r="C41" s="12">
        <v>3502</v>
      </c>
      <c r="D41" s="23" t="s">
        <v>419</v>
      </c>
      <c r="E41" s="29">
        <f>'SGTO POAI 2023 NOV-DIC'!BF54</f>
        <v>400000000</v>
      </c>
      <c r="F41" s="29">
        <f>'SGTO POAI 2023 NOV-DIC'!BG54</f>
        <v>400000000</v>
      </c>
      <c r="G41" s="196">
        <f>F41/E41</f>
        <v>1</v>
      </c>
      <c r="H41" s="29">
        <f>'SGTO POAI 2023 NOV-DIC'!BH54</f>
        <v>400000000</v>
      </c>
      <c r="I41" s="196">
        <f>H41/E41</f>
        <v>1</v>
      </c>
    </row>
    <row r="42" spans="1:9" ht="24" customHeight="1">
      <c r="A42" s="100">
        <v>3</v>
      </c>
      <c r="B42" s="101" t="s">
        <v>1290</v>
      </c>
      <c r="C42" s="101"/>
      <c r="D42" s="101"/>
      <c r="E42" s="102">
        <f>E43+E45+E47</f>
        <v>57638606135.709991</v>
      </c>
      <c r="F42" s="102">
        <f>F43+F45+F47</f>
        <v>43669770558.099998</v>
      </c>
      <c r="G42" s="196">
        <f t="shared" si="3"/>
        <v>0.75764792880798681</v>
      </c>
      <c r="H42" s="102">
        <f>H43+H45+H47</f>
        <v>16808673314.74</v>
      </c>
      <c r="I42" s="196">
        <f t="shared" si="4"/>
        <v>0.29162178688297924</v>
      </c>
    </row>
    <row r="43" spans="1:9" ht="24" customHeight="1">
      <c r="A43" s="13"/>
      <c r="B43" s="106">
        <v>24</v>
      </c>
      <c r="C43" s="107" t="s">
        <v>213</v>
      </c>
      <c r="D43" s="107"/>
      <c r="E43" s="109">
        <f>E44</f>
        <v>50231775439.869995</v>
      </c>
      <c r="F43" s="109">
        <f>F44</f>
        <v>37019431171.849998</v>
      </c>
      <c r="G43" s="196">
        <f t="shared" si="3"/>
        <v>0.73697238147921229</v>
      </c>
      <c r="H43" s="109">
        <f>H44</f>
        <v>11584510624.49</v>
      </c>
      <c r="I43" s="196">
        <f t="shared" si="4"/>
        <v>0.23062116604572841</v>
      </c>
    </row>
    <row r="44" spans="1:9" ht="59.25" customHeight="1">
      <c r="A44" s="12"/>
      <c r="B44" s="12"/>
      <c r="C44" s="12">
        <v>2402</v>
      </c>
      <c r="D44" s="23" t="s">
        <v>214</v>
      </c>
      <c r="E44" s="29">
        <f>'SGTO POAI 2023 NOV-DIC'!BF34+'SGTO POAI 2023 NOV-DIC'!BF35+'SGTO POAI 2023 NOV-DIC'!BF36+'SGTO POAI 2023 NOV-DIC'!BF37+'SGTO POAI 2023 NOV-DIC'!BF38+'SGTO POAI 2023 NOV-DIC'!BF53</f>
        <v>50231775439.869995</v>
      </c>
      <c r="F44" s="29">
        <f>'SGTO POAI 2023 NOV-DIC'!BG34+'SGTO POAI 2023 NOV-DIC'!BG35+'SGTO POAI 2023 NOV-DIC'!BG36+'SGTO POAI 2023 NOV-DIC'!BG37+'SGTO POAI 2023 NOV-DIC'!BG38+'SGTO POAI 2023 NOV-DIC'!BG53</f>
        <v>37019431171.849998</v>
      </c>
      <c r="G44" s="196">
        <f t="shared" si="3"/>
        <v>0.73697238147921229</v>
      </c>
      <c r="H44" s="29">
        <f>'SGTO POAI 2023 NOV-DIC'!BH34+'SGTO POAI 2023 NOV-DIC'!BH35+'SGTO POAI 2023 NOV-DIC'!BH36+'SGTO POAI 2023 NOV-DIC'!BH37+'SGTO POAI 2023 NOV-DIC'!BH38+'SGTO POAI 2023 NOV-DIC'!BH53</f>
        <v>11584510624.49</v>
      </c>
      <c r="I44" s="196">
        <f t="shared" si="4"/>
        <v>0.23062116604572841</v>
      </c>
    </row>
    <row r="45" spans="1:9" ht="24" customHeight="1">
      <c r="A45" s="13"/>
      <c r="B45" s="118">
        <v>32</v>
      </c>
      <c r="C45" s="107" t="s">
        <v>227</v>
      </c>
      <c r="D45" s="107"/>
      <c r="E45" s="109">
        <f>E46</f>
        <v>1840000000</v>
      </c>
      <c r="F45" s="109">
        <f>F46</f>
        <v>1530933696</v>
      </c>
      <c r="G45" s="196">
        <f t="shared" si="3"/>
        <v>0.83202918260869563</v>
      </c>
      <c r="H45" s="109">
        <f>H46</f>
        <v>104757000</v>
      </c>
      <c r="I45" s="196">
        <f t="shared" si="4"/>
        <v>5.6933152173913044E-2</v>
      </c>
    </row>
    <row r="46" spans="1:9" ht="54.75" customHeight="1">
      <c r="A46" s="12"/>
      <c r="B46" s="12"/>
      <c r="C46" s="12">
        <v>3205</v>
      </c>
      <c r="D46" s="23" t="s">
        <v>228</v>
      </c>
      <c r="E46" s="29">
        <f>'SGTO POAI 2023 NOV-DIC'!BF39+'SGTO POAI 2023 NOV-DIC'!BF40</f>
        <v>1840000000</v>
      </c>
      <c r="F46" s="29">
        <f>'SGTO POAI 2023 NOV-DIC'!BG39+'SGTO POAI 2023 NOV-DIC'!BG40</f>
        <v>1530933696</v>
      </c>
      <c r="G46" s="196">
        <f t="shared" si="3"/>
        <v>0.83202918260869563</v>
      </c>
      <c r="H46" s="29">
        <f>'SGTO POAI 2023 NOV-DIC'!BH39+'SGTO POAI 2023 NOV-DIC'!BH40</f>
        <v>104757000</v>
      </c>
      <c r="I46" s="196">
        <f t="shared" si="4"/>
        <v>5.6933152173913044E-2</v>
      </c>
    </row>
    <row r="47" spans="1:9" ht="24" customHeight="1">
      <c r="A47" s="13"/>
      <c r="B47" s="118">
        <v>40</v>
      </c>
      <c r="C47" s="107" t="s">
        <v>1291</v>
      </c>
      <c r="D47" s="108"/>
      <c r="E47" s="109">
        <f>SUM(E48:E49)</f>
        <v>5566830695.8400002</v>
      </c>
      <c r="F47" s="109">
        <f>SUM(F48:F49)</f>
        <v>5119405690.25</v>
      </c>
      <c r="G47" s="196">
        <f t="shared" si="3"/>
        <v>0.9196266188004687</v>
      </c>
      <c r="H47" s="109">
        <f>SUM(H48:H49)</f>
        <v>5119405690.25</v>
      </c>
      <c r="I47" s="196">
        <f t="shared" si="4"/>
        <v>0.9196266188004687</v>
      </c>
    </row>
    <row r="48" spans="1:9" ht="48.75" customHeight="1">
      <c r="A48" s="12"/>
      <c r="B48" s="12"/>
      <c r="C48" s="12">
        <v>4001</v>
      </c>
      <c r="D48" s="23" t="s">
        <v>242</v>
      </c>
      <c r="E48" s="29">
        <f>'SGTO POAI 2023 NOV-DIC'!BF41</f>
        <v>350000000</v>
      </c>
      <c r="F48" s="29">
        <f>'SGTO POAI 2023 NOV-DIC'!BG41</f>
        <v>350000000</v>
      </c>
      <c r="G48" s="196">
        <f t="shared" si="3"/>
        <v>1</v>
      </c>
      <c r="H48" s="29">
        <f>'SGTO POAI 2023 NOV-DIC'!BH41</f>
        <v>350000000</v>
      </c>
      <c r="I48" s="196">
        <f t="shared" si="4"/>
        <v>1</v>
      </c>
    </row>
    <row r="49" spans="1:9" ht="59.25" customHeight="1">
      <c r="A49" s="12"/>
      <c r="B49" s="12"/>
      <c r="C49" s="12">
        <v>4003</v>
      </c>
      <c r="D49" s="23" t="s">
        <v>250</v>
      </c>
      <c r="E49" s="29">
        <f>'SGTO POAI 2023 NOV-DIC'!BF42+'SGTO POAI 2023 NOV-DIC'!BF43+'SGTO POAI 2023 NOV-DIC'!BF44+'SGTO POAI 2023 NOV-DIC'!BF45+'SGTO POAI 2023 NOV-DIC'!BF46+'SGTO POAI 2023 NOV-DIC'!BF47</f>
        <v>5216830695.8400002</v>
      </c>
      <c r="F49" s="29">
        <f>'SGTO POAI 2023 NOV-DIC'!BG42+'SGTO POAI 2023 NOV-DIC'!BG43+'SGTO POAI 2023 NOV-DIC'!BG44+'SGTO POAI 2023 NOV-DIC'!BG45+'SGTO POAI 2023 NOV-DIC'!BG46+'SGTO POAI 2023 NOV-DIC'!BG47</f>
        <v>4769405690.25</v>
      </c>
      <c r="G49" s="196">
        <f t="shared" si="3"/>
        <v>0.91423432507656699</v>
      </c>
      <c r="H49" s="29">
        <f>'SGTO POAI 2023 NOV-DIC'!BH42+'SGTO POAI 2023 NOV-DIC'!BH43+'SGTO POAI 2023 NOV-DIC'!BH44+'SGTO POAI 2023 NOV-DIC'!BH45+'SGTO POAI 2023 NOV-DIC'!BH46+'SGTO POAI 2023 NOV-DIC'!BH47</f>
        <v>4769405690.25</v>
      </c>
      <c r="I49" s="196">
        <f t="shared" si="4"/>
        <v>0.91423432507656699</v>
      </c>
    </row>
    <row r="50" spans="1:9" ht="24" customHeight="1">
      <c r="A50" s="100">
        <v>4</v>
      </c>
      <c r="B50" s="101" t="s">
        <v>1280</v>
      </c>
      <c r="C50" s="101"/>
      <c r="D50" s="101"/>
      <c r="E50" s="102">
        <f>E51</f>
        <v>1197620020</v>
      </c>
      <c r="F50" s="102">
        <f>F51</f>
        <v>887901918</v>
      </c>
      <c r="G50" s="196">
        <f t="shared" si="3"/>
        <v>0.74138867351265558</v>
      </c>
      <c r="H50" s="102">
        <f>H51</f>
        <v>833783925.79999995</v>
      </c>
      <c r="I50" s="196">
        <f t="shared" si="4"/>
        <v>0.69620072466724459</v>
      </c>
    </row>
    <row r="51" spans="1:9" ht="24" customHeight="1">
      <c r="A51" s="13"/>
      <c r="B51" s="106">
        <v>45</v>
      </c>
      <c r="C51" s="107" t="s">
        <v>60</v>
      </c>
      <c r="D51" s="108"/>
      <c r="E51" s="109">
        <f>SUM(E52:E53)</f>
        <v>1197620020</v>
      </c>
      <c r="F51" s="109">
        <f>SUM(F52:F53)</f>
        <v>887901918</v>
      </c>
      <c r="G51" s="196">
        <f t="shared" si="3"/>
        <v>0.74138867351265558</v>
      </c>
      <c r="H51" s="109">
        <f>SUM(H52:H53)</f>
        <v>833783925.79999995</v>
      </c>
      <c r="I51" s="196">
        <f t="shared" si="4"/>
        <v>0.69620072466724459</v>
      </c>
    </row>
    <row r="52" spans="1:9" ht="66" customHeight="1">
      <c r="A52" s="12"/>
      <c r="B52" s="12"/>
      <c r="C52" s="12">
        <v>4502</v>
      </c>
      <c r="D52" s="23" t="s">
        <v>1281</v>
      </c>
      <c r="E52" s="29">
        <f>'SGTO POAI 2023 NOV-DIC'!BF50</f>
        <v>124640634</v>
      </c>
      <c r="F52" s="29">
        <f>'SGTO POAI 2023 NOV-DIC'!BG50</f>
        <v>115718203</v>
      </c>
      <c r="G52" s="196">
        <f t="shared" si="3"/>
        <v>0.92841474955912051</v>
      </c>
      <c r="H52" s="29">
        <f>'SGTO POAI 2023 NOV-DIC'!BH50</f>
        <v>112327293</v>
      </c>
      <c r="I52" s="196">
        <f t="shared" si="4"/>
        <v>0.90120925572313759</v>
      </c>
    </row>
    <row r="53" spans="1:9" ht="53.25" customHeight="1">
      <c r="A53" s="12"/>
      <c r="B53" s="12"/>
      <c r="C53" s="12">
        <v>4599</v>
      </c>
      <c r="D53" s="23" t="s">
        <v>1282</v>
      </c>
      <c r="E53" s="29">
        <f>'SGTO POAI 2023 NOV-DIC'!BF48+'SGTO POAI 2023 NOV-DIC'!BF49</f>
        <v>1072979386</v>
      </c>
      <c r="F53" s="29">
        <f>'SGTO POAI 2023 NOV-DIC'!BG48+'SGTO POAI 2023 NOV-DIC'!BG49</f>
        <v>772183715</v>
      </c>
      <c r="G53" s="196">
        <f t="shared" si="3"/>
        <v>0.71966314085366778</v>
      </c>
      <c r="H53" s="29">
        <f>'SGTO POAI 2023 NOV-DIC'!BH48+'SGTO POAI 2023 NOV-DIC'!BH49</f>
        <v>721456632.79999995</v>
      </c>
      <c r="I53" s="196">
        <f t="shared" si="4"/>
        <v>0.67238629391524951</v>
      </c>
    </row>
    <row r="54" spans="1:9" s="39" customFormat="1">
      <c r="A54" s="5"/>
      <c r="B54" s="5"/>
      <c r="C54" s="58"/>
      <c r="D54" s="59"/>
      <c r="E54" s="38"/>
      <c r="F54" s="38"/>
      <c r="G54" s="38"/>
      <c r="H54" s="38"/>
    </row>
    <row r="55" spans="1:9" ht="24" customHeight="1">
      <c r="A55" s="65" t="s">
        <v>1292</v>
      </c>
      <c r="B55" s="62"/>
      <c r="C55" s="62"/>
      <c r="D55" s="63"/>
      <c r="E55" s="64">
        <f>E56+E68+E73</f>
        <v>9959166049.1399994</v>
      </c>
      <c r="F55" s="64">
        <f>F56+F68+F73</f>
        <v>5606159704.3500004</v>
      </c>
      <c r="G55" s="196">
        <f t="shared" ref="G55:G75" si="6">F55/E55</f>
        <v>0.5629145730363746</v>
      </c>
      <c r="H55" s="64">
        <f>H56+H68+H73</f>
        <v>5606159704.3500004</v>
      </c>
      <c r="I55" s="196">
        <f t="shared" ref="I55:I75" si="7">H55/E55</f>
        <v>0.5629145730363746</v>
      </c>
    </row>
    <row r="56" spans="1:9" ht="24" customHeight="1">
      <c r="A56" s="100">
        <v>1</v>
      </c>
      <c r="B56" s="101" t="s">
        <v>1286</v>
      </c>
      <c r="C56" s="101"/>
      <c r="D56" s="101"/>
      <c r="E56" s="102">
        <f>E57+E61+E63+E66</f>
        <v>8332237735.1399994</v>
      </c>
      <c r="F56" s="102">
        <f>F57+F61+F63+F66</f>
        <v>4150123787.3499999</v>
      </c>
      <c r="G56" s="196">
        <f t="shared" si="6"/>
        <v>0.49808033799221274</v>
      </c>
      <c r="H56" s="102">
        <f>H57+H61+H63+H66</f>
        <v>4150123787.3499999</v>
      </c>
      <c r="I56" s="196">
        <f t="shared" si="7"/>
        <v>0.49808033799221274</v>
      </c>
    </row>
    <row r="57" spans="1:9" ht="24" customHeight="1">
      <c r="A57" s="13"/>
      <c r="B57" s="106">
        <v>12</v>
      </c>
      <c r="C57" s="107" t="s">
        <v>149</v>
      </c>
      <c r="D57" s="108"/>
      <c r="E57" s="109">
        <f>SUM(E58:E60)</f>
        <v>303255000</v>
      </c>
      <c r="F57" s="109">
        <f>SUM(F58:F60)</f>
        <v>301407832</v>
      </c>
      <c r="G57" s="196">
        <f t="shared" si="6"/>
        <v>0.99390886217869445</v>
      </c>
      <c r="H57" s="109">
        <f>SUM(H58:H60)</f>
        <v>301407832</v>
      </c>
      <c r="I57" s="196">
        <f t="shared" si="7"/>
        <v>0.99390886217869445</v>
      </c>
    </row>
    <row r="58" spans="1:9" ht="34.5" customHeight="1">
      <c r="A58" s="7"/>
      <c r="B58" s="27"/>
      <c r="C58" s="22">
        <v>1202</v>
      </c>
      <c r="D58" s="23" t="s">
        <v>150</v>
      </c>
      <c r="E58" s="29">
        <f>'SGTO POAI 2023 NOV-DIC'!BF55</f>
        <v>169255000</v>
      </c>
      <c r="F58" s="29">
        <f>'SGTO POAI 2023 NOV-DIC'!BG55</f>
        <v>167514499</v>
      </c>
      <c r="G58" s="196">
        <f t="shared" si="6"/>
        <v>0.9897166937461227</v>
      </c>
      <c r="H58" s="29">
        <f>'SGTO POAI 2023 NOV-DIC'!BH55</f>
        <v>167514499</v>
      </c>
      <c r="I58" s="196">
        <f t="shared" si="7"/>
        <v>0.9897166937461227</v>
      </c>
    </row>
    <row r="59" spans="1:9" ht="61.5" customHeight="1">
      <c r="A59" s="7"/>
      <c r="B59" s="35"/>
      <c r="C59" s="22">
        <v>1203</v>
      </c>
      <c r="D59" s="23" t="s">
        <v>286</v>
      </c>
      <c r="E59" s="29">
        <f>'SGTO POAI 2023 NOV-DIC'!BF56</f>
        <v>67000000</v>
      </c>
      <c r="F59" s="29">
        <f>'SGTO POAI 2023 NOV-DIC'!BG56</f>
        <v>67000000</v>
      </c>
      <c r="G59" s="196">
        <f t="shared" si="6"/>
        <v>1</v>
      </c>
      <c r="H59" s="29">
        <f>'SGTO POAI 2023 NOV-DIC'!BH56</f>
        <v>67000000</v>
      </c>
      <c r="I59" s="196">
        <f t="shared" si="7"/>
        <v>1</v>
      </c>
    </row>
    <row r="60" spans="1:9" ht="60" customHeight="1">
      <c r="A60" s="7"/>
      <c r="B60" s="31"/>
      <c r="C60" s="22">
        <v>1206</v>
      </c>
      <c r="D60" s="23" t="s">
        <v>292</v>
      </c>
      <c r="E60" s="29">
        <f>'SGTO POAI 2023 NOV-DIC'!BF57</f>
        <v>67000000</v>
      </c>
      <c r="F60" s="29">
        <f>'SGTO POAI 2023 NOV-DIC'!BG57</f>
        <v>66893333</v>
      </c>
      <c r="G60" s="196">
        <f t="shared" si="6"/>
        <v>0.99840795522388059</v>
      </c>
      <c r="H60" s="29">
        <f>'SGTO POAI 2023 NOV-DIC'!BH57</f>
        <v>66893333</v>
      </c>
      <c r="I60" s="196">
        <f t="shared" si="7"/>
        <v>0.99840795522388059</v>
      </c>
    </row>
    <row r="61" spans="1:9" ht="24" customHeight="1">
      <c r="A61" s="41"/>
      <c r="B61" s="117">
        <v>22</v>
      </c>
      <c r="C61" s="107" t="s">
        <v>160</v>
      </c>
      <c r="D61" s="108"/>
      <c r="E61" s="109">
        <f>E62</f>
        <v>118089677</v>
      </c>
      <c r="F61" s="109">
        <f>F62</f>
        <v>117874677</v>
      </c>
      <c r="G61" s="196">
        <f t="shared" si="6"/>
        <v>0.99817934974959754</v>
      </c>
      <c r="H61" s="109">
        <f>H62</f>
        <v>117874677</v>
      </c>
      <c r="I61" s="196">
        <f t="shared" si="7"/>
        <v>0.99817934974959754</v>
      </c>
    </row>
    <row r="62" spans="1:9" ht="75.75" customHeight="1">
      <c r="A62" s="42"/>
      <c r="B62" s="22"/>
      <c r="C62" s="12">
        <v>2201</v>
      </c>
      <c r="D62" s="23" t="s">
        <v>298</v>
      </c>
      <c r="E62" s="29">
        <f>'SGTO POAI 2023 NOV-DIC'!BF58</f>
        <v>118089677</v>
      </c>
      <c r="F62" s="29">
        <f>'SGTO POAI 2023 NOV-DIC'!BG58</f>
        <v>117874677</v>
      </c>
      <c r="G62" s="196">
        <f t="shared" si="6"/>
        <v>0.99817934974959754</v>
      </c>
      <c r="H62" s="29">
        <f>'SGTO POAI 2023 NOV-DIC'!BH58</f>
        <v>117874677</v>
      </c>
      <c r="I62" s="196">
        <f t="shared" si="7"/>
        <v>0.99817934974959754</v>
      </c>
    </row>
    <row r="63" spans="1:9" ht="24" customHeight="1">
      <c r="A63" s="42"/>
      <c r="B63" s="115">
        <v>41</v>
      </c>
      <c r="C63" s="107" t="s">
        <v>304</v>
      </c>
      <c r="D63" s="113"/>
      <c r="E63" s="109">
        <f>SUM(E64:E65)</f>
        <v>532616497</v>
      </c>
      <c r="F63" s="109">
        <f>SUM(F64:F65)</f>
        <v>516301199</v>
      </c>
      <c r="G63" s="196">
        <f t="shared" si="6"/>
        <v>0.96936764427707911</v>
      </c>
      <c r="H63" s="109">
        <f>SUM(H64:H65)</f>
        <v>516301199</v>
      </c>
      <c r="I63" s="196">
        <f t="shared" si="7"/>
        <v>0.96936764427707911</v>
      </c>
    </row>
    <row r="64" spans="1:9" ht="44.25" customHeight="1">
      <c r="A64" s="7"/>
      <c r="B64" s="27"/>
      <c r="C64" s="22">
        <v>4101</v>
      </c>
      <c r="D64" s="23" t="s">
        <v>305</v>
      </c>
      <c r="E64" s="29">
        <f>'SGTO POAI 2023 NOV-DIC'!BF59+'SGTO POAI 2023 NOV-DIC'!BF60+'SGTO POAI 2023 NOV-DIC'!BF61+'SGTO POAI 2023 NOV-DIC'!BF62+'SGTO POAI 2023 NOV-DIC'!BF63</f>
        <v>497116497</v>
      </c>
      <c r="F64" s="29">
        <f>'SGTO POAI 2023 NOV-DIC'!BG59+'SGTO POAI 2023 NOV-DIC'!BG60+'SGTO POAI 2023 NOV-DIC'!BG61+'SGTO POAI 2023 NOV-DIC'!BG62+'SGTO POAI 2023 NOV-DIC'!BG63</f>
        <v>481317866</v>
      </c>
      <c r="G64" s="196">
        <f t="shared" si="6"/>
        <v>0.96821945943186027</v>
      </c>
      <c r="H64" s="29">
        <f>'SGTO POAI 2023 NOV-DIC'!BH59+'SGTO POAI 2023 NOV-DIC'!BH60+'SGTO POAI 2023 NOV-DIC'!BH61+'SGTO POAI 2023 NOV-DIC'!BH62+'SGTO POAI 2023 NOV-DIC'!BH63</f>
        <v>481317866</v>
      </c>
      <c r="I64" s="196">
        <f t="shared" si="7"/>
        <v>0.96821945943186027</v>
      </c>
    </row>
    <row r="65" spans="1:9" ht="57" customHeight="1">
      <c r="A65" s="7"/>
      <c r="B65" s="31"/>
      <c r="C65" s="22">
        <v>4103</v>
      </c>
      <c r="D65" s="23" t="s">
        <v>322</v>
      </c>
      <c r="E65" s="29">
        <f>'SGTO POAI 2023 NOV-DIC'!BF64</f>
        <v>35500000</v>
      </c>
      <c r="F65" s="29">
        <f>'SGTO POAI 2023 NOV-DIC'!BG64</f>
        <v>34983333</v>
      </c>
      <c r="G65" s="196">
        <f t="shared" si="6"/>
        <v>0.98544600000000004</v>
      </c>
      <c r="H65" s="29">
        <f>'SGTO POAI 2023 NOV-DIC'!BH64</f>
        <v>34983333</v>
      </c>
      <c r="I65" s="196">
        <f t="shared" si="7"/>
        <v>0.98544600000000004</v>
      </c>
    </row>
    <row r="66" spans="1:9" ht="24" customHeight="1">
      <c r="A66" s="41"/>
      <c r="B66" s="117">
        <v>45</v>
      </c>
      <c r="C66" s="107" t="s">
        <v>60</v>
      </c>
      <c r="D66" s="113"/>
      <c r="E66" s="109">
        <f>E67</f>
        <v>7378276561.1399994</v>
      </c>
      <c r="F66" s="109">
        <f>F67</f>
        <v>3214540079.3499999</v>
      </c>
      <c r="G66" s="196">
        <f t="shared" si="6"/>
        <v>0.43567627923848512</v>
      </c>
      <c r="H66" s="109">
        <f>H67</f>
        <v>3214540079.3499999</v>
      </c>
      <c r="I66" s="196">
        <f t="shared" si="7"/>
        <v>0.43567627923848512</v>
      </c>
    </row>
    <row r="67" spans="1:9" ht="53.25" customHeight="1">
      <c r="A67" s="37"/>
      <c r="B67" s="22"/>
      <c r="C67" s="12">
        <v>4501</v>
      </c>
      <c r="D67" s="23" t="s">
        <v>331</v>
      </c>
      <c r="E67" s="29">
        <f>'SGTO POAI 2023 NOV-DIC'!BF65+'SGTO POAI 2023 NOV-DIC'!BF66</f>
        <v>7378276561.1399994</v>
      </c>
      <c r="F67" s="29">
        <f>'SGTO POAI 2023 NOV-DIC'!BG65+'SGTO POAI 2023 NOV-DIC'!BG66</f>
        <v>3214540079.3499999</v>
      </c>
      <c r="G67" s="196">
        <f t="shared" si="6"/>
        <v>0.43567627923848512</v>
      </c>
      <c r="H67" s="29">
        <f>'SGTO POAI 2023 NOV-DIC'!BH65+'SGTO POAI 2023 NOV-DIC'!BH66</f>
        <v>3214540079.3499999</v>
      </c>
      <c r="I67" s="196">
        <f t="shared" si="7"/>
        <v>0.43567627923848512</v>
      </c>
    </row>
    <row r="68" spans="1:9" ht="24" customHeight="1">
      <c r="A68" s="100">
        <v>3</v>
      </c>
      <c r="B68" s="101" t="s">
        <v>1290</v>
      </c>
      <c r="C68" s="101"/>
      <c r="D68" s="101"/>
      <c r="E68" s="102">
        <f>E69+E71</f>
        <v>838661482</v>
      </c>
      <c r="F68" s="102">
        <f>F69+F71</f>
        <v>694406033</v>
      </c>
      <c r="G68" s="196">
        <f t="shared" si="6"/>
        <v>0.82799323434291217</v>
      </c>
      <c r="H68" s="102">
        <f>H69+H71</f>
        <v>694406033</v>
      </c>
      <c r="I68" s="196">
        <f t="shared" si="7"/>
        <v>0.82799323434291217</v>
      </c>
    </row>
    <row r="69" spans="1:9" ht="24" customHeight="1">
      <c r="A69" s="13"/>
      <c r="B69" s="106">
        <v>32</v>
      </c>
      <c r="C69" s="107" t="s">
        <v>227</v>
      </c>
      <c r="D69" s="108"/>
      <c r="E69" s="109">
        <f>E70</f>
        <v>144630832</v>
      </c>
      <c r="F69" s="109">
        <f>F70</f>
        <v>143829165</v>
      </c>
      <c r="G69" s="196">
        <f t="shared" si="6"/>
        <v>0.99445715004944446</v>
      </c>
      <c r="H69" s="109">
        <f>H70</f>
        <v>143829165</v>
      </c>
      <c r="I69" s="196">
        <f t="shared" si="7"/>
        <v>0.99445715004944446</v>
      </c>
    </row>
    <row r="70" spans="1:9" ht="46.5" customHeight="1">
      <c r="A70" s="35"/>
      <c r="B70" s="22"/>
      <c r="C70" s="12">
        <v>3205</v>
      </c>
      <c r="D70" s="23" t="s">
        <v>228</v>
      </c>
      <c r="E70" s="29">
        <f>'SGTO POAI 2023 NOV-DIC'!BF67</f>
        <v>144630832</v>
      </c>
      <c r="F70" s="29">
        <f>'SGTO POAI 2023 NOV-DIC'!BG67</f>
        <v>143829165</v>
      </c>
      <c r="G70" s="196">
        <f t="shared" si="6"/>
        <v>0.99445715004944446</v>
      </c>
      <c r="H70" s="29">
        <f>'SGTO POAI 2023 NOV-DIC'!BH67</f>
        <v>143829165</v>
      </c>
      <c r="I70" s="196">
        <f t="shared" si="7"/>
        <v>0.99445715004944446</v>
      </c>
    </row>
    <row r="71" spans="1:9" ht="24" customHeight="1">
      <c r="A71" s="40"/>
      <c r="B71" s="112">
        <v>45</v>
      </c>
      <c r="C71" s="107" t="s">
        <v>60</v>
      </c>
      <c r="D71" s="113"/>
      <c r="E71" s="109">
        <f>E72</f>
        <v>694030650</v>
      </c>
      <c r="F71" s="109">
        <f>F72</f>
        <v>550576868</v>
      </c>
      <c r="G71" s="196">
        <f t="shared" si="6"/>
        <v>0.79330339085168644</v>
      </c>
      <c r="H71" s="109">
        <f>H72</f>
        <v>550576868</v>
      </c>
      <c r="I71" s="196">
        <f t="shared" si="7"/>
        <v>0.79330339085168644</v>
      </c>
    </row>
    <row r="72" spans="1:9" ht="61.5" customHeight="1">
      <c r="A72" s="31"/>
      <c r="B72" s="22"/>
      <c r="C72" s="12">
        <v>4503</v>
      </c>
      <c r="D72" s="23" t="s">
        <v>1293</v>
      </c>
      <c r="E72" s="29">
        <f>'SGTO POAI 2023 NOV-DIC'!BF68+'SGTO POAI 2023 NOV-DIC'!BF69+'SGTO POAI 2023 NOV-DIC'!BF70</f>
        <v>694030650</v>
      </c>
      <c r="F72" s="29">
        <f>'SGTO POAI 2023 NOV-DIC'!BG68+'SGTO POAI 2023 NOV-DIC'!BG69+'SGTO POAI 2023 NOV-DIC'!BG70</f>
        <v>550576868</v>
      </c>
      <c r="G72" s="196">
        <f t="shared" si="6"/>
        <v>0.79330339085168644</v>
      </c>
      <c r="H72" s="29">
        <f>'SGTO POAI 2023 NOV-DIC'!BH68+'SGTO POAI 2023 NOV-DIC'!BH69+'SGTO POAI 2023 NOV-DIC'!BH70</f>
        <v>550576868</v>
      </c>
      <c r="I72" s="196">
        <f t="shared" si="7"/>
        <v>0.79330339085168644</v>
      </c>
    </row>
    <row r="73" spans="1:9" ht="24" customHeight="1">
      <c r="A73" s="100">
        <v>4</v>
      </c>
      <c r="B73" s="101" t="s">
        <v>1280</v>
      </c>
      <c r="C73" s="101"/>
      <c r="D73" s="101"/>
      <c r="E73" s="102">
        <f>E74</f>
        <v>788266832</v>
      </c>
      <c r="F73" s="102">
        <f t="shared" ref="F73:H74" si="8">F74</f>
        <v>761629884</v>
      </c>
      <c r="G73" s="196">
        <f t="shared" si="6"/>
        <v>0.96620820904969906</v>
      </c>
      <c r="H73" s="102">
        <f t="shared" si="8"/>
        <v>761629884</v>
      </c>
      <c r="I73" s="196">
        <f t="shared" si="7"/>
        <v>0.96620820904969906</v>
      </c>
    </row>
    <row r="74" spans="1:9" ht="24" customHeight="1">
      <c r="A74" s="13"/>
      <c r="B74" s="106">
        <v>45</v>
      </c>
      <c r="C74" s="107" t="s">
        <v>60</v>
      </c>
      <c r="D74" s="108"/>
      <c r="E74" s="109">
        <f>E75</f>
        <v>788266832</v>
      </c>
      <c r="F74" s="109">
        <f t="shared" si="8"/>
        <v>761629884</v>
      </c>
      <c r="G74" s="196">
        <f t="shared" si="6"/>
        <v>0.96620820904969906</v>
      </c>
      <c r="H74" s="109">
        <f t="shared" si="8"/>
        <v>761629884</v>
      </c>
      <c r="I74" s="196">
        <f t="shared" si="7"/>
        <v>0.96620820904969906</v>
      </c>
    </row>
    <row r="75" spans="1:9" ht="71.25" customHeight="1">
      <c r="A75" s="31"/>
      <c r="B75" s="22"/>
      <c r="C75" s="12">
        <v>4502</v>
      </c>
      <c r="D75" s="23" t="s">
        <v>1281</v>
      </c>
      <c r="E75" s="21">
        <f>'SGTO POAI 2023 NOV-DIC'!BF71+'SGTO POAI 2023 NOV-DIC'!BF72+'SGTO POAI 2023 NOV-DIC'!BF73+'SGTO POAI 2023 NOV-DIC'!BF74+'SGTO POAI 2023 NOV-DIC'!BF75</f>
        <v>788266832</v>
      </c>
      <c r="F75" s="21">
        <f>'SGTO POAI 2023 NOV-DIC'!BG71+'SGTO POAI 2023 NOV-DIC'!BG72+'SGTO POAI 2023 NOV-DIC'!BG73+'SGTO POAI 2023 NOV-DIC'!BG74+'SGTO POAI 2023 NOV-DIC'!BG75</f>
        <v>761629884</v>
      </c>
      <c r="G75" s="196">
        <f t="shared" si="6"/>
        <v>0.96620820904969906</v>
      </c>
      <c r="H75" s="21">
        <f>'SGTO POAI 2023 NOV-DIC'!BH71+'SGTO POAI 2023 NOV-DIC'!BH72+'SGTO POAI 2023 NOV-DIC'!BH73+'SGTO POAI 2023 NOV-DIC'!BH74+'SGTO POAI 2023 NOV-DIC'!BH75</f>
        <v>761629884</v>
      </c>
      <c r="I75" s="196">
        <f t="shared" si="7"/>
        <v>0.96620820904969906</v>
      </c>
    </row>
    <row r="76" spans="1:9" s="39" customFormat="1">
      <c r="A76" s="5"/>
      <c r="B76" s="5"/>
      <c r="C76" s="5"/>
      <c r="D76" s="6"/>
      <c r="E76" s="38"/>
      <c r="F76" s="38"/>
      <c r="G76" s="38"/>
      <c r="H76" s="38"/>
    </row>
    <row r="77" spans="1:9" ht="24" customHeight="1">
      <c r="A77" s="56" t="s">
        <v>1294</v>
      </c>
      <c r="B77" s="62"/>
      <c r="C77" s="62"/>
      <c r="D77" s="63"/>
      <c r="E77" s="64">
        <f>E78</f>
        <v>4901071565.04</v>
      </c>
      <c r="F77" s="64">
        <f t="shared" ref="F77:H78" si="9">F78</f>
        <v>4614573853.3000002</v>
      </c>
      <c r="G77" s="196">
        <f>F77/E77</f>
        <v>0.94154386281897484</v>
      </c>
      <c r="H77" s="64">
        <f t="shared" si="9"/>
        <v>4539496197.1700001</v>
      </c>
      <c r="I77" s="196">
        <f>H77/E77</f>
        <v>0.92622524215945645</v>
      </c>
    </row>
    <row r="78" spans="1:9" ht="24" customHeight="1">
      <c r="A78" s="100">
        <v>1</v>
      </c>
      <c r="B78" s="101" t="s">
        <v>1286</v>
      </c>
      <c r="C78" s="101"/>
      <c r="D78" s="101"/>
      <c r="E78" s="102">
        <f>E79</f>
        <v>4901071565.04</v>
      </c>
      <c r="F78" s="102">
        <f t="shared" si="9"/>
        <v>4614573853.3000002</v>
      </c>
      <c r="G78" s="196">
        <f>F78/E78</f>
        <v>0.94154386281897484</v>
      </c>
      <c r="H78" s="102">
        <f t="shared" si="9"/>
        <v>4539496197.1700001</v>
      </c>
      <c r="I78" s="196">
        <f>H78/E78</f>
        <v>0.92622524215945645</v>
      </c>
    </row>
    <row r="79" spans="1:9" ht="24" customHeight="1">
      <c r="A79" s="13"/>
      <c r="B79" s="106">
        <v>33</v>
      </c>
      <c r="C79" s="116" t="s">
        <v>170</v>
      </c>
      <c r="D79" s="108"/>
      <c r="E79" s="109">
        <f>SUM(E80:E81)</f>
        <v>4901071565.04</v>
      </c>
      <c r="F79" s="109">
        <f>SUM(F80:F81)</f>
        <v>4614573853.3000002</v>
      </c>
      <c r="G79" s="196">
        <f>F79/E79</f>
        <v>0.94154386281897484</v>
      </c>
      <c r="H79" s="109">
        <f>SUM(H80:H81)</f>
        <v>4539496197.1700001</v>
      </c>
      <c r="I79" s="196">
        <f>H79/E79</f>
        <v>0.92622524215945645</v>
      </c>
    </row>
    <row r="80" spans="1:9" ht="46.5" customHeight="1">
      <c r="A80" s="26"/>
      <c r="B80" s="27"/>
      <c r="C80" s="22">
        <v>3301</v>
      </c>
      <c r="D80" s="23" t="s">
        <v>171</v>
      </c>
      <c r="E80" s="29">
        <f>'SGTO POAI 2023 NOV-DIC'!BF76+'SGTO POAI 2023 NOV-DIC'!BF77+'SGTO POAI 2023 NOV-DIC'!BF78+'SGTO POAI 2023 NOV-DIC'!BF79+'SGTO POAI 2023 NOV-DIC'!BF80+'SGTO POAI 2023 NOV-DIC'!BF81+'SGTO POAI 2023 NOV-DIC'!BF82+'SGTO POAI 2023 NOV-DIC'!BF83</f>
        <v>4584212143.04</v>
      </c>
      <c r="F80" s="29">
        <f>'SGTO POAI 2023 NOV-DIC'!BG76+'SGTO POAI 2023 NOV-DIC'!BG77+'SGTO POAI 2023 NOV-DIC'!BG78+'SGTO POAI 2023 NOV-DIC'!BG79+'SGTO POAI 2023 NOV-DIC'!BG80+'SGTO POAI 2023 NOV-DIC'!BG81+'SGTO POAI 2023 NOV-DIC'!BG82+'SGTO POAI 2023 NOV-DIC'!BG83</f>
        <v>4304068520.3000002</v>
      </c>
      <c r="G80" s="196">
        <f>F80/E80</f>
        <v>0.93888947238942044</v>
      </c>
      <c r="H80" s="29">
        <f>'SGTO POAI 2023 NOV-DIC'!BH76+'SGTO POAI 2023 NOV-DIC'!BH77+'SGTO POAI 2023 NOV-DIC'!BH78+'SGTO POAI 2023 NOV-DIC'!BH79+'SGTO POAI 2023 NOV-DIC'!BH80+'SGTO POAI 2023 NOV-DIC'!BH81+'SGTO POAI 2023 NOV-DIC'!BH82+'SGTO POAI 2023 NOV-DIC'!BH83</f>
        <v>4260640864.1700001</v>
      </c>
      <c r="I80" s="196">
        <f>H80/E80</f>
        <v>0.92941616383062386</v>
      </c>
    </row>
    <row r="81" spans="1:9" ht="51" customHeight="1">
      <c r="A81" s="30"/>
      <c r="B81" s="31"/>
      <c r="C81" s="22">
        <v>3302</v>
      </c>
      <c r="D81" s="23" t="s">
        <v>407</v>
      </c>
      <c r="E81" s="21">
        <f>'SGTO POAI 2023 NOV-DIC'!BF84+'SGTO POAI 2023 NOV-DIC'!BF85</f>
        <v>316859422</v>
      </c>
      <c r="F81" s="21">
        <f>'SGTO POAI 2023 NOV-DIC'!BG84+'SGTO POAI 2023 NOV-DIC'!BG85</f>
        <v>310505333</v>
      </c>
      <c r="G81" s="196">
        <f>F81/E81</f>
        <v>0.97994666227725424</v>
      </c>
      <c r="H81" s="21">
        <f>'SGTO POAI 2023 NOV-DIC'!BH84+'SGTO POAI 2023 NOV-DIC'!BH85</f>
        <v>278855333</v>
      </c>
      <c r="I81" s="196">
        <f>H81/E81</f>
        <v>0.88006009491489889</v>
      </c>
    </row>
    <row r="82" spans="1:9" s="39" customFormat="1">
      <c r="A82" s="5"/>
      <c r="B82" s="5"/>
      <c r="C82" s="5"/>
      <c r="D82" s="6"/>
      <c r="E82" s="38"/>
      <c r="F82" s="38"/>
      <c r="G82" s="38"/>
      <c r="H82" s="38"/>
    </row>
    <row r="83" spans="1:9" ht="24" customHeight="1">
      <c r="A83" s="56" t="s">
        <v>1295</v>
      </c>
      <c r="B83" s="62"/>
      <c r="C83" s="62"/>
      <c r="D83" s="63"/>
      <c r="E83" s="64">
        <f>E84</f>
        <v>4131910173.9000001</v>
      </c>
      <c r="F83" s="64">
        <f>F84</f>
        <v>3610948837.3400002</v>
      </c>
      <c r="G83" s="196">
        <f t="shared" ref="G83:G88" si="10">F83/E83</f>
        <v>0.87391755516594927</v>
      </c>
      <c r="H83" s="64">
        <f>H84</f>
        <v>3448562599.3400002</v>
      </c>
      <c r="I83" s="196">
        <f t="shared" ref="I83:I88" si="11">H83/E83</f>
        <v>0.83461703042905055</v>
      </c>
    </row>
    <row r="84" spans="1:9" ht="24" customHeight="1">
      <c r="A84" s="100">
        <v>2</v>
      </c>
      <c r="B84" s="101" t="s">
        <v>1288</v>
      </c>
      <c r="C84" s="101"/>
      <c r="D84" s="101"/>
      <c r="E84" s="102">
        <f>E85+E87</f>
        <v>4131910173.9000001</v>
      </c>
      <c r="F84" s="102">
        <f>F85+F87</f>
        <v>3610948837.3400002</v>
      </c>
      <c r="G84" s="196">
        <f t="shared" si="10"/>
        <v>0.87391755516594927</v>
      </c>
      <c r="H84" s="102">
        <f>H85+H87</f>
        <v>3448562599.3400002</v>
      </c>
      <c r="I84" s="196">
        <f t="shared" si="11"/>
        <v>0.83461703042905055</v>
      </c>
    </row>
    <row r="85" spans="1:9" ht="24" customHeight="1">
      <c r="A85" s="13"/>
      <c r="B85" s="106">
        <v>35</v>
      </c>
      <c r="C85" s="107" t="s">
        <v>418</v>
      </c>
      <c r="D85" s="108"/>
      <c r="E85" s="109">
        <f>E86</f>
        <v>3317060007.9000001</v>
      </c>
      <c r="F85" s="109">
        <f>F86</f>
        <v>2872093203.3400002</v>
      </c>
      <c r="G85" s="196">
        <f t="shared" si="10"/>
        <v>0.86585506336929241</v>
      </c>
      <c r="H85" s="109">
        <f>H86</f>
        <v>2781726965.3400002</v>
      </c>
      <c r="I85" s="196">
        <f t="shared" si="11"/>
        <v>0.83861219233748074</v>
      </c>
    </row>
    <row r="86" spans="1:9" ht="53.25" customHeight="1">
      <c r="A86" s="35"/>
      <c r="B86" s="22"/>
      <c r="C86" s="14">
        <v>3502</v>
      </c>
      <c r="D86" s="23" t="s">
        <v>1296</v>
      </c>
      <c r="E86" s="29">
        <f>'SGTO POAI 2023 NOV-DIC'!BF86+'SGTO POAI 2023 NOV-DIC'!BF87+'SGTO POAI 2023 NOV-DIC'!BF88+'SGTO POAI 2023 NOV-DIC'!BF89+'SGTO POAI 2023 NOV-DIC'!BF90+'SGTO POAI 2023 NOV-DIC'!BF91+'SGTO POAI 2023 NOV-DIC'!BF96</f>
        <v>3317060007.9000001</v>
      </c>
      <c r="F86" s="29">
        <f>'SGTO POAI 2023 NOV-DIC'!BG86+'SGTO POAI 2023 NOV-DIC'!BG87+'SGTO POAI 2023 NOV-DIC'!BG88+'SGTO POAI 2023 NOV-DIC'!BG89+'SGTO POAI 2023 NOV-DIC'!BG90+'SGTO POAI 2023 NOV-DIC'!BG91+'SGTO POAI 2023 NOV-DIC'!BG96</f>
        <v>2872093203.3400002</v>
      </c>
      <c r="G86" s="196">
        <f t="shared" si="10"/>
        <v>0.86585506336929241</v>
      </c>
      <c r="H86" s="29">
        <f>'SGTO POAI 2023 NOV-DIC'!BH86+'SGTO POAI 2023 NOV-DIC'!BH87+'SGTO POAI 2023 NOV-DIC'!BH88+'SGTO POAI 2023 NOV-DIC'!BH89+'SGTO POAI 2023 NOV-DIC'!BH90+'SGTO POAI 2023 NOV-DIC'!BH91+'SGTO POAI 2023 NOV-DIC'!BH96</f>
        <v>2781726965.3400002</v>
      </c>
      <c r="I86" s="196">
        <f t="shared" si="11"/>
        <v>0.83861219233748074</v>
      </c>
    </row>
    <row r="87" spans="1:9" ht="24" customHeight="1">
      <c r="A87" s="40"/>
      <c r="B87" s="112">
        <v>36</v>
      </c>
      <c r="C87" s="114" t="s">
        <v>446</v>
      </c>
      <c r="D87" s="108"/>
      <c r="E87" s="109">
        <f>E88</f>
        <v>814850166</v>
      </c>
      <c r="F87" s="109">
        <f>F88</f>
        <v>738855634</v>
      </c>
      <c r="G87" s="196">
        <f t="shared" si="10"/>
        <v>0.90673802967599815</v>
      </c>
      <c r="H87" s="109">
        <f>H88</f>
        <v>666835634</v>
      </c>
      <c r="I87" s="196">
        <f t="shared" si="11"/>
        <v>0.81835368246092988</v>
      </c>
    </row>
    <row r="88" spans="1:9" ht="53.25" customHeight="1">
      <c r="A88" s="31"/>
      <c r="B88" s="22"/>
      <c r="C88" s="14">
        <v>3602</v>
      </c>
      <c r="D88" s="23" t="s">
        <v>447</v>
      </c>
      <c r="E88" s="29">
        <f>'SGTO POAI 2023 NOV-DIC'!BF92+'SGTO POAI 2023 NOV-DIC'!BF93+'SGTO POAI 2023 NOV-DIC'!BF94+'SGTO POAI 2023 NOV-DIC'!BF95</f>
        <v>814850166</v>
      </c>
      <c r="F88" s="29">
        <f>'SGTO POAI 2023 NOV-DIC'!BG92+'SGTO POAI 2023 NOV-DIC'!BG93+'SGTO POAI 2023 NOV-DIC'!BG94+'SGTO POAI 2023 NOV-DIC'!BG95</f>
        <v>738855634</v>
      </c>
      <c r="G88" s="196">
        <f t="shared" si="10"/>
        <v>0.90673802967599815</v>
      </c>
      <c r="H88" s="29">
        <f>'SGTO POAI 2023 NOV-DIC'!BH92+'SGTO POAI 2023 NOV-DIC'!BH93+'SGTO POAI 2023 NOV-DIC'!BH94+'SGTO POAI 2023 NOV-DIC'!BH95</f>
        <v>666835634</v>
      </c>
      <c r="I88" s="196">
        <f t="shared" si="11"/>
        <v>0.81835368246092988</v>
      </c>
    </row>
    <row r="89" spans="1:9" s="39" customFormat="1">
      <c r="A89" s="5"/>
      <c r="B89" s="5"/>
      <c r="C89" s="5"/>
      <c r="D89" s="6"/>
      <c r="E89" s="38"/>
      <c r="F89" s="38"/>
      <c r="G89" s="38"/>
      <c r="H89" s="38"/>
    </row>
    <row r="90" spans="1:9" ht="24" customHeight="1">
      <c r="A90" s="56" t="s">
        <v>1297</v>
      </c>
      <c r="B90" s="62"/>
      <c r="C90" s="62"/>
      <c r="D90" s="63"/>
      <c r="E90" s="64">
        <f>E91+E102</f>
        <v>5930194939</v>
      </c>
      <c r="F90" s="64">
        <f>F91+F102</f>
        <v>3783341171.8400002</v>
      </c>
      <c r="G90" s="196">
        <f t="shared" ref="G90:G108" si="12">F90/E90</f>
        <v>0.63797922509407079</v>
      </c>
      <c r="H90" s="64">
        <f>H91+H102</f>
        <v>3783341171.8400002</v>
      </c>
      <c r="I90" s="196">
        <f t="shared" ref="I90:I108" si="13">H90/E90</f>
        <v>0.63797922509407079</v>
      </c>
    </row>
    <row r="91" spans="1:9" ht="24" customHeight="1">
      <c r="A91" s="100">
        <v>2</v>
      </c>
      <c r="B91" s="101" t="s">
        <v>1288</v>
      </c>
      <c r="C91" s="101"/>
      <c r="D91" s="101"/>
      <c r="E91" s="102">
        <f>E92+E100</f>
        <v>2375075666.6700001</v>
      </c>
      <c r="F91" s="102">
        <f>F92+F100</f>
        <v>2259387784.8400002</v>
      </c>
      <c r="G91" s="196">
        <f t="shared" si="12"/>
        <v>0.95129086476971014</v>
      </c>
      <c r="H91" s="102">
        <f>H92+H100</f>
        <v>2259387784.8400002</v>
      </c>
      <c r="I91" s="196">
        <f t="shared" si="13"/>
        <v>0.95129086476971014</v>
      </c>
    </row>
    <row r="92" spans="1:9" ht="24" customHeight="1">
      <c r="A92" s="13"/>
      <c r="B92" s="106">
        <v>17</v>
      </c>
      <c r="C92" s="107" t="s">
        <v>201</v>
      </c>
      <c r="D92" s="108"/>
      <c r="E92" s="109">
        <f>SUM(E93:E99)</f>
        <v>2253789000.6700001</v>
      </c>
      <c r="F92" s="109">
        <f>SUM(F93:F99)</f>
        <v>2158281287.8400002</v>
      </c>
      <c r="G92" s="196">
        <f t="shared" si="12"/>
        <v>0.95762348968709687</v>
      </c>
      <c r="H92" s="109">
        <f>SUM(H93:H99)</f>
        <v>2158281287.8400002</v>
      </c>
      <c r="I92" s="196">
        <f t="shared" si="13"/>
        <v>0.95762348968709687</v>
      </c>
    </row>
    <row r="93" spans="1:9" ht="57.75" customHeight="1">
      <c r="A93" s="35"/>
      <c r="B93" s="36"/>
      <c r="C93" s="22">
        <v>1702</v>
      </c>
      <c r="D93" s="23" t="s">
        <v>464</v>
      </c>
      <c r="E93" s="29">
        <f>SUM('SGTO POAI 2023 NOV-DIC'!AT97:AT107)</f>
        <v>1625149038.6700001</v>
      </c>
      <c r="F93" s="29">
        <f>SUM('SGTO POAI 2023 NOV-DIC'!AU97:AU107)</f>
        <v>1553852080</v>
      </c>
      <c r="G93" s="196">
        <f t="shared" si="12"/>
        <v>0.95612897219054538</v>
      </c>
      <c r="H93" s="29">
        <f>SUM('SGTO POAI 2023 NOV-DIC'!AV97:AV107)</f>
        <v>1553852080</v>
      </c>
      <c r="I93" s="196">
        <f t="shared" si="13"/>
        <v>0.95612897219054538</v>
      </c>
    </row>
    <row r="94" spans="1:9" ht="54" customHeight="1">
      <c r="A94" s="35"/>
      <c r="B94" s="42"/>
      <c r="C94" s="22">
        <v>1703</v>
      </c>
      <c r="D94" s="23" t="s">
        <v>507</v>
      </c>
      <c r="E94" s="29">
        <f>'SGTO POAI 2023 NOV-DIC'!BF108</f>
        <v>61807909</v>
      </c>
      <c r="F94" s="29">
        <f>'SGTO POAI 2023 NOV-DIC'!BG108</f>
        <v>56667500</v>
      </c>
      <c r="G94" s="196">
        <f t="shared" si="12"/>
        <v>0.91683250439680786</v>
      </c>
      <c r="H94" s="29">
        <f>'SGTO POAI 2023 NOV-DIC'!BH108</f>
        <v>56667500</v>
      </c>
      <c r="I94" s="196">
        <f t="shared" si="13"/>
        <v>0.91683250439680786</v>
      </c>
    </row>
    <row r="95" spans="1:9" ht="62.25" customHeight="1">
      <c r="A95" s="35"/>
      <c r="B95" s="42"/>
      <c r="C95" s="22">
        <v>1704</v>
      </c>
      <c r="D95" s="23" t="s">
        <v>514</v>
      </c>
      <c r="E95" s="29">
        <f>'SGTO POAI 2023 NOV-DIC'!BF109+'SGTO POAI 2023 NOV-DIC'!BF110</f>
        <v>162072092.67000002</v>
      </c>
      <c r="F95" s="29">
        <f>'SGTO POAI 2023 NOV-DIC'!BG109+'SGTO POAI 2023 NOV-DIC'!BG110</f>
        <v>159277498.66</v>
      </c>
      <c r="G95" s="196">
        <f t="shared" si="12"/>
        <v>0.98275709306913084</v>
      </c>
      <c r="H95" s="29">
        <f>'SGTO POAI 2023 NOV-DIC'!BH109+'SGTO POAI 2023 NOV-DIC'!BH110</f>
        <v>159277498.66</v>
      </c>
      <c r="I95" s="196">
        <f t="shared" si="13"/>
        <v>0.98275709306913084</v>
      </c>
    </row>
    <row r="96" spans="1:9" ht="42" customHeight="1">
      <c r="A96" s="35"/>
      <c r="B96" s="42"/>
      <c r="C96" s="22">
        <v>1706</v>
      </c>
      <c r="D96" s="23" t="s">
        <v>523</v>
      </c>
      <c r="E96" s="29">
        <f>'SGTO POAI 2023 NOV-DIC'!BF111</f>
        <v>106000000</v>
      </c>
      <c r="F96" s="29">
        <f>'SGTO POAI 2023 NOV-DIC'!BG111</f>
        <v>103000000</v>
      </c>
      <c r="G96" s="196">
        <f t="shared" si="12"/>
        <v>0.97169811320754718</v>
      </c>
      <c r="H96" s="29">
        <f>'SGTO POAI 2023 NOV-DIC'!BH111</f>
        <v>103000000</v>
      </c>
      <c r="I96" s="196">
        <f t="shared" si="13"/>
        <v>0.97169811320754718</v>
      </c>
    </row>
    <row r="97" spans="1:9" ht="57" customHeight="1">
      <c r="A97" s="35"/>
      <c r="B97" s="42"/>
      <c r="C97" s="22">
        <v>1707</v>
      </c>
      <c r="D97" s="23" t="s">
        <v>530</v>
      </c>
      <c r="E97" s="29">
        <f>'SGTO POAI 2023 NOV-DIC'!BF112</f>
        <v>72725000</v>
      </c>
      <c r="F97" s="29">
        <f>'SGTO POAI 2023 NOV-DIC'!BG112</f>
        <v>72664173</v>
      </c>
      <c r="G97" s="196">
        <f t="shared" si="12"/>
        <v>0.99916360261258164</v>
      </c>
      <c r="H97" s="29">
        <f>'SGTO POAI 2023 NOV-DIC'!BH112</f>
        <v>72664173</v>
      </c>
      <c r="I97" s="196">
        <f t="shared" si="13"/>
        <v>0.99916360261258164</v>
      </c>
    </row>
    <row r="98" spans="1:9" ht="60.75" customHeight="1">
      <c r="A98" s="35"/>
      <c r="B98" s="42"/>
      <c r="C98" s="22">
        <v>1708</v>
      </c>
      <c r="D98" s="23" t="s">
        <v>537</v>
      </c>
      <c r="E98" s="29">
        <f>'SGTO POAI 2023 NOV-DIC'!BF113+'SGTO POAI 2023 NOV-DIC'!BF114</f>
        <v>83358333.329999998</v>
      </c>
      <c r="F98" s="29">
        <f>'SGTO POAI 2023 NOV-DIC'!BG113+'SGTO POAI 2023 NOV-DIC'!BG114</f>
        <v>82900000</v>
      </c>
      <c r="G98" s="196">
        <f t="shared" si="12"/>
        <v>0.9945016495449166</v>
      </c>
      <c r="H98" s="29">
        <f>'SGTO POAI 2023 NOV-DIC'!BH113+'SGTO POAI 2023 NOV-DIC'!BH114</f>
        <v>82900000</v>
      </c>
      <c r="I98" s="196">
        <f t="shared" si="13"/>
        <v>0.9945016495449166</v>
      </c>
    </row>
    <row r="99" spans="1:9" ht="42" customHeight="1">
      <c r="A99" s="35"/>
      <c r="B99" s="37"/>
      <c r="C99" s="22">
        <v>1709</v>
      </c>
      <c r="D99" s="23" t="s">
        <v>202</v>
      </c>
      <c r="E99" s="29">
        <f>'SGTO POAI 2023 NOV-DIC'!BF115+'SGTO POAI 2023 NOV-DIC'!BF116+'SGTO POAI 2023 NOV-DIC'!BF117</f>
        <v>142676627</v>
      </c>
      <c r="F99" s="29">
        <f>'SGTO POAI 2023 NOV-DIC'!BG115+'SGTO POAI 2023 NOV-DIC'!BG116+'SGTO POAI 2023 NOV-DIC'!BG117</f>
        <v>129920036.18000001</v>
      </c>
      <c r="G99" s="196">
        <f t="shared" si="12"/>
        <v>0.91059088591994819</v>
      </c>
      <c r="H99" s="29">
        <f>'SGTO POAI 2023 NOV-DIC'!BH115+'SGTO POAI 2023 NOV-DIC'!BH116+'SGTO POAI 2023 NOV-DIC'!BH117</f>
        <v>129920036.18000001</v>
      </c>
      <c r="I99" s="196">
        <f t="shared" si="13"/>
        <v>0.91059088591994819</v>
      </c>
    </row>
    <row r="100" spans="1:9" ht="24" customHeight="1">
      <c r="A100" s="40"/>
      <c r="B100" s="117">
        <v>35</v>
      </c>
      <c r="C100" s="107" t="s">
        <v>418</v>
      </c>
      <c r="D100" s="113"/>
      <c r="E100" s="109">
        <f>E101</f>
        <v>121286666</v>
      </c>
      <c r="F100" s="109">
        <f>F101</f>
        <v>101106497</v>
      </c>
      <c r="G100" s="196">
        <f t="shared" si="12"/>
        <v>0.8336159310372997</v>
      </c>
      <c r="H100" s="109">
        <f>H101</f>
        <v>101106497</v>
      </c>
      <c r="I100" s="196">
        <f t="shared" si="13"/>
        <v>0.8336159310372997</v>
      </c>
    </row>
    <row r="101" spans="1:9" ht="73.5" customHeight="1">
      <c r="A101" s="31"/>
      <c r="B101" s="22"/>
      <c r="C101" s="12">
        <v>3502</v>
      </c>
      <c r="D101" s="23" t="s">
        <v>1296</v>
      </c>
      <c r="E101" s="29">
        <f>'SGTO POAI 2023 NOV-DIC'!BF118+'SGTO POAI 2023 NOV-DIC'!BF119</f>
        <v>121286666</v>
      </c>
      <c r="F101" s="29">
        <f>'SGTO POAI 2023 NOV-DIC'!BG118+'SGTO POAI 2023 NOV-DIC'!BG119</f>
        <v>101106497</v>
      </c>
      <c r="G101" s="196">
        <f t="shared" si="12"/>
        <v>0.8336159310372997</v>
      </c>
      <c r="H101" s="29">
        <f>'SGTO POAI 2023 NOV-DIC'!BH118+'SGTO POAI 2023 NOV-DIC'!BH119</f>
        <v>101106497</v>
      </c>
      <c r="I101" s="196">
        <f t="shared" si="13"/>
        <v>0.8336159310372997</v>
      </c>
    </row>
    <row r="102" spans="1:9" ht="24" customHeight="1">
      <c r="A102" s="100">
        <v>3</v>
      </c>
      <c r="B102" s="101" t="s">
        <v>1290</v>
      </c>
      <c r="C102" s="101"/>
      <c r="D102" s="101"/>
      <c r="E102" s="102">
        <f>E103</f>
        <v>3555119272.3299999</v>
      </c>
      <c r="F102" s="102">
        <f>F103</f>
        <v>1523953387</v>
      </c>
      <c r="G102" s="196">
        <f t="shared" si="12"/>
        <v>0.42866448922294859</v>
      </c>
      <c r="H102" s="102">
        <f>H103</f>
        <v>1523953387</v>
      </c>
      <c r="I102" s="196">
        <f t="shared" si="13"/>
        <v>0.42866448922294859</v>
      </c>
    </row>
    <row r="103" spans="1:9" ht="24" customHeight="1">
      <c r="A103" s="13"/>
      <c r="B103" s="106">
        <v>32</v>
      </c>
      <c r="C103" s="107" t="s">
        <v>227</v>
      </c>
      <c r="D103" s="108"/>
      <c r="E103" s="109">
        <f>SUM(E104:E108)</f>
        <v>3555119272.3299999</v>
      </c>
      <c r="F103" s="109">
        <f>SUM(F104:F108)</f>
        <v>1523953387</v>
      </c>
      <c r="G103" s="196">
        <f t="shared" si="12"/>
        <v>0.42866448922294859</v>
      </c>
      <c r="H103" s="109">
        <f>SUM(H104:H108)</f>
        <v>1523953387</v>
      </c>
      <c r="I103" s="196">
        <f t="shared" si="13"/>
        <v>0.42866448922294859</v>
      </c>
    </row>
    <row r="104" spans="1:9" ht="52.5" customHeight="1">
      <c r="A104" s="26"/>
      <c r="B104" s="27"/>
      <c r="C104" s="22" t="s">
        <v>561</v>
      </c>
      <c r="D104" s="23" t="s">
        <v>562</v>
      </c>
      <c r="E104" s="29">
        <f>'SGTO POAI 2023 NOV-DIC'!BF120+'SGTO POAI 2023 NOV-DIC'!BF121</f>
        <v>195655000</v>
      </c>
      <c r="F104" s="29">
        <f>'SGTO POAI 2023 NOV-DIC'!BG120+'SGTO POAI 2023 NOV-DIC'!BG121</f>
        <v>158829182</v>
      </c>
      <c r="G104" s="196">
        <f t="shared" si="12"/>
        <v>0.81178187115075007</v>
      </c>
      <c r="H104" s="29">
        <f>'SGTO POAI 2023 NOV-DIC'!BH120+'SGTO POAI 2023 NOV-DIC'!BH121</f>
        <v>158829182</v>
      </c>
      <c r="I104" s="196">
        <f t="shared" si="13"/>
        <v>0.81178187115075007</v>
      </c>
    </row>
    <row r="105" spans="1:9" ht="52.5" customHeight="1">
      <c r="A105" s="26"/>
      <c r="B105" s="35"/>
      <c r="C105" s="22">
        <v>3202</v>
      </c>
      <c r="D105" s="23" t="s">
        <v>572</v>
      </c>
      <c r="E105" s="29">
        <f>SUM('SGTO POAI 2023 NOV-DIC'!AT122:AT126)</f>
        <v>2930230691</v>
      </c>
      <c r="F105" s="29">
        <f>SUM('SGTO POAI 2023 NOV-DIC'!AU122:AU126)</f>
        <v>947590873</v>
      </c>
      <c r="G105" s="196">
        <f t="shared" si="12"/>
        <v>0.32338439287748216</v>
      </c>
      <c r="H105" s="29">
        <f>SUM('SGTO POAI 2023 NOV-DIC'!AV122:AV126)</f>
        <v>947590873</v>
      </c>
      <c r="I105" s="196">
        <f t="shared" si="13"/>
        <v>0.32338439287748216</v>
      </c>
    </row>
    <row r="106" spans="1:9" ht="52.5" customHeight="1">
      <c r="A106" s="26"/>
      <c r="B106" s="35"/>
      <c r="C106" s="22" t="s">
        <v>597</v>
      </c>
      <c r="D106" s="23" t="s">
        <v>598</v>
      </c>
      <c r="E106" s="29">
        <f>'SGTO POAI 2023 NOV-DIC'!BF127</f>
        <v>173700000</v>
      </c>
      <c r="F106" s="29">
        <f>'SGTO POAI 2023 NOV-DIC'!BG127</f>
        <v>163916667</v>
      </c>
      <c r="G106" s="196">
        <f t="shared" si="12"/>
        <v>0.94367683937823832</v>
      </c>
      <c r="H106" s="29">
        <f>'SGTO POAI 2023 NOV-DIC'!BH127</f>
        <v>163916667</v>
      </c>
      <c r="I106" s="196">
        <f t="shared" si="13"/>
        <v>0.94367683937823832</v>
      </c>
    </row>
    <row r="107" spans="1:9" ht="52.5" customHeight="1">
      <c r="A107" s="26"/>
      <c r="B107" s="35"/>
      <c r="C107" s="22">
        <v>3205</v>
      </c>
      <c r="D107" s="23" t="s">
        <v>228</v>
      </c>
      <c r="E107" s="29">
        <f>SUM('SGTO POAI 2023 NOV-DIC'!AT128:AT130)</f>
        <v>66529007.329999998</v>
      </c>
      <c r="F107" s="29">
        <f>SUM('SGTO POAI 2023 NOV-DIC'!AU128:AU130)</f>
        <v>66328333</v>
      </c>
      <c r="G107" s="196">
        <f t="shared" si="12"/>
        <v>0.99698365663259325</v>
      </c>
      <c r="H107" s="29">
        <f>SUM('SGTO POAI 2023 NOV-DIC'!AV128:AV130)</f>
        <v>66328333</v>
      </c>
      <c r="I107" s="196">
        <f t="shared" si="13"/>
        <v>0.99698365663259325</v>
      </c>
    </row>
    <row r="108" spans="1:9" ht="52.5" customHeight="1">
      <c r="A108" s="30"/>
      <c r="B108" s="31"/>
      <c r="C108" s="22" t="s">
        <v>615</v>
      </c>
      <c r="D108" s="23" t="s">
        <v>616</v>
      </c>
      <c r="E108" s="29">
        <f>SUM('SGTO POAI 2023 NOV-DIC'!AT131:AT133)</f>
        <v>189004574</v>
      </c>
      <c r="F108" s="29">
        <f>SUM('SGTO POAI 2023 NOV-DIC'!AU131:AU133)</f>
        <v>187288332</v>
      </c>
      <c r="G108" s="196">
        <f t="shared" si="12"/>
        <v>0.99091957425326649</v>
      </c>
      <c r="H108" s="29">
        <f>SUM('SGTO POAI 2023 NOV-DIC'!AV131:AV133)</f>
        <v>187288332</v>
      </c>
      <c r="I108" s="196">
        <f t="shared" si="13"/>
        <v>0.99091957425326649</v>
      </c>
    </row>
    <row r="109" spans="1:9" s="39" customFormat="1">
      <c r="A109" s="5"/>
      <c r="B109" s="5"/>
      <c r="C109" s="5"/>
      <c r="D109" s="6"/>
      <c r="E109" s="38"/>
      <c r="F109" s="38"/>
      <c r="G109" s="38"/>
      <c r="H109" s="38"/>
    </row>
    <row r="110" spans="1:9" ht="24" customHeight="1">
      <c r="A110" s="170" t="s">
        <v>1418</v>
      </c>
      <c r="B110" s="171"/>
      <c r="C110" s="171"/>
      <c r="D110" s="172"/>
      <c r="E110" s="64">
        <f>E111</f>
        <v>4558243430</v>
      </c>
      <c r="F110" s="64">
        <f t="shared" ref="F110:H111" si="14">F111</f>
        <v>4415822827.6700001</v>
      </c>
      <c r="G110" s="196">
        <f>F110/E110</f>
        <v>0.96875537594314043</v>
      </c>
      <c r="H110" s="64">
        <f t="shared" si="14"/>
        <v>4415822827.6700001</v>
      </c>
      <c r="I110" s="196">
        <f>H110/E110</f>
        <v>0.96875537594314043</v>
      </c>
    </row>
    <row r="111" spans="1:9" ht="24" customHeight="1">
      <c r="A111" s="100">
        <v>4</v>
      </c>
      <c r="B111" s="101" t="s">
        <v>1280</v>
      </c>
      <c r="C111" s="101"/>
      <c r="D111" s="101"/>
      <c r="E111" s="102">
        <f>E112</f>
        <v>4558243430</v>
      </c>
      <c r="F111" s="102">
        <f t="shared" si="14"/>
        <v>4415822827.6700001</v>
      </c>
      <c r="G111" s="196">
        <f>F111/E111</f>
        <v>0.96875537594314043</v>
      </c>
      <c r="H111" s="102">
        <f t="shared" si="14"/>
        <v>4415822827.6700001</v>
      </c>
      <c r="I111" s="196">
        <f>H111/E111</f>
        <v>0.96875537594314043</v>
      </c>
    </row>
    <row r="112" spans="1:9" ht="24" customHeight="1">
      <c r="A112" s="13"/>
      <c r="B112" s="106">
        <v>45</v>
      </c>
      <c r="C112" s="107" t="s">
        <v>60</v>
      </c>
      <c r="D112" s="108"/>
      <c r="E112" s="109">
        <f>SUM(E113:E114)</f>
        <v>4558243430</v>
      </c>
      <c r="F112" s="109">
        <f>SUM(F113:F114)</f>
        <v>4415822827.6700001</v>
      </c>
      <c r="G112" s="196">
        <f>F112/E112</f>
        <v>0.96875537594314043</v>
      </c>
      <c r="H112" s="109">
        <f>SUM(H113:H114)</f>
        <v>4415822827.6700001</v>
      </c>
      <c r="I112" s="196">
        <f>H112/E112</f>
        <v>0.96875537594314043</v>
      </c>
    </row>
    <row r="113" spans="1:9" s="18" customFormat="1" ht="74.25" customHeight="1">
      <c r="A113" s="26"/>
      <c r="B113" s="27"/>
      <c r="C113" s="22">
        <v>4502</v>
      </c>
      <c r="D113" s="23" t="s">
        <v>1281</v>
      </c>
      <c r="E113" s="29">
        <f>'SGTO POAI 2023 NOV-DIC'!BF136</f>
        <v>862000000</v>
      </c>
      <c r="F113" s="29">
        <f>'SGTO POAI 2023 NOV-DIC'!BG136</f>
        <v>844394070</v>
      </c>
      <c r="G113" s="196">
        <f>F113/E113</f>
        <v>0.97957548723897914</v>
      </c>
      <c r="H113" s="29">
        <f>'SGTO POAI 2023 NOV-DIC'!BH136</f>
        <v>844394070</v>
      </c>
      <c r="I113" s="196">
        <f>H113/E113</f>
        <v>0.97957548723897914</v>
      </c>
    </row>
    <row r="114" spans="1:9" ht="67.5" customHeight="1">
      <c r="A114" s="30"/>
      <c r="B114" s="31"/>
      <c r="C114" s="22">
        <v>4599</v>
      </c>
      <c r="D114" s="23" t="s">
        <v>1298</v>
      </c>
      <c r="E114" s="21">
        <f>'SGTO POAI 2023 NOV-DIC'!AT134+'SGTO POAI 2023 NOV-DIC'!AT135+'SGTO POAI 2023 NOV-DIC'!AT137</f>
        <v>3696243430</v>
      </c>
      <c r="F114" s="21">
        <f>'SGTO POAI 2023 NOV-DIC'!AU134+'SGTO POAI 2023 NOV-DIC'!AU135+'SGTO POAI 2023 NOV-DIC'!AU137</f>
        <v>3571428757.6700001</v>
      </c>
      <c r="G114" s="196">
        <f>F114/E114</f>
        <v>0.96623202051115986</v>
      </c>
      <c r="H114" s="21">
        <f>'SGTO POAI 2023 NOV-DIC'!AV134+'SGTO POAI 2023 NOV-DIC'!AV135+'SGTO POAI 2023 NOV-DIC'!AV137</f>
        <v>3571428757.6700001</v>
      </c>
      <c r="I114" s="196">
        <f>H114/E114</f>
        <v>0.96623202051115986</v>
      </c>
    </row>
    <row r="115" spans="1:9" s="39" customFormat="1">
      <c r="A115" s="5"/>
      <c r="B115" s="57"/>
      <c r="C115" s="58"/>
      <c r="D115" s="59"/>
      <c r="E115" s="60"/>
      <c r="F115" s="60"/>
      <c r="G115" s="60"/>
      <c r="H115" s="60"/>
    </row>
    <row r="116" spans="1:9" ht="24" customHeight="1">
      <c r="A116" s="56" t="s">
        <v>1299</v>
      </c>
      <c r="B116" s="62"/>
      <c r="C116" s="62"/>
      <c r="D116" s="63"/>
      <c r="E116" s="64">
        <f>E117+E121</f>
        <v>219871058805.07001</v>
      </c>
      <c r="F116" s="64">
        <f>F117+F121</f>
        <v>176032396599.18997</v>
      </c>
      <c r="G116" s="196">
        <f t="shared" ref="G116:G123" si="15">F116/E116</f>
        <v>0.8006164956673727</v>
      </c>
      <c r="H116" s="64">
        <f>H117+H121</f>
        <v>172370680441.91</v>
      </c>
      <c r="I116" s="196">
        <f t="shared" ref="I116:I123" si="16">H116/E116</f>
        <v>0.78396257051150975</v>
      </c>
    </row>
    <row r="117" spans="1:9" ht="24" customHeight="1">
      <c r="A117" s="100">
        <v>1</v>
      </c>
      <c r="B117" s="101" t="s">
        <v>1286</v>
      </c>
      <c r="C117" s="101"/>
      <c r="D117" s="101"/>
      <c r="E117" s="102">
        <f>E118</f>
        <v>219808544127.07001</v>
      </c>
      <c r="F117" s="102">
        <f>F118</f>
        <v>175969886099.18997</v>
      </c>
      <c r="G117" s="196">
        <f t="shared" si="15"/>
        <v>0.8005598089829612</v>
      </c>
      <c r="H117" s="102">
        <f>H118</f>
        <v>172308169941.91</v>
      </c>
      <c r="I117" s="196">
        <f t="shared" si="16"/>
        <v>0.78390114736531658</v>
      </c>
    </row>
    <row r="118" spans="1:9" ht="24" customHeight="1">
      <c r="A118" s="13"/>
      <c r="B118" s="106">
        <v>22</v>
      </c>
      <c r="C118" s="107" t="s">
        <v>160</v>
      </c>
      <c r="D118" s="108"/>
      <c r="E118" s="109">
        <f>SUM(E119:E120)</f>
        <v>219808544127.07001</v>
      </c>
      <c r="F118" s="109">
        <f>SUM(F119:F120)</f>
        <v>175969886099.18997</v>
      </c>
      <c r="G118" s="196">
        <f t="shared" si="15"/>
        <v>0.8005598089829612</v>
      </c>
      <c r="H118" s="109">
        <f>SUM(H119:H120)</f>
        <v>172308169941.91</v>
      </c>
      <c r="I118" s="196">
        <f t="shared" si="16"/>
        <v>0.78390114736531658</v>
      </c>
    </row>
    <row r="119" spans="1:9" ht="70.5" customHeight="1">
      <c r="A119" s="35"/>
      <c r="B119" s="36"/>
      <c r="C119" s="28">
        <v>2201</v>
      </c>
      <c r="D119" s="23" t="s">
        <v>298</v>
      </c>
      <c r="E119" s="21">
        <f>SUM('SGTO POAI 2023 NOV-DIC'!BF138:BF171)</f>
        <v>219591811127.07001</v>
      </c>
      <c r="F119" s="21">
        <f>SUM('SGTO POAI 2023 NOV-DIC'!BG138:BG171)</f>
        <v>175763496154.18997</v>
      </c>
      <c r="G119" s="196">
        <f t="shared" si="15"/>
        <v>0.80041006653240754</v>
      </c>
      <c r="H119" s="21">
        <f>SUM('SGTO POAI 2023 NOV-DIC'!BH138:BH171)</f>
        <v>172101779996.91</v>
      </c>
      <c r="I119" s="196">
        <f t="shared" si="16"/>
        <v>0.78373496312811408</v>
      </c>
    </row>
    <row r="120" spans="1:9" ht="55.5" customHeight="1">
      <c r="A120" s="31"/>
      <c r="B120" s="37"/>
      <c r="C120" s="22">
        <v>2202</v>
      </c>
      <c r="D120" s="23" t="s">
        <v>1300</v>
      </c>
      <c r="E120" s="29">
        <f>'SGTO POAI 2023 NOV-DIC'!BF172</f>
        <v>216733000</v>
      </c>
      <c r="F120" s="29">
        <f>'SGTO POAI 2023 NOV-DIC'!BG172</f>
        <v>206389945</v>
      </c>
      <c r="G120" s="196">
        <f t="shared" si="15"/>
        <v>0.95227743352419802</v>
      </c>
      <c r="H120" s="29">
        <f>'SGTO POAI 2023 NOV-DIC'!BH172</f>
        <v>206389945</v>
      </c>
      <c r="I120" s="196">
        <f t="shared" si="16"/>
        <v>0.95227743352419802</v>
      </c>
    </row>
    <row r="121" spans="1:9" ht="24" customHeight="1">
      <c r="A121" s="100">
        <v>2</v>
      </c>
      <c r="B121" s="101" t="s">
        <v>1288</v>
      </c>
      <c r="C121" s="101"/>
      <c r="D121" s="101"/>
      <c r="E121" s="102">
        <f>E122</f>
        <v>62514678</v>
      </c>
      <c r="F121" s="102">
        <f t="shared" ref="F121:H122" si="17">F122</f>
        <v>62510500</v>
      </c>
      <c r="G121" s="196">
        <f t="shared" si="15"/>
        <v>0.99993316769543306</v>
      </c>
      <c r="H121" s="102">
        <f t="shared" si="17"/>
        <v>62510500</v>
      </c>
      <c r="I121" s="196">
        <f t="shared" si="16"/>
        <v>0.99993316769543306</v>
      </c>
    </row>
    <row r="122" spans="1:9" ht="24" customHeight="1">
      <c r="A122" s="13"/>
      <c r="B122" s="106">
        <v>39</v>
      </c>
      <c r="C122" s="107" t="s">
        <v>746</v>
      </c>
      <c r="D122" s="108"/>
      <c r="E122" s="109">
        <f>E123</f>
        <v>62514678</v>
      </c>
      <c r="F122" s="109">
        <f t="shared" si="17"/>
        <v>62510500</v>
      </c>
      <c r="G122" s="196">
        <f t="shared" si="15"/>
        <v>0.99993316769543306</v>
      </c>
      <c r="H122" s="109">
        <f t="shared" si="17"/>
        <v>62510500</v>
      </c>
      <c r="I122" s="196">
        <f t="shared" si="16"/>
        <v>0.99993316769543306</v>
      </c>
    </row>
    <row r="123" spans="1:9" ht="39.75" customHeight="1">
      <c r="A123" s="31"/>
      <c r="B123" s="22"/>
      <c r="C123" s="12">
        <v>3904</v>
      </c>
      <c r="D123" s="23" t="s">
        <v>1179</v>
      </c>
      <c r="E123" s="29">
        <f>'SGTO POAI 2023 NOV-DIC'!BF173</f>
        <v>62514678</v>
      </c>
      <c r="F123" s="29">
        <f>'SGTO POAI 2023 NOV-DIC'!BG173</f>
        <v>62510500</v>
      </c>
      <c r="G123" s="196">
        <f t="shared" si="15"/>
        <v>0.99993316769543306</v>
      </c>
      <c r="H123" s="29">
        <f>'SGTO POAI 2023 NOV-DIC'!BH173</f>
        <v>62510500</v>
      </c>
      <c r="I123" s="196">
        <f t="shared" si="16"/>
        <v>0.99993316769543306</v>
      </c>
    </row>
    <row r="124" spans="1:9" s="39" customFormat="1">
      <c r="A124" s="5"/>
      <c r="B124" s="5"/>
      <c r="C124" s="5"/>
      <c r="D124" s="6"/>
      <c r="E124" s="38"/>
      <c r="F124" s="38"/>
      <c r="G124" s="38"/>
      <c r="H124" s="38"/>
    </row>
    <row r="125" spans="1:9" s="39" customFormat="1" ht="24" customHeight="1">
      <c r="A125" s="56" t="s">
        <v>1301</v>
      </c>
      <c r="B125" s="173"/>
      <c r="C125" s="171"/>
      <c r="D125" s="172"/>
      <c r="E125" s="64">
        <f>E126+E135+E140</f>
        <v>13775731819.380001</v>
      </c>
      <c r="F125" s="64">
        <f>F126+F135+F140</f>
        <v>8515498770.8099995</v>
      </c>
      <c r="G125" s="196">
        <f t="shared" ref="G125:G142" si="18">F125/E125</f>
        <v>0.61815218838901964</v>
      </c>
      <c r="H125" s="64">
        <f>H126+H135+H140</f>
        <v>8511098769.8099995</v>
      </c>
      <c r="I125" s="196">
        <f t="shared" ref="I125:I142" si="19">H125/E125</f>
        <v>0.61783278604744607</v>
      </c>
    </row>
    <row r="126" spans="1:9" s="39" customFormat="1" ht="24" customHeight="1">
      <c r="A126" s="100">
        <v>1</v>
      </c>
      <c r="B126" s="101" t="s">
        <v>1286</v>
      </c>
      <c r="C126" s="101"/>
      <c r="D126" s="101"/>
      <c r="E126" s="102">
        <f>E127+E129+E131</f>
        <v>13133282409.380001</v>
      </c>
      <c r="F126" s="102">
        <f>F127+F129+F131</f>
        <v>7903064110.8099995</v>
      </c>
      <c r="G126" s="196">
        <f t="shared" si="18"/>
        <v>0.60175848386276265</v>
      </c>
      <c r="H126" s="102">
        <f>H127+H129+H131</f>
        <v>7898664109.8099995</v>
      </c>
      <c r="I126" s="196">
        <f t="shared" si="19"/>
        <v>0.60142345710685752</v>
      </c>
    </row>
    <row r="127" spans="1:9" ht="24" customHeight="1">
      <c r="A127" s="13"/>
      <c r="B127" s="106">
        <v>19</v>
      </c>
      <c r="C127" s="107" t="s">
        <v>756</v>
      </c>
      <c r="D127" s="108"/>
      <c r="E127" s="109">
        <f>E128</f>
        <v>236289640</v>
      </c>
      <c r="F127" s="109">
        <f>F128</f>
        <v>236266663</v>
      </c>
      <c r="G127" s="196">
        <f t="shared" si="18"/>
        <v>0.99990275917302174</v>
      </c>
      <c r="H127" s="109">
        <f>H128</f>
        <v>236266663</v>
      </c>
      <c r="I127" s="196">
        <f t="shared" si="19"/>
        <v>0.99990275917302174</v>
      </c>
    </row>
    <row r="128" spans="1:9" s="39" customFormat="1" ht="51" customHeight="1">
      <c r="A128" s="35"/>
      <c r="B128" s="22"/>
      <c r="C128" s="12">
        <v>1905</v>
      </c>
      <c r="D128" s="15" t="s">
        <v>757</v>
      </c>
      <c r="E128" s="29">
        <f>'SGTO POAI 2023 NOV-DIC'!BF174+'SGTO POAI 2023 NOV-DIC'!BF175</f>
        <v>236289640</v>
      </c>
      <c r="F128" s="29">
        <f>'SGTO POAI 2023 NOV-DIC'!BG174+'SGTO POAI 2023 NOV-DIC'!BG175</f>
        <v>236266663</v>
      </c>
      <c r="G128" s="196">
        <f t="shared" si="18"/>
        <v>0.99990275917302174</v>
      </c>
      <c r="H128" s="29">
        <f>'SGTO POAI 2023 NOV-DIC'!BH174+'SGTO POAI 2023 NOV-DIC'!BH175</f>
        <v>236266663</v>
      </c>
      <c r="I128" s="196">
        <f t="shared" si="19"/>
        <v>0.99990275917302174</v>
      </c>
    </row>
    <row r="129" spans="1:9" ht="24" customHeight="1">
      <c r="A129" s="40"/>
      <c r="B129" s="112">
        <v>33</v>
      </c>
      <c r="C129" s="114" t="s">
        <v>170</v>
      </c>
      <c r="D129" s="108"/>
      <c r="E129" s="109">
        <f>E130</f>
        <v>31700000</v>
      </c>
      <c r="F129" s="109">
        <f>F130</f>
        <v>31528333</v>
      </c>
      <c r="G129" s="196">
        <f t="shared" si="18"/>
        <v>0.99458463722397472</v>
      </c>
      <c r="H129" s="109">
        <f>H130</f>
        <v>31528333</v>
      </c>
      <c r="I129" s="196">
        <f t="shared" si="19"/>
        <v>0.99458463722397472</v>
      </c>
    </row>
    <row r="130" spans="1:9" s="39" customFormat="1" ht="51.75" customHeight="1">
      <c r="A130" s="35"/>
      <c r="B130" s="22"/>
      <c r="C130" s="12">
        <v>3301</v>
      </c>
      <c r="D130" s="23" t="s">
        <v>171</v>
      </c>
      <c r="E130" s="29">
        <f>'SGTO POAI 2023 NOV-DIC'!BF176</f>
        <v>31700000</v>
      </c>
      <c r="F130" s="29">
        <f>'SGTO POAI 2023 NOV-DIC'!BG176</f>
        <v>31528333</v>
      </c>
      <c r="G130" s="196">
        <f t="shared" si="18"/>
        <v>0.99458463722397472</v>
      </c>
      <c r="H130" s="29">
        <f>'SGTO POAI 2023 NOV-DIC'!BH176</f>
        <v>31528333</v>
      </c>
      <c r="I130" s="196">
        <f t="shared" si="19"/>
        <v>0.99458463722397472</v>
      </c>
    </row>
    <row r="131" spans="1:9" ht="24" customHeight="1">
      <c r="A131" s="40"/>
      <c r="B131" s="115">
        <v>41</v>
      </c>
      <c r="C131" s="107" t="s">
        <v>772</v>
      </c>
      <c r="D131" s="113"/>
      <c r="E131" s="109">
        <f>SUM(E132:E134)</f>
        <v>12865292769.380001</v>
      </c>
      <c r="F131" s="109">
        <f>SUM(F132:F134)</f>
        <v>7635269114.8099995</v>
      </c>
      <c r="G131" s="196">
        <f t="shared" si="18"/>
        <v>0.59347806938232273</v>
      </c>
      <c r="H131" s="109">
        <f>SUM(H132:H134)</f>
        <v>7630869113.8099995</v>
      </c>
      <c r="I131" s="196">
        <f t="shared" si="19"/>
        <v>0.59313606387348017</v>
      </c>
    </row>
    <row r="132" spans="1:9" s="39" customFormat="1" ht="53.25" customHeight="1">
      <c r="A132" s="26"/>
      <c r="B132" s="27"/>
      <c r="C132" s="22">
        <v>4102</v>
      </c>
      <c r="D132" s="23" t="s">
        <v>773</v>
      </c>
      <c r="E132" s="29">
        <f>SUM('SGTO POAI 2023 NOV-DIC'!BF177:BF185)</f>
        <v>1696726427</v>
      </c>
      <c r="F132" s="29">
        <f>SUM('SGTO POAI 2023 NOV-DIC'!BG177:BG185)</f>
        <v>1363271900</v>
      </c>
      <c r="G132" s="196">
        <f t="shared" si="18"/>
        <v>0.80347183747848827</v>
      </c>
      <c r="H132" s="29">
        <f>SUM('SGTO POAI 2023 NOV-DIC'!BH177:BH185)</f>
        <v>1358871900</v>
      </c>
      <c r="I132" s="196">
        <f t="shared" si="19"/>
        <v>0.80087860858195969</v>
      </c>
    </row>
    <row r="133" spans="1:9" s="39" customFormat="1" ht="48.75" customHeight="1">
      <c r="A133" s="26"/>
      <c r="B133" s="35"/>
      <c r="C133" s="22">
        <v>4103</v>
      </c>
      <c r="D133" s="23" t="s">
        <v>322</v>
      </c>
      <c r="E133" s="29">
        <f>SUM('SGTO POAI 2023 NOV-DIC'!BF186:BF192)</f>
        <v>391111666</v>
      </c>
      <c r="F133" s="29">
        <f>SUM('SGTO POAI 2023 NOV-DIC'!BG186:BG192)</f>
        <v>368305066</v>
      </c>
      <c r="G133" s="196">
        <f t="shared" si="18"/>
        <v>0.94168775318504561</v>
      </c>
      <c r="H133" s="29">
        <f>SUM('SGTO POAI 2023 NOV-DIC'!BH186:BH192)</f>
        <v>368305066</v>
      </c>
      <c r="I133" s="196">
        <f t="shared" si="19"/>
        <v>0.94168775318504561</v>
      </c>
    </row>
    <row r="134" spans="1:9" s="39" customFormat="1" ht="51.75" customHeight="1">
      <c r="A134" s="30"/>
      <c r="B134" s="31"/>
      <c r="C134" s="22">
        <v>4104</v>
      </c>
      <c r="D134" s="23" t="s">
        <v>866</v>
      </c>
      <c r="E134" s="29">
        <f>SUM('SGTO POAI 2023 NOV-DIC'!BF193:BF197)</f>
        <v>10777454676.380001</v>
      </c>
      <c r="F134" s="29">
        <f>SUM('SGTO POAI 2023 NOV-DIC'!BG193:BG197)</f>
        <v>5903692148.8099995</v>
      </c>
      <c r="G134" s="196">
        <f t="shared" si="18"/>
        <v>0.54778167258254418</v>
      </c>
      <c r="H134" s="29">
        <f>SUM('SGTO POAI 2023 NOV-DIC'!BH193:BH197)</f>
        <v>5903692147.8099995</v>
      </c>
      <c r="I134" s="196">
        <f t="shared" si="19"/>
        <v>0.54778167248975795</v>
      </c>
    </row>
    <row r="135" spans="1:9" s="39" customFormat="1" ht="24" customHeight="1">
      <c r="A135" s="100">
        <v>2</v>
      </c>
      <c r="B135" s="101" t="s">
        <v>1288</v>
      </c>
      <c r="C135" s="101"/>
      <c r="D135" s="101"/>
      <c r="E135" s="102">
        <f>E136+E138</f>
        <v>61260000</v>
      </c>
      <c r="F135" s="102">
        <f>F136+F138</f>
        <v>61260000</v>
      </c>
      <c r="G135" s="196">
        <f t="shared" si="18"/>
        <v>1</v>
      </c>
      <c r="H135" s="102">
        <f>H136+H138</f>
        <v>61260000</v>
      </c>
      <c r="I135" s="196">
        <f t="shared" si="19"/>
        <v>1</v>
      </c>
    </row>
    <row r="136" spans="1:9" ht="24" customHeight="1">
      <c r="A136" s="13"/>
      <c r="B136" s="106">
        <v>17</v>
      </c>
      <c r="C136" s="107" t="s">
        <v>201</v>
      </c>
      <c r="D136" s="108"/>
      <c r="E136" s="109">
        <f>E137</f>
        <v>42260000</v>
      </c>
      <c r="F136" s="109">
        <f>F137</f>
        <v>42260000</v>
      </c>
      <c r="G136" s="196">
        <f t="shared" si="18"/>
        <v>1</v>
      </c>
      <c r="H136" s="109">
        <f>H137</f>
        <v>42260000</v>
      </c>
      <c r="I136" s="196">
        <f t="shared" si="19"/>
        <v>1</v>
      </c>
    </row>
    <row r="137" spans="1:9" s="39" customFormat="1" ht="51.75" customHeight="1">
      <c r="A137" s="35"/>
      <c r="B137" s="22"/>
      <c r="C137" s="12">
        <v>1702</v>
      </c>
      <c r="D137" s="23" t="s">
        <v>464</v>
      </c>
      <c r="E137" s="29">
        <f>'SGTO POAI 2023 NOV-DIC'!BF198</f>
        <v>42260000</v>
      </c>
      <c r="F137" s="29">
        <f>'SGTO POAI 2023 NOV-DIC'!BG198</f>
        <v>42260000</v>
      </c>
      <c r="G137" s="196">
        <f t="shared" si="18"/>
        <v>1</v>
      </c>
      <c r="H137" s="29">
        <f>'SGTO POAI 2023 NOV-DIC'!BH198</f>
        <v>42260000</v>
      </c>
      <c r="I137" s="196">
        <f t="shared" si="19"/>
        <v>1</v>
      </c>
    </row>
    <row r="138" spans="1:9" ht="25.5" customHeight="1">
      <c r="A138" s="40"/>
      <c r="B138" s="112">
        <v>36</v>
      </c>
      <c r="C138" s="114" t="s">
        <v>446</v>
      </c>
      <c r="D138" s="108"/>
      <c r="E138" s="109">
        <f>E139</f>
        <v>19000000</v>
      </c>
      <c r="F138" s="109">
        <f>F139</f>
        <v>19000000</v>
      </c>
      <c r="G138" s="196">
        <f t="shared" si="18"/>
        <v>1</v>
      </c>
      <c r="H138" s="109">
        <f>H139</f>
        <v>19000000</v>
      </c>
      <c r="I138" s="196">
        <f t="shared" si="19"/>
        <v>1</v>
      </c>
    </row>
    <row r="139" spans="1:9" s="39" customFormat="1" ht="51" customHeight="1">
      <c r="A139" s="31"/>
      <c r="B139" s="22"/>
      <c r="C139" s="12">
        <v>3604</v>
      </c>
      <c r="D139" s="23" t="s">
        <v>901</v>
      </c>
      <c r="E139" s="29">
        <f>'SGTO POAI 2023 NOV-DIC'!BF199</f>
        <v>19000000</v>
      </c>
      <c r="F139" s="29">
        <f>'SGTO POAI 2023 NOV-DIC'!BG199</f>
        <v>19000000</v>
      </c>
      <c r="G139" s="196">
        <f t="shared" si="18"/>
        <v>1</v>
      </c>
      <c r="H139" s="29">
        <f>'SGTO POAI 2023 NOV-DIC'!BH199</f>
        <v>19000000</v>
      </c>
      <c r="I139" s="196">
        <f t="shared" si="19"/>
        <v>1</v>
      </c>
    </row>
    <row r="140" spans="1:9" s="39" customFormat="1" ht="24" customHeight="1">
      <c r="A140" s="100">
        <v>4</v>
      </c>
      <c r="B140" s="101" t="s">
        <v>1280</v>
      </c>
      <c r="C140" s="101"/>
      <c r="D140" s="101"/>
      <c r="E140" s="102">
        <f>E141</f>
        <v>581189410</v>
      </c>
      <c r="F140" s="102">
        <f>F141</f>
        <v>551174660</v>
      </c>
      <c r="G140" s="196">
        <f t="shared" si="18"/>
        <v>0.94835633705025701</v>
      </c>
      <c r="H140" s="102">
        <f>H141</f>
        <v>551174660</v>
      </c>
      <c r="I140" s="196">
        <f t="shared" si="19"/>
        <v>0.94835633705025701</v>
      </c>
    </row>
    <row r="141" spans="1:9" ht="24" customHeight="1">
      <c r="A141" s="25"/>
      <c r="B141" s="110">
        <v>45</v>
      </c>
      <c r="C141" s="107" t="s">
        <v>907</v>
      </c>
      <c r="D141" s="108"/>
      <c r="E141" s="109">
        <f>SUM(E142:E142)</f>
        <v>581189410</v>
      </c>
      <c r="F141" s="109">
        <f>SUM(F142:F142)</f>
        <v>551174660</v>
      </c>
      <c r="G141" s="196">
        <f t="shared" si="18"/>
        <v>0.94835633705025701</v>
      </c>
      <c r="H141" s="109">
        <f>SUM(H142:H142)</f>
        <v>551174660</v>
      </c>
      <c r="I141" s="196">
        <f t="shared" si="19"/>
        <v>0.94835633705025701</v>
      </c>
    </row>
    <row r="142" spans="1:9" ht="50.25" customHeight="1">
      <c r="A142" s="31"/>
      <c r="B142" s="43"/>
      <c r="C142" s="16">
        <v>4502</v>
      </c>
      <c r="D142" s="17" t="s">
        <v>1281</v>
      </c>
      <c r="E142" s="44">
        <f>'SGTO POAI 2023 NOV-DIC'!BF200+'SGTO POAI 2023 NOV-DIC'!BF201+'SGTO POAI 2023 NOV-DIC'!BF202+'SGTO POAI 2023 NOV-DIC'!BF203+'SGTO POAI 2023 NOV-DIC'!BF204</f>
        <v>581189410</v>
      </c>
      <c r="F142" s="44">
        <f>'SGTO POAI 2023 NOV-DIC'!BG200+'SGTO POAI 2023 NOV-DIC'!BG201+'SGTO POAI 2023 NOV-DIC'!BG202+'SGTO POAI 2023 NOV-DIC'!BG203+'SGTO POAI 2023 NOV-DIC'!BG204</f>
        <v>551174660</v>
      </c>
      <c r="G142" s="196">
        <f t="shared" si="18"/>
        <v>0.94835633705025701</v>
      </c>
      <c r="H142" s="44">
        <f>'SGTO POAI 2023 NOV-DIC'!BH200+'SGTO POAI 2023 NOV-DIC'!BH201+'SGTO POAI 2023 NOV-DIC'!BH202+'SGTO POAI 2023 NOV-DIC'!BH203+'SGTO POAI 2023 NOV-DIC'!BH204</f>
        <v>551174660</v>
      </c>
      <c r="I142" s="196">
        <f t="shared" si="19"/>
        <v>0.94835633705025701</v>
      </c>
    </row>
    <row r="143" spans="1:9" s="39" customFormat="1">
      <c r="A143" s="5"/>
      <c r="B143" s="5"/>
      <c r="C143" s="5"/>
      <c r="D143" s="6"/>
      <c r="E143" s="38"/>
      <c r="F143" s="38"/>
      <c r="G143" s="38"/>
      <c r="H143" s="38"/>
    </row>
    <row r="144" spans="1:9" ht="24" customHeight="1">
      <c r="A144" s="56" t="s">
        <v>1302</v>
      </c>
      <c r="B144" s="62"/>
      <c r="C144" s="173"/>
      <c r="D144" s="172"/>
      <c r="E144" s="64">
        <f>E145</f>
        <v>64458455258.419998</v>
      </c>
      <c r="F144" s="64">
        <f t="shared" ref="F144:H145" si="20">F145</f>
        <v>53494902390.01001</v>
      </c>
      <c r="G144" s="196">
        <f t="shared" ref="G144:G149" si="21">F144/E144</f>
        <v>0.82991288226725146</v>
      </c>
      <c r="H144" s="64">
        <f t="shared" si="20"/>
        <v>52937416837.630013</v>
      </c>
      <c r="I144" s="196">
        <f t="shared" ref="I144:I149" si="22">H144/E144</f>
        <v>0.82126412470480314</v>
      </c>
    </row>
    <row r="145" spans="1:9" ht="24" customHeight="1">
      <c r="A145" s="100">
        <v>1</v>
      </c>
      <c r="B145" s="101" t="s">
        <v>1286</v>
      </c>
      <c r="C145" s="101"/>
      <c r="D145" s="101"/>
      <c r="E145" s="102">
        <f>E146</f>
        <v>64458455258.419998</v>
      </c>
      <c r="F145" s="102">
        <f t="shared" si="20"/>
        <v>53494902390.01001</v>
      </c>
      <c r="G145" s="196">
        <f t="shared" si="21"/>
        <v>0.82991288226725146</v>
      </c>
      <c r="H145" s="102">
        <f t="shared" si="20"/>
        <v>52937416837.630013</v>
      </c>
      <c r="I145" s="196">
        <f t="shared" si="22"/>
        <v>0.82126412470480314</v>
      </c>
    </row>
    <row r="146" spans="1:9" ht="24" customHeight="1">
      <c r="A146" s="13"/>
      <c r="B146" s="106">
        <v>19</v>
      </c>
      <c r="C146" s="107" t="s">
        <v>756</v>
      </c>
      <c r="D146" s="108"/>
      <c r="E146" s="109">
        <f>SUM(E147:E149)</f>
        <v>64458455258.419998</v>
      </c>
      <c r="F146" s="109">
        <f>SUM(F147:F149)</f>
        <v>53494902390.01001</v>
      </c>
      <c r="G146" s="196">
        <f t="shared" si="21"/>
        <v>0.82991288226725146</v>
      </c>
      <c r="H146" s="109">
        <f>SUM(H147:H149)</f>
        <v>52937416837.630013</v>
      </c>
      <c r="I146" s="196">
        <f t="shared" si="22"/>
        <v>0.82126412470480314</v>
      </c>
    </row>
    <row r="147" spans="1:9" ht="35.25" customHeight="1">
      <c r="A147" s="35"/>
      <c r="B147" s="36"/>
      <c r="C147" s="22">
        <v>1903</v>
      </c>
      <c r="D147" s="23" t="s">
        <v>934</v>
      </c>
      <c r="E147" s="29">
        <f>SUM('SGTO POAI 2023 NOV-DIC'!BF205:BF225)+'SGTO POAI 2023 NOV-DIC'!BF256</f>
        <v>3859665572.6500001</v>
      </c>
      <c r="F147" s="29">
        <f>SUM('SGTO POAI 2023 NOV-DIC'!BG205:BG225)+'SGTO POAI 2023 NOV-DIC'!BG256</f>
        <v>2792354389.96</v>
      </c>
      <c r="G147" s="196">
        <f t="shared" si="21"/>
        <v>0.72347055396377336</v>
      </c>
      <c r="H147" s="29">
        <f>SUM('SGTO POAI 2023 NOV-DIC'!BH205:BH225)+'SGTO POAI 2023 NOV-DIC'!BH256</f>
        <v>2780387123</v>
      </c>
      <c r="I147" s="196">
        <f t="shared" si="22"/>
        <v>0.72036995710253193</v>
      </c>
    </row>
    <row r="148" spans="1:9" ht="31.5" customHeight="1">
      <c r="A148" s="35"/>
      <c r="B148" s="42"/>
      <c r="C148" s="22">
        <v>1905</v>
      </c>
      <c r="D148" s="23" t="s">
        <v>757</v>
      </c>
      <c r="E148" s="29">
        <f>'SGTO POAI 2023 NOV-DIC'!BF226+'SGTO POAI 2023 NOV-DIC'!BF227+'SGTO POAI 2023 NOV-DIC'!BF228+'SGTO POAI 2023 NOV-DIC'!BF229+'SGTO POAI 2023 NOV-DIC'!BF230+'SGTO POAI 2023 NOV-DIC'!BF231+'SGTO POAI 2023 NOV-DIC'!BF232+'SGTO POAI 2023 NOV-DIC'!BF233+'SGTO POAI 2023 NOV-DIC'!BF234+'SGTO POAI 2023 NOV-DIC'!BF235+'SGTO POAI 2023 NOV-DIC'!BF236+'SGTO POAI 2023 NOV-DIC'!BF237+'SGTO POAI 2023 NOV-DIC'!BF238+'SGTO POAI 2023 NOV-DIC'!BF239+'SGTO POAI 2023 NOV-DIC'!BF240+'SGTO POAI 2023 NOV-DIC'!BF241+'SGTO POAI 2023 NOV-DIC'!BF242+'SGTO POAI 2023 NOV-DIC'!BF243+'SGTO POAI 2023 NOV-DIC'!BF244+'SGTO POAI 2023 NOV-DIC'!BF245+'SGTO POAI 2023 NOV-DIC'!BF246+'SGTO POAI 2023 NOV-DIC'!BF247+'SGTO POAI 2023 NOV-DIC'!BF257+'SGTO POAI 2023 NOV-DIC'!BF258+'SGTO POAI 2023 NOV-DIC'!BF259+'SGTO POAI 2023 NOV-DIC'!BF260+'SGTO POAI 2023 NOV-DIC'!BF261+'SGTO POAI 2023 NOV-DIC'!BF262+'SGTO POAI 2023 NOV-DIC'!BF263</f>
        <v>5514058313.29</v>
      </c>
      <c r="F148" s="29">
        <f>'SGTO POAI 2023 NOV-DIC'!BG226+'SGTO POAI 2023 NOV-DIC'!BG227+'SGTO POAI 2023 NOV-DIC'!BG228+'SGTO POAI 2023 NOV-DIC'!BG229+'SGTO POAI 2023 NOV-DIC'!BG230+'SGTO POAI 2023 NOV-DIC'!BG231+'SGTO POAI 2023 NOV-DIC'!BG232+'SGTO POAI 2023 NOV-DIC'!BG233+'SGTO POAI 2023 NOV-DIC'!BG234+'SGTO POAI 2023 NOV-DIC'!BG235+'SGTO POAI 2023 NOV-DIC'!BG236+'SGTO POAI 2023 NOV-DIC'!BG237+'SGTO POAI 2023 NOV-DIC'!BG238+'SGTO POAI 2023 NOV-DIC'!BG239+'SGTO POAI 2023 NOV-DIC'!BG240+'SGTO POAI 2023 NOV-DIC'!BG241+'SGTO POAI 2023 NOV-DIC'!BG242+'SGTO POAI 2023 NOV-DIC'!BG243+'SGTO POAI 2023 NOV-DIC'!BG244+'SGTO POAI 2023 NOV-DIC'!BG245+'SGTO POAI 2023 NOV-DIC'!BG246+'SGTO POAI 2023 NOV-DIC'!BG247+'SGTO POAI 2023 NOV-DIC'!BG257+'SGTO POAI 2023 NOV-DIC'!BG258+'SGTO POAI 2023 NOV-DIC'!BG259+'SGTO POAI 2023 NOV-DIC'!BG260+'SGTO POAI 2023 NOV-DIC'!BG261+'SGTO POAI 2023 NOV-DIC'!BG262+'SGTO POAI 2023 NOV-DIC'!BG263</f>
        <v>4792261934</v>
      </c>
      <c r="G148" s="196">
        <f t="shared" si="21"/>
        <v>0.86909888537988</v>
      </c>
      <c r="H148" s="29">
        <f>'SGTO POAI 2023 NOV-DIC'!BH226+'SGTO POAI 2023 NOV-DIC'!BH227+'SGTO POAI 2023 NOV-DIC'!BH228+'SGTO POAI 2023 NOV-DIC'!BH229+'SGTO POAI 2023 NOV-DIC'!BH230+'SGTO POAI 2023 NOV-DIC'!BH231+'SGTO POAI 2023 NOV-DIC'!BH232+'SGTO POAI 2023 NOV-DIC'!BH233+'SGTO POAI 2023 NOV-DIC'!BH234+'SGTO POAI 2023 NOV-DIC'!BH235+'SGTO POAI 2023 NOV-DIC'!BH236+'SGTO POAI 2023 NOV-DIC'!BH237+'SGTO POAI 2023 NOV-DIC'!BH238+'SGTO POAI 2023 NOV-DIC'!BH239+'SGTO POAI 2023 NOV-DIC'!BH240+'SGTO POAI 2023 NOV-DIC'!BH241+'SGTO POAI 2023 NOV-DIC'!BH242+'SGTO POAI 2023 NOV-DIC'!BH243+'SGTO POAI 2023 NOV-DIC'!BH244+'SGTO POAI 2023 NOV-DIC'!BH245+'SGTO POAI 2023 NOV-DIC'!BH246+'SGTO POAI 2023 NOV-DIC'!BH247+'SGTO POAI 2023 NOV-DIC'!BH257+'SGTO POAI 2023 NOV-DIC'!BH258+'SGTO POAI 2023 NOV-DIC'!BH259+'SGTO POAI 2023 NOV-DIC'!BH260+'SGTO POAI 2023 NOV-DIC'!BH261+'SGTO POAI 2023 NOV-DIC'!BH262+'SGTO POAI 2023 NOV-DIC'!BH263</f>
        <v>4504958361</v>
      </c>
      <c r="I148" s="196">
        <f t="shared" si="22"/>
        <v>0.81699505247199433</v>
      </c>
    </row>
    <row r="149" spans="1:9" ht="57.75" customHeight="1">
      <c r="A149" s="31"/>
      <c r="B149" s="37"/>
      <c r="C149" s="22">
        <v>1906</v>
      </c>
      <c r="D149" s="23" t="s">
        <v>1303</v>
      </c>
      <c r="E149" s="29">
        <f>SUM('SGTO POAI 2023 NOV-DIC'!BF248:BF255)</f>
        <v>55084731372.479996</v>
      </c>
      <c r="F149" s="29">
        <f>SUM('SGTO POAI 2023 NOV-DIC'!BG248:BG255)</f>
        <v>45910286066.050011</v>
      </c>
      <c r="G149" s="196">
        <f t="shared" si="21"/>
        <v>0.83344848785060099</v>
      </c>
      <c r="H149" s="29">
        <f>SUM('SGTO POAI 2023 NOV-DIC'!BH248:BH255)</f>
        <v>45652071353.630013</v>
      </c>
      <c r="I149" s="196">
        <f t="shared" si="22"/>
        <v>0.82876089646209139</v>
      </c>
    </row>
    <row r="150" spans="1:9" s="39" customFormat="1">
      <c r="A150" s="5"/>
      <c r="B150" s="5"/>
      <c r="C150" s="5"/>
      <c r="D150" s="6"/>
      <c r="E150" s="38"/>
      <c r="F150" s="38"/>
      <c r="G150" s="38"/>
      <c r="H150" s="38"/>
    </row>
    <row r="151" spans="1:9" s="4" customFormat="1" ht="24" customHeight="1">
      <c r="A151" s="56" t="s">
        <v>1304</v>
      </c>
      <c r="B151" s="62"/>
      <c r="C151" s="62"/>
      <c r="D151" s="63"/>
      <c r="E151" s="64">
        <f>E152+E156+E160</f>
        <v>2328894018</v>
      </c>
      <c r="F151" s="64">
        <f>F152+F156+F160</f>
        <v>2261362995</v>
      </c>
      <c r="G151" s="196">
        <f t="shared" ref="G151:G162" si="23">F151/E151</f>
        <v>0.97100296429204014</v>
      </c>
      <c r="H151" s="64">
        <f>H152+H156+H160</f>
        <v>2261362995</v>
      </c>
      <c r="I151" s="196">
        <f t="shared" ref="I151:I162" si="24">H151/E151</f>
        <v>0.97100296429204014</v>
      </c>
    </row>
    <row r="152" spans="1:9" s="4" customFormat="1" ht="24" customHeight="1">
      <c r="A152" s="100">
        <v>1</v>
      </c>
      <c r="B152" s="101" t="s">
        <v>1286</v>
      </c>
      <c r="C152" s="101"/>
      <c r="D152" s="101"/>
      <c r="E152" s="102">
        <f>E153</f>
        <v>1746906166</v>
      </c>
      <c r="F152" s="102">
        <f>F153</f>
        <v>1694362483</v>
      </c>
      <c r="G152" s="196">
        <f t="shared" si="23"/>
        <v>0.96992186299261141</v>
      </c>
      <c r="H152" s="102">
        <f>H153</f>
        <v>1694362483</v>
      </c>
      <c r="I152" s="196">
        <f t="shared" si="24"/>
        <v>0.96992186299261141</v>
      </c>
    </row>
    <row r="153" spans="1:9" ht="24" customHeight="1">
      <c r="A153" s="13"/>
      <c r="B153" s="106">
        <v>23</v>
      </c>
      <c r="C153" s="107" t="s">
        <v>1127</v>
      </c>
      <c r="D153" s="108"/>
      <c r="E153" s="109">
        <f>SUM(E154:E155)</f>
        <v>1746906166</v>
      </c>
      <c r="F153" s="109">
        <f>SUM(F154:F155)</f>
        <v>1694362483</v>
      </c>
      <c r="G153" s="196">
        <f t="shared" si="23"/>
        <v>0.96992186299261141</v>
      </c>
      <c r="H153" s="109">
        <f>SUM(H154:H155)</f>
        <v>1694362483</v>
      </c>
      <c r="I153" s="196">
        <f t="shared" si="24"/>
        <v>0.96992186299261141</v>
      </c>
    </row>
    <row r="154" spans="1:9" s="18" customFormat="1" ht="75.75" customHeight="1">
      <c r="A154" s="35"/>
      <c r="B154" s="36"/>
      <c r="C154" s="28">
        <v>2301</v>
      </c>
      <c r="D154" s="23" t="s">
        <v>1305</v>
      </c>
      <c r="E154" s="29">
        <f>'SGTO POAI 2023 NOV-DIC'!BF264+'SGTO POAI 2023 NOV-DIC'!BF265+'SGTO POAI 2023 NOV-DIC'!BF266+'SGTO POAI 2023 NOV-DIC'!BF267+'SGTO POAI 2023 NOV-DIC'!BF268+'SGTO POAI 2023 NOV-DIC'!BF269+'SGTO POAI 2023 NOV-DIC'!BF270+'SGTO POAI 2023 NOV-DIC'!BF271+'SGTO POAI 2023 NOV-DIC'!BF272</f>
        <v>1322117835</v>
      </c>
      <c r="F154" s="29">
        <f>'SGTO POAI 2023 NOV-DIC'!BG264+'SGTO POAI 2023 NOV-DIC'!BG265+'SGTO POAI 2023 NOV-DIC'!BG266+'SGTO POAI 2023 NOV-DIC'!BG267+'SGTO POAI 2023 NOV-DIC'!BG268+'SGTO POAI 2023 NOV-DIC'!BG269+'SGTO POAI 2023 NOV-DIC'!BG270+'SGTO POAI 2023 NOV-DIC'!BG271+'SGTO POAI 2023 NOV-DIC'!BG272</f>
        <v>1270734152</v>
      </c>
      <c r="G154" s="196">
        <f t="shared" si="23"/>
        <v>0.96113532270744995</v>
      </c>
      <c r="H154" s="29">
        <f>'SGTO POAI 2023 NOV-DIC'!BH264+'SGTO POAI 2023 NOV-DIC'!BH265+'SGTO POAI 2023 NOV-DIC'!BH266+'SGTO POAI 2023 NOV-DIC'!BH267+'SGTO POAI 2023 NOV-DIC'!BH268+'SGTO POAI 2023 NOV-DIC'!BH269+'SGTO POAI 2023 NOV-DIC'!BH270+'SGTO POAI 2023 NOV-DIC'!BH271+'SGTO POAI 2023 NOV-DIC'!BH272</f>
        <v>1270734152</v>
      </c>
      <c r="I154" s="196">
        <f t="shared" si="24"/>
        <v>0.96113532270744995</v>
      </c>
    </row>
    <row r="155" spans="1:9" s="18" customFormat="1" ht="117.75" customHeight="1">
      <c r="A155" s="31"/>
      <c r="B155" s="37"/>
      <c r="C155" s="28">
        <v>2302</v>
      </c>
      <c r="D155" s="23" t="s">
        <v>1153</v>
      </c>
      <c r="E155" s="29">
        <f>'SGTO POAI 2023 NOV-DIC'!BF273+'SGTO POAI 2023 NOV-DIC'!BF274+'SGTO POAI 2023 NOV-DIC'!BF275+'SGTO POAI 2023 NOV-DIC'!BF276+'SGTO POAI 2023 NOV-DIC'!BF277</f>
        <v>424788331</v>
      </c>
      <c r="F155" s="29">
        <f>'SGTO POAI 2023 NOV-DIC'!BG273+'SGTO POAI 2023 NOV-DIC'!BG274+'SGTO POAI 2023 NOV-DIC'!BG275+'SGTO POAI 2023 NOV-DIC'!BG276+'SGTO POAI 2023 NOV-DIC'!BG277</f>
        <v>423628331</v>
      </c>
      <c r="G155" s="196">
        <f t="shared" si="23"/>
        <v>0.99726922818885055</v>
      </c>
      <c r="H155" s="29">
        <f>'SGTO POAI 2023 NOV-DIC'!BH273+'SGTO POAI 2023 NOV-DIC'!BH274+'SGTO POAI 2023 NOV-DIC'!BH275+'SGTO POAI 2023 NOV-DIC'!BH276+'SGTO POAI 2023 NOV-DIC'!BH277</f>
        <v>423628331</v>
      </c>
      <c r="I155" s="196">
        <f t="shared" si="24"/>
        <v>0.99726922818885055</v>
      </c>
    </row>
    <row r="156" spans="1:9" s="4" customFormat="1" ht="24" customHeight="1">
      <c r="A156" s="100">
        <v>2</v>
      </c>
      <c r="B156" s="101" t="s">
        <v>1288</v>
      </c>
      <c r="C156" s="101"/>
      <c r="D156" s="101"/>
      <c r="E156" s="102">
        <f>E157</f>
        <v>128119518</v>
      </c>
      <c r="F156" s="102">
        <f>F157</f>
        <v>114633013</v>
      </c>
      <c r="G156" s="196">
        <f t="shared" si="23"/>
        <v>0.89473496926518248</v>
      </c>
      <c r="H156" s="102">
        <f>H157</f>
        <v>114633013</v>
      </c>
      <c r="I156" s="196">
        <f t="shared" si="24"/>
        <v>0.89473496926518248</v>
      </c>
    </row>
    <row r="157" spans="1:9" ht="24" customHeight="1">
      <c r="A157" s="13"/>
      <c r="B157" s="106">
        <v>39</v>
      </c>
      <c r="C157" s="107" t="s">
        <v>746</v>
      </c>
      <c r="D157" s="108"/>
      <c r="E157" s="109">
        <f>SUM(E158:E159)</f>
        <v>128119518</v>
      </c>
      <c r="F157" s="109">
        <f>SUM(F158:F159)</f>
        <v>114633013</v>
      </c>
      <c r="G157" s="196">
        <f t="shared" si="23"/>
        <v>0.89473496926518248</v>
      </c>
      <c r="H157" s="109">
        <f>SUM(H158:H159)</f>
        <v>114633013</v>
      </c>
      <c r="I157" s="196">
        <f t="shared" si="24"/>
        <v>0.89473496926518248</v>
      </c>
    </row>
    <row r="158" spans="1:9" s="18" customFormat="1" ht="44.25" customHeight="1">
      <c r="A158" s="35"/>
      <c r="B158" s="7"/>
      <c r="C158" s="45" t="s">
        <v>1166</v>
      </c>
      <c r="D158" s="20" t="s">
        <v>1167</v>
      </c>
      <c r="E158" s="29">
        <f>'SGTO POAI 2023 NOV-DIC'!BF278+'SGTO POAI 2023 NOV-DIC'!BF279+'SGTO POAI 2023 NOV-DIC'!BF280</f>
        <v>71719518</v>
      </c>
      <c r="F158" s="29">
        <f>'SGTO POAI 2023 NOV-DIC'!BG278+'SGTO POAI 2023 NOV-DIC'!BG279+'SGTO POAI 2023 NOV-DIC'!BG280</f>
        <v>64013013</v>
      </c>
      <c r="G158" s="196">
        <f t="shared" si="23"/>
        <v>0.89254661471651275</v>
      </c>
      <c r="H158" s="29">
        <f>'SGTO POAI 2023 NOV-DIC'!BH278+'SGTO POAI 2023 NOV-DIC'!BH279+'SGTO POAI 2023 NOV-DIC'!BH280</f>
        <v>64013013</v>
      </c>
      <c r="I158" s="196">
        <f t="shared" si="24"/>
        <v>0.89254661471651275</v>
      </c>
    </row>
    <row r="159" spans="1:9" s="18" customFormat="1" ht="57.75" customHeight="1">
      <c r="A159" s="31"/>
      <c r="B159" s="7"/>
      <c r="C159" s="45">
        <v>3904</v>
      </c>
      <c r="D159" s="20" t="s">
        <v>1179</v>
      </c>
      <c r="E159" s="29">
        <f>'SGTO POAI 2023 NOV-DIC'!BF281</f>
        <v>56400000</v>
      </c>
      <c r="F159" s="29">
        <f>'SGTO POAI 2023 NOV-DIC'!BG281</f>
        <v>50620000</v>
      </c>
      <c r="G159" s="196">
        <f t="shared" si="23"/>
        <v>0.89751773049645389</v>
      </c>
      <c r="H159" s="29">
        <f>'SGTO POAI 2023 NOV-DIC'!BH281</f>
        <v>50620000</v>
      </c>
      <c r="I159" s="196">
        <f t="shared" si="24"/>
        <v>0.89751773049645389</v>
      </c>
    </row>
    <row r="160" spans="1:9" s="4" customFormat="1" ht="24" customHeight="1">
      <c r="A160" s="100">
        <v>4</v>
      </c>
      <c r="B160" s="101" t="s">
        <v>1280</v>
      </c>
      <c r="C160" s="101"/>
      <c r="D160" s="101"/>
      <c r="E160" s="102">
        <f>E161</f>
        <v>453868334</v>
      </c>
      <c r="F160" s="102">
        <f t="shared" ref="F160:H161" si="25">F161</f>
        <v>452367499</v>
      </c>
      <c r="G160" s="196">
        <f t="shared" si="23"/>
        <v>0.99669323703027934</v>
      </c>
      <c r="H160" s="102">
        <f t="shared" si="25"/>
        <v>452367499</v>
      </c>
      <c r="I160" s="196">
        <f t="shared" si="24"/>
        <v>0.99669323703027934</v>
      </c>
    </row>
    <row r="161" spans="1:9" ht="24" customHeight="1">
      <c r="A161" s="13"/>
      <c r="B161" s="106">
        <v>23</v>
      </c>
      <c r="C161" s="107" t="s">
        <v>1127</v>
      </c>
      <c r="D161" s="108"/>
      <c r="E161" s="109">
        <f>E162</f>
        <v>453868334</v>
      </c>
      <c r="F161" s="109">
        <f t="shared" si="25"/>
        <v>452367499</v>
      </c>
      <c r="G161" s="196">
        <f t="shared" si="23"/>
        <v>0.99669323703027934</v>
      </c>
      <c r="H161" s="109">
        <f t="shared" si="25"/>
        <v>452367499</v>
      </c>
      <c r="I161" s="196">
        <f t="shared" si="24"/>
        <v>0.99669323703027934</v>
      </c>
    </row>
    <row r="162" spans="1:9" s="18" customFormat="1" ht="99.75" customHeight="1">
      <c r="A162" s="31"/>
      <c r="B162" s="22"/>
      <c r="C162" s="14">
        <v>2302</v>
      </c>
      <c r="D162" s="23" t="s">
        <v>1153</v>
      </c>
      <c r="E162" s="29">
        <f>'SGTO POAI 2023 NOV-DIC'!BF282+'SGTO POAI 2023 NOV-DIC'!BF283+'SGTO POAI 2023 NOV-DIC'!BF284+'SGTO POAI 2023 NOV-DIC'!BF285+'SGTO POAI 2023 NOV-DIC'!BF286+'SGTO POAI 2023 NOV-DIC'!BF287</f>
        <v>453868334</v>
      </c>
      <c r="F162" s="29">
        <f>'SGTO POAI 2023 NOV-DIC'!BG282+'SGTO POAI 2023 NOV-DIC'!BG283+'SGTO POAI 2023 NOV-DIC'!BG284+'SGTO POAI 2023 NOV-DIC'!BG285+'SGTO POAI 2023 NOV-DIC'!BG286+'SGTO POAI 2023 NOV-DIC'!BG287</f>
        <v>452367499</v>
      </c>
      <c r="G162" s="196">
        <f t="shared" si="23"/>
        <v>0.99669323703027934</v>
      </c>
      <c r="H162" s="29">
        <f>'SGTO POAI 2023 NOV-DIC'!BH282+'SGTO POAI 2023 NOV-DIC'!BH283+'SGTO POAI 2023 NOV-DIC'!BH284+'SGTO POAI 2023 NOV-DIC'!BH285+'SGTO POAI 2023 NOV-DIC'!BH286+'SGTO POAI 2023 NOV-DIC'!BH287</f>
        <v>452367499</v>
      </c>
      <c r="I162" s="196">
        <f t="shared" si="24"/>
        <v>0.99669323703027934</v>
      </c>
    </row>
    <row r="163" spans="1:9" s="39" customFormat="1" ht="18.75" customHeight="1">
      <c r="A163" s="5"/>
      <c r="B163" s="5"/>
      <c r="C163" s="5"/>
      <c r="D163" s="6"/>
      <c r="E163" s="38"/>
      <c r="F163" s="38"/>
      <c r="G163" s="38"/>
      <c r="H163" s="38"/>
    </row>
    <row r="164" spans="1:9" s="9" customFormat="1" ht="30" customHeight="1">
      <c r="A164" s="78" t="s">
        <v>1306</v>
      </c>
      <c r="B164" s="80"/>
      <c r="C164" s="78"/>
      <c r="D164" s="81"/>
      <c r="E164" s="82">
        <f>E6+E12+E18+E23+E55+E77+E83+E90+E110+E116+E125+E144+E151</f>
        <v>446288235839.75995</v>
      </c>
      <c r="F164" s="82">
        <f>F6+F12+F18+F23+F55+F77+F83+F90+F110+F116+F125+F144+F151</f>
        <v>348632025024.12</v>
      </c>
      <c r="G164" s="196">
        <f>F164/E164</f>
        <v>0.78118130173903244</v>
      </c>
      <c r="H164" s="82">
        <f>H6+H12+H18+H23+H55+H77+H83+H90+H110+H116+H125+H144+H151</f>
        <v>295384446566.26001</v>
      </c>
      <c r="I164" s="196">
        <f>H164/E164</f>
        <v>0.66186922003545257</v>
      </c>
    </row>
    <row r="165" spans="1:9" s="39" customFormat="1" ht="29.25" customHeight="1">
      <c r="A165" s="5"/>
      <c r="B165" s="5"/>
      <c r="C165" s="5"/>
      <c r="D165" s="6"/>
      <c r="E165" s="38"/>
      <c r="F165" s="38"/>
      <c r="G165" s="38"/>
      <c r="H165" s="38"/>
    </row>
    <row r="166" spans="1:9" ht="24" customHeight="1">
      <c r="A166" s="56" t="s">
        <v>1307</v>
      </c>
      <c r="B166" s="62"/>
      <c r="C166" s="173"/>
      <c r="D166" s="172"/>
      <c r="E166" s="64">
        <f>E167</f>
        <v>10324433912.389999</v>
      </c>
      <c r="F166" s="64">
        <f t="shared" ref="F166:H167" si="26">F167</f>
        <v>8284289857.04</v>
      </c>
      <c r="G166" s="196">
        <f>F166/E166</f>
        <v>0.80239652143042028</v>
      </c>
      <c r="H166" s="64">
        <f t="shared" si="26"/>
        <v>8284289857.04</v>
      </c>
      <c r="I166" s="196">
        <f>H166/E166</f>
        <v>0.80239652143042028</v>
      </c>
    </row>
    <row r="167" spans="1:9" ht="24" customHeight="1">
      <c r="A167" s="100">
        <v>1</v>
      </c>
      <c r="B167" s="101" t="s">
        <v>1286</v>
      </c>
      <c r="C167" s="101"/>
      <c r="D167" s="101"/>
      <c r="E167" s="102">
        <f>E168</f>
        <v>10324433912.389999</v>
      </c>
      <c r="F167" s="102">
        <f t="shared" si="26"/>
        <v>8284289857.04</v>
      </c>
      <c r="G167" s="196">
        <f>F167/E167</f>
        <v>0.80239652143042028</v>
      </c>
      <c r="H167" s="102">
        <f t="shared" si="26"/>
        <v>8284289857.04</v>
      </c>
      <c r="I167" s="196">
        <f>H167/E167</f>
        <v>0.80239652143042028</v>
      </c>
    </row>
    <row r="168" spans="1:9" ht="24" customHeight="1">
      <c r="A168" s="13"/>
      <c r="B168" s="106">
        <v>43</v>
      </c>
      <c r="C168" s="107" t="s">
        <v>190</v>
      </c>
      <c r="D168" s="108"/>
      <c r="E168" s="109">
        <f>SUM(E169:E170)</f>
        <v>10324433912.389999</v>
      </c>
      <c r="F168" s="109">
        <f>SUM(F169:F170)</f>
        <v>8284289857.04</v>
      </c>
      <c r="G168" s="196">
        <f>F168/E168</f>
        <v>0.80239652143042028</v>
      </c>
      <c r="H168" s="109">
        <f>SUM(H169:H170)</f>
        <v>8284289857.04</v>
      </c>
      <c r="I168" s="196">
        <f>H168/E168</f>
        <v>0.80239652143042028</v>
      </c>
    </row>
    <row r="169" spans="1:9" ht="76.5" customHeight="1">
      <c r="A169" s="26"/>
      <c r="B169" s="27"/>
      <c r="C169" s="22">
        <v>4301</v>
      </c>
      <c r="D169" s="46" t="s">
        <v>1287</v>
      </c>
      <c r="E169" s="29">
        <f>SUM('SGTO POAI 2023 NOV-DIC'!BF288:BF291)</f>
        <v>3566923682.8499999</v>
      </c>
      <c r="F169" s="29">
        <f>SUM('SGTO POAI 2023 NOV-DIC'!BG288:BG291)</f>
        <v>2911926829.4200001</v>
      </c>
      <c r="G169" s="196">
        <f>F169/E169</f>
        <v>0.81636925494670176</v>
      </c>
      <c r="H169" s="29">
        <f>SUM('SGTO POAI 2023 NOV-DIC'!BH288:BH291)</f>
        <v>2911926829.4200001</v>
      </c>
      <c r="I169" s="196">
        <f>H169/E169</f>
        <v>0.81636925494670176</v>
      </c>
    </row>
    <row r="170" spans="1:9" ht="37.5" customHeight="1">
      <c r="A170" s="30"/>
      <c r="B170" s="31"/>
      <c r="C170" s="22">
        <v>4302</v>
      </c>
      <c r="D170" s="46" t="s">
        <v>1212</v>
      </c>
      <c r="E170" s="29">
        <f>SUM('SGTO POAI 2023 NOV-DIC'!BF292:BF293)</f>
        <v>6757510229.54</v>
      </c>
      <c r="F170" s="29">
        <f>SUM('SGTO POAI 2023 NOV-DIC'!BG292:BG293)</f>
        <v>5372363027.6199999</v>
      </c>
      <c r="G170" s="196">
        <f>F170/E170</f>
        <v>0.79502107213024664</v>
      </c>
      <c r="H170" s="29">
        <f>SUM('SGTO POAI 2023 NOV-DIC'!BH292:BH293)</f>
        <v>5372363027.6199999</v>
      </c>
      <c r="I170" s="196">
        <f>H170/E170</f>
        <v>0.79502107213024664</v>
      </c>
    </row>
    <row r="171" spans="1:9" s="39" customFormat="1" ht="18.75" customHeight="1">
      <c r="A171" s="5"/>
      <c r="B171" s="5"/>
      <c r="C171" s="5"/>
      <c r="D171" s="6"/>
      <c r="E171" s="38"/>
      <c r="F171" s="38"/>
      <c r="G171" s="38"/>
      <c r="H171" s="38"/>
    </row>
    <row r="172" spans="1:9" s="39" customFormat="1" ht="24" customHeight="1">
      <c r="A172" s="56" t="s">
        <v>1308</v>
      </c>
      <c r="B172" s="62"/>
      <c r="C172" s="62"/>
      <c r="D172" s="63"/>
      <c r="E172" s="64">
        <f>E173+E178+E184</f>
        <v>4712923248</v>
      </c>
      <c r="F172" s="64">
        <f>F173+F178+F184</f>
        <v>4617403274.6999998</v>
      </c>
      <c r="G172" s="196">
        <f t="shared" ref="G172:G186" si="27">F172/E172</f>
        <v>0.97973232996303605</v>
      </c>
      <c r="H172" s="64">
        <f>H173+H178+H184</f>
        <v>4617403274.6999998</v>
      </c>
      <c r="I172" s="196">
        <f t="shared" ref="I172:I186" si="28">H172/E172</f>
        <v>0.97973232996303605</v>
      </c>
    </row>
    <row r="173" spans="1:9" s="39" customFormat="1" ht="24" customHeight="1">
      <c r="A173" s="100">
        <v>1</v>
      </c>
      <c r="B173" s="101" t="s">
        <v>1286</v>
      </c>
      <c r="C173" s="101"/>
      <c r="D173" s="101"/>
      <c r="E173" s="102">
        <f>E174+E176</f>
        <v>2658311172</v>
      </c>
      <c r="F173" s="102">
        <f>F174+F176</f>
        <v>2651419279.6999998</v>
      </c>
      <c r="G173" s="196">
        <f t="shared" si="27"/>
        <v>0.99740741702002667</v>
      </c>
      <c r="H173" s="102">
        <f>H174+H176</f>
        <v>2651419279.6999998</v>
      </c>
      <c r="I173" s="196">
        <f t="shared" si="28"/>
        <v>0.99740741702002667</v>
      </c>
    </row>
    <row r="174" spans="1:9" ht="24" customHeight="1">
      <c r="A174" s="13"/>
      <c r="B174" s="106">
        <v>43</v>
      </c>
      <c r="C174" s="107" t="s">
        <v>190</v>
      </c>
      <c r="D174" s="108"/>
      <c r="E174" s="109">
        <f>E175</f>
        <v>1462000000</v>
      </c>
      <c r="F174" s="109">
        <f>F175</f>
        <v>1460880415.7</v>
      </c>
      <c r="G174" s="196">
        <f t="shared" si="27"/>
        <v>0.99923421046511629</v>
      </c>
      <c r="H174" s="109">
        <f>H175</f>
        <v>1460880415.7</v>
      </c>
      <c r="I174" s="196">
        <f t="shared" si="28"/>
        <v>0.99923421046511629</v>
      </c>
    </row>
    <row r="175" spans="1:9" s="39" customFormat="1" ht="76.5" customHeight="1">
      <c r="A175" s="47"/>
      <c r="B175" s="28"/>
      <c r="C175" s="12">
        <v>4301</v>
      </c>
      <c r="D175" s="23" t="s">
        <v>1287</v>
      </c>
      <c r="E175" s="29">
        <f>'SGTO POAI 2023 NOV-DIC'!BF294</f>
        <v>1462000000</v>
      </c>
      <c r="F175" s="29">
        <f>'SGTO POAI 2023 NOV-DIC'!BG294</f>
        <v>1460880415.7</v>
      </c>
      <c r="G175" s="196">
        <f t="shared" si="27"/>
        <v>0.99923421046511629</v>
      </c>
      <c r="H175" s="29">
        <f>'SGTO POAI 2023 NOV-DIC'!BH294</f>
        <v>1460880415.7</v>
      </c>
      <c r="I175" s="196">
        <f t="shared" si="28"/>
        <v>0.99923421046511629</v>
      </c>
    </row>
    <row r="176" spans="1:9" ht="24" customHeight="1">
      <c r="A176" s="40"/>
      <c r="B176" s="110">
        <v>22</v>
      </c>
      <c r="C176" s="112" t="s">
        <v>160</v>
      </c>
      <c r="D176" s="113"/>
      <c r="E176" s="109">
        <f>E177</f>
        <v>1196311172</v>
      </c>
      <c r="F176" s="109">
        <f>F177</f>
        <v>1190538864</v>
      </c>
      <c r="G176" s="196">
        <f t="shared" si="27"/>
        <v>0.99517491089684484</v>
      </c>
      <c r="H176" s="109">
        <f>H177</f>
        <v>1190538864</v>
      </c>
      <c r="I176" s="196">
        <f t="shared" si="28"/>
        <v>0.99517491089684484</v>
      </c>
    </row>
    <row r="177" spans="1:9" s="39" customFormat="1" ht="53.25" customHeight="1">
      <c r="A177" s="48"/>
      <c r="B177" s="28"/>
      <c r="C177" s="12">
        <v>2201</v>
      </c>
      <c r="D177" s="23" t="s">
        <v>298</v>
      </c>
      <c r="E177" s="29">
        <f>'SGTO POAI 2023 NOV-DIC'!BF295</f>
        <v>1196311172</v>
      </c>
      <c r="F177" s="29">
        <f>'SGTO POAI 2023 NOV-DIC'!BG295</f>
        <v>1190538864</v>
      </c>
      <c r="G177" s="196">
        <f t="shared" si="27"/>
        <v>0.99517491089684484</v>
      </c>
      <c r="H177" s="29">
        <f>'SGTO POAI 2023 NOV-DIC'!BH295</f>
        <v>1190538864</v>
      </c>
      <c r="I177" s="196">
        <f t="shared" si="28"/>
        <v>0.99517491089684484</v>
      </c>
    </row>
    <row r="178" spans="1:9" s="39" customFormat="1" ht="24" customHeight="1">
      <c r="A178" s="100">
        <v>3</v>
      </c>
      <c r="B178" s="101" t="s">
        <v>1290</v>
      </c>
      <c r="C178" s="101"/>
      <c r="D178" s="101"/>
      <c r="E178" s="102">
        <f>E179+E181</f>
        <v>1510612076</v>
      </c>
      <c r="F178" s="102">
        <f>F179+F181</f>
        <v>1425202285</v>
      </c>
      <c r="G178" s="196">
        <f t="shared" si="27"/>
        <v>0.94346014284080171</v>
      </c>
      <c r="H178" s="102">
        <f>H179+H181</f>
        <v>1425202285</v>
      </c>
      <c r="I178" s="196">
        <f t="shared" si="28"/>
        <v>0.94346014284080171</v>
      </c>
    </row>
    <row r="179" spans="1:9" ht="24" customHeight="1">
      <c r="A179" s="13"/>
      <c r="B179" s="106">
        <v>24</v>
      </c>
      <c r="C179" s="107" t="s">
        <v>213</v>
      </c>
      <c r="D179" s="108"/>
      <c r="E179" s="109">
        <f>E180</f>
        <v>440356768</v>
      </c>
      <c r="F179" s="109">
        <f>F180</f>
        <v>421335509</v>
      </c>
      <c r="G179" s="196">
        <f t="shared" si="27"/>
        <v>0.9568048900749494</v>
      </c>
      <c r="H179" s="109">
        <f>H180</f>
        <v>421335509</v>
      </c>
      <c r="I179" s="196">
        <f t="shared" si="28"/>
        <v>0.9568048900749494</v>
      </c>
    </row>
    <row r="180" spans="1:9" s="39" customFormat="1" ht="42" customHeight="1">
      <c r="A180" s="47"/>
      <c r="B180" s="28"/>
      <c r="C180" s="12">
        <v>2402</v>
      </c>
      <c r="D180" s="24" t="s">
        <v>214</v>
      </c>
      <c r="E180" s="49">
        <f>'SGTO POAI 2023 NOV-DIC'!BF296</f>
        <v>440356768</v>
      </c>
      <c r="F180" s="49">
        <f>'SGTO POAI 2023 NOV-DIC'!BG296</f>
        <v>421335509</v>
      </c>
      <c r="G180" s="196">
        <f t="shared" si="27"/>
        <v>0.9568048900749494</v>
      </c>
      <c r="H180" s="49">
        <f>'SGTO POAI 2023 NOV-DIC'!BH296</f>
        <v>421335509</v>
      </c>
      <c r="I180" s="196">
        <f t="shared" si="28"/>
        <v>0.9568048900749494</v>
      </c>
    </row>
    <row r="181" spans="1:9" ht="24" customHeight="1">
      <c r="A181" s="40"/>
      <c r="B181" s="110">
        <v>40</v>
      </c>
      <c r="C181" s="111" t="s">
        <v>1291</v>
      </c>
      <c r="D181" s="108"/>
      <c r="E181" s="109">
        <f>E182+E183</f>
        <v>1070255308</v>
      </c>
      <c r="F181" s="109">
        <f>F182+F183</f>
        <v>1003866776</v>
      </c>
      <c r="G181" s="196">
        <f t="shared" si="27"/>
        <v>0.93796944382919145</v>
      </c>
      <c r="H181" s="109">
        <f>H182+H183</f>
        <v>1003866776</v>
      </c>
      <c r="I181" s="196">
        <f t="shared" si="28"/>
        <v>0.93796944382919145</v>
      </c>
    </row>
    <row r="182" spans="1:9" s="39" customFormat="1" ht="44.25" customHeight="1">
      <c r="A182" s="48"/>
      <c r="B182" s="28"/>
      <c r="C182" s="12">
        <v>4001</v>
      </c>
      <c r="D182" s="50" t="s">
        <v>242</v>
      </c>
      <c r="E182" s="49">
        <f>'SGTO POAI 2023 NOV-DIC'!BF297+'SGTO POAI 2023 NOV-DIC'!BF298+'SGTO POAI 2023 NOV-DIC'!BF299+'SGTO POAI 2023 NOV-DIC'!BF300+'SGTO POAI 2023 NOV-DIC'!BF301+'SGTO POAI 2023 NOV-DIC'!BF302+'SGTO POAI 2023 NOV-DIC'!BF303</f>
        <v>920255308</v>
      </c>
      <c r="F182" s="49">
        <f>'SGTO POAI 2023 NOV-DIC'!BG297+'SGTO POAI 2023 NOV-DIC'!BG298+'SGTO POAI 2023 NOV-DIC'!BG299+'SGTO POAI 2023 NOV-DIC'!BG300+'SGTO POAI 2023 NOV-DIC'!BG301+'SGTO POAI 2023 NOV-DIC'!BG302+'SGTO POAI 2023 NOV-DIC'!BG303</f>
        <v>857866776</v>
      </c>
      <c r="G182" s="196">
        <f t="shared" si="27"/>
        <v>0.93220519190963469</v>
      </c>
      <c r="H182" s="49">
        <f>'SGTO POAI 2023 NOV-DIC'!BH297+'SGTO POAI 2023 NOV-DIC'!BH298+'SGTO POAI 2023 NOV-DIC'!BH299+'SGTO POAI 2023 NOV-DIC'!BH300+'SGTO POAI 2023 NOV-DIC'!BH301+'SGTO POAI 2023 NOV-DIC'!BH302+'SGTO POAI 2023 NOV-DIC'!BH303</f>
        <v>857866776</v>
      </c>
      <c r="I182" s="196">
        <f t="shared" si="28"/>
        <v>0.93220519190963469</v>
      </c>
    </row>
    <row r="183" spans="1:9" s="39" customFormat="1" ht="52.5" customHeight="1">
      <c r="A183" s="5"/>
      <c r="B183" s="28"/>
      <c r="C183" s="12">
        <v>4003</v>
      </c>
      <c r="D183" s="50" t="s">
        <v>250</v>
      </c>
      <c r="E183" s="49">
        <f>'SGTO POAI 2023 NOV-DIC'!BF304</f>
        <v>150000000</v>
      </c>
      <c r="F183" s="49">
        <f>'SGTO POAI 2023 NOV-DIC'!BG304</f>
        <v>146000000</v>
      </c>
      <c r="G183" s="196">
        <f>F183/E183</f>
        <v>0.97333333333333338</v>
      </c>
      <c r="H183" s="49">
        <f>'SGTO POAI 2023 NOV-DIC'!BH304</f>
        <v>146000000</v>
      </c>
      <c r="I183" s="196">
        <f t="shared" si="28"/>
        <v>0.97333333333333338</v>
      </c>
    </row>
    <row r="184" spans="1:9" ht="24" customHeight="1">
      <c r="A184" s="100">
        <v>4</v>
      </c>
      <c r="B184" s="101" t="s">
        <v>1280</v>
      </c>
      <c r="C184" s="101"/>
      <c r="D184" s="101"/>
      <c r="E184" s="102">
        <f>E185</f>
        <v>544000000</v>
      </c>
      <c r="F184" s="102">
        <f>F185</f>
        <v>540781710</v>
      </c>
      <c r="G184" s="196">
        <f t="shared" si="27"/>
        <v>0.99408402573529409</v>
      </c>
      <c r="H184" s="102">
        <f>H185</f>
        <v>540781710</v>
      </c>
      <c r="I184" s="196">
        <f t="shared" si="28"/>
        <v>0.99408402573529409</v>
      </c>
    </row>
    <row r="185" spans="1:9" ht="24" customHeight="1">
      <c r="A185" s="13"/>
      <c r="B185" s="106">
        <v>45</v>
      </c>
      <c r="C185" s="107" t="s">
        <v>60</v>
      </c>
      <c r="D185" s="108"/>
      <c r="E185" s="109">
        <f>SUM(E186:E186)</f>
        <v>544000000</v>
      </c>
      <c r="F185" s="109">
        <f>SUM(F186:F186)</f>
        <v>540781710</v>
      </c>
      <c r="G185" s="196">
        <f t="shared" si="27"/>
        <v>0.99408402573529409</v>
      </c>
      <c r="H185" s="109">
        <f>SUM(H186:H186)</f>
        <v>540781710</v>
      </c>
      <c r="I185" s="196">
        <f t="shared" si="28"/>
        <v>0.99408402573529409</v>
      </c>
    </row>
    <row r="186" spans="1:9" ht="53.25" customHeight="1">
      <c r="A186" s="12"/>
      <c r="B186" s="12"/>
      <c r="C186" s="12">
        <v>4599</v>
      </c>
      <c r="D186" s="23" t="s">
        <v>1282</v>
      </c>
      <c r="E186" s="29">
        <f>'SGTO POAI 2023 NOV-DIC'!BF305</f>
        <v>544000000</v>
      </c>
      <c r="F186" s="29">
        <f>'SGTO POAI 2023 NOV-DIC'!BG305</f>
        <v>540781710</v>
      </c>
      <c r="G186" s="196">
        <f t="shared" si="27"/>
        <v>0.99408402573529409</v>
      </c>
      <c r="H186" s="29">
        <f>'SGTO POAI 2023 NOV-DIC'!BH305</f>
        <v>540781710</v>
      </c>
      <c r="I186" s="196">
        <f t="shared" si="28"/>
        <v>0.99408402573529409</v>
      </c>
    </row>
    <row r="187" spans="1:9" s="39" customFormat="1" ht="18.75" customHeight="1">
      <c r="A187" s="5"/>
      <c r="B187" s="5"/>
      <c r="C187" s="5"/>
      <c r="D187" s="6"/>
      <c r="E187" s="38"/>
      <c r="F187" s="38"/>
      <c r="G187" s="38"/>
      <c r="H187" s="38"/>
    </row>
    <row r="188" spans="1:9" ht="24" customHeight="1">
      <c r="A188" s="56" t="s">
        <v>1309</v>
      </c>
      <c r="B188" s="62"/>
      <c r="C188" s="62"/>
      <c r="D188" s="63"/>
      <c r="E188" s="64">
        <f>E189</f>
        <v>168932650</v>
      </c>
      <c r="F188" s="64">
        <f t="shared" ref="F188:H190" si="29">F189</f>
        <v>168932650</v>
      </c>
      <c r="G188" s="196">
        <f>F188/E188</f>
        <v>1</v>
      </c>
      <c r="H188" s="64">
        <f t="shared" si="29"/>
        <v>168932650</v>
      </c>
      <c r="I188" s="196">
        <f>H188/E188</f>
        <v>1</v>
      </c>
    </row>
    <row r="189" spans="1:9" ht="24" customHeight="1">
      <c r="A189" s="100">
        <v>3</v>
      </c>
      <c r="B189" s="101" t="s">
        <v>1290</v>
      </c>
      <c r="C189" s="101"/>
      <c r="D189" s="101"/>
      <c r="E189" s="102">
        <f>E190</f>
        <v>168932650</v>
      </c>
      <c r="F189" s="102">
        <f t="shared" si="29"/>
        <v>168932650</v>
      </c>
      <c r="G189" s="196">
        <f>F189/E189</f>
        <v>1</v>
      </c>
      <c r="H189" s="102">
        <f t="shared" si="29"/>
        <v>168932650</v>
      </c>
      <c r="I189" s="196">
        <f>H189/E189</f>
        <v>1</v>
      </c>
    </row>
    <row r="190" spans="1:9" ht="24" customHeight="1">
      <c r="A190" s="13"/>
      <c r="B190" s="106">
        <v>24</v>
      </c>
      <c r="C190" s="107" t="s">
        <v>213</v>
      </c>
      <c r="D190" s="108"/>
      <c r="E190" s="109">
        <f>E191</f>
        <v>168932650</v>
      </c>
      <c r="F190" s="109">
        <f t="shared" si="29"/>
        <v>168932650</v>
      </c>
      <c r="G190" s="196">
        <f>F190/E190</f>
        <v>1</v>
      </c>
      <c r="H190" s="109">
        <f t="shared" si="29"/>
        <v>168932650</v>
      </c>
      <c r="I190" s="196">
        <f>H190/E190</f>
        <v>1</v>
      </c>
    </row>
    <row r="191" spans="1:9" ht="54" customHeight="1">
      <c r="A191" s="31"/>
      <c r="B191" s="22"/>
      <c r="C191" s="12">
        <v>2409</v>
      </c>
      <c r="D191" s="23" t="s">
        <v>1257</v>
      </c>
      <c r="E191" s="29">
        <f>'SGTO POAI 2023 NOV-DIC'!BF306+'SGTO POAI 2023 NOV-DIC'!BF307+'SGTO POAI 2023 NOV-DIC'!BF308+'SGTO POAI 2023 NOV-DIC'!BF309</f>
        <v>168932650</v>
      </c>
      <c r="F191" s="29">
        <f>'SGTO POAI 2023 NOV-DIC'!BG306+'SGTO POAI 2023 NOV-DIC'!BG307+'SGTO POAI 2023 NOV-DIC'!BG308+'SGTO POAI 2023 NOV-DIC'!BG309</f>
        <v>168932650</v>
      </c>
      <c r="G191" s="196">
        <f>F191/E191</f>
        <v>1</v>
      </c>
      <c r="H191" s="29">
        <f>'SGTO POAI 2023 NOV-DIC'!BH306+'SGTO POAI 2023 NOV-DIC'!BH307+'SGTO POAI 2023 NOV-DIC'!BH308+'SGTO POAI 2023 NOV-DIC'!BH309</f>
        <v>168932650</v>
      </c>
      <c r="I191" s="196">
        <f>H191/E191</f>
        <v>1</v>
      </c>
    </row>
    <row r="192" spans="1:9" s="39" customFormat="1" ht="23.25" customHeight="1">
      <c r="A192" s="5"/>
      <c r="B192" s="5"/>
      <c r="C192" s="5"/>
      <c r="D192" s="6"/>
      <c r="E192" s="51"/>
      <c r="F192" s="51"/>
      <c r="G192" s="51"/>
      <c r="H192" s="51"/>
    </row>
    <row r="193" spans="1:9" s="9" customFormat="1" ht="30" customHeight="1">
      <c r="A193" s="78" t="s">
        <v>1310</v>
      </c>
      <c r="B193" s="78"/>
      <c r="C193" s="78"/>
      <c r="D193" s="78"/>
      <c r="E193" s="79">
        <f>E188+E172+E166</f>
        <v>15206289810.389999</v>
      </c>
      <c r="F193" s="79">
        <f>F188+F172+F166</f>
        <v>13070625781.74</v>
      </c>
      <c r="G193" s="196">
        <f>F193/E193</f>
        <v>0.85955390464866943</v>
      </c>
      <c r="H193" s="79">
        <f>H188+H172+H166</f>
        <v>13070625781.74</v>
      </c>
      <c r="I193" s="196">
        <f>H193/E193</f>
        <v>0.85955390464866943</v>
      </c>
    </row>
    <row r="194" spans="1:9" s="9" customFormat="1" ht="16.5" thickBot="1">
      <c r="A194" s="52"/>
      <c r="B194" s="52"/>
      <c r="C194" s="52"/>
      <c r="D194" s="53"/>
      <c r="E194" s="54"/>
      <c r="F194" s="54"/>
      <c r="G194" s="54"/>
      <c r="H194" s="54"/>
    </row>
    <row r="195" spans="1:9" s="9" customFormat="1" ht="30" customHeight="1" thickBot="1">
      <c r="A195" s="74" t="s">
        <v>1311</v>
      </c>
      <c r="B195" s="75"/>
      <c r="C195" s="75"/>
      <c r="D195" s="76"/>
      <c r="E195" s="77">
        <f>E164+E193</f>
        <v>461494525650.14996</v>
      </c>
      <c r="F195" s="77">
        <f>F164+F193</f>
        <v>361702650805.85999</v>
      </c>
      <c r="G195" s="198">
        <f>F195/E195</f>
        <v>0.78376368667926466</v>
      </c>
      <c r="H195" s="77">
        <f>H164+H193</f>
        <v>308455072348</v>
      </c>
      <c r="I195" s="198">
        <f>H195/E195</f>
        <v>0.66838294975103085</v>
      </c>
    </row>
    <row r="197" spans="1:9" ht="28.5" customHeight="1"/>
    <row r="199" spans="1:9" ht="15.75" thickBot="1"/>
    <row r="200" spans="1:9" ht="15.75">
      <c r="E200" s="498" t="s">
        <v>1500</v>
      </c>
      <c r="F200" s="499"/>
    </row>
    <row r="201" spans="1:9">
      <c r="E201" s="500" t="s">
        <v>1492</v>
      </c>
      <c r="F201" s="501"/>
    </row>
    <row r="202" spans="1:9">
      <c r="E202" s="502" t="s">
        <v>1494</v>
      </c>
      <c r="F202" s="503"/>
    </row>
    <row r="203" spans="1:9">
      <c r="E203" s="488" t="s">
        <v>1496</v>
      </c>
      <c r="F203" s="489"/>
    </row>
    <row r="204" spans="1:9">
      <c r="E204" s="490" t="s">
        <v>1498</v>
      </c>
      <c r="F204" s="491"/>
    </row>
    <row r="205" spans="1:9">
      <c r="E205" s="492" t="s">
        <v>1499</v>
      </c>
      <c r="F205" s="493"/>
    </row>
  </sheetData>
  <mergeCells count="8">
    <mergeCell ref="E203:F203"/>
    <mergeCell ref="E204:F204"/>
    <mergeCell ref="E205:F205"/>
    <mergeCell ref="C5:D5"/>
    <mergeCell ref="A1:I3"/>
    <mergeCell ref="E200:F200"/>
    <mergeCell ref="E201:F201"/>
    <mergeCell ref="E202:F202"/>
  </mergeCells>
  <conditionalFormatting sqref="G6:G10">
    <cfRule type="cellIs" dxfId="439" priority="221" operator="between">
      <formula>0</formula>
      <formula>0.3999</formula>
    </cfRule>
    <cfRule type="cellIs" dxfId="438" priority="222" operator="between">
      <formula>0.3955</formula>
      <formula>0.5949</formula>
    </cfRule>
    <cfRule type="cellIs" dxfId="437" priority="223" operator="between">
      <formula>0.595</formula>
      <formula>0.6949</formula>
    </cfRule>
    <cfRule type="cellIs" dxfId="436" priority="224" operator="between">
      <formula>0.695</formula>
      <formula>0.7949</formula>
    </cfRule>
    <cfRule type="cellIs" dxfId="435" priority="225" operator="between">
      <formula>0.795</formula>
      <formula>1</formula>
    </cfRule>
  </conditionalFormatting>
  <conditionalFormatting sqref="G12:G16">
    <cfRule type="cellIs" dxfId="434" priority="216" operator="between">
      <formula>0</formula>
      <formula>0.3999</formula>
    </cfRule>
    <cfRule type="cellIs" dxfId="433" priority="217" operator="between">
      <formula>0.3955</formula>
      <formula>0.5949</formula>
    </cfRule>
    <cfRule type="cellIs" dxfId="432" priority="218" operator="between">
      <formula>0.595</formula>
      <formula>0.6949</formula>
    </cfRule>
    <cfRule type="cellIs" dxfId="431" priority="219" operator="between">
      <formula>0.695</formula>
      <formula>0.7949</formula>
    </cfRule>
    <cfRule type="cellIs" dxfId="430" priority="220" operator="between">
      <formula>0.795</formula>
      <formula>1</formula>
    </cfRule>
  </conditionalFormatting>
  <conditionalFormatting sqref="G18:G21">
    <cfRule type="cellIs" dxfId="429" priority="211" operator="between">
      <formula>0</formula>
      <formula>0.3999</formula>
    </cfRule>
    <cfRule type="cellIs" dxfId="428" priority="212" operator="between">
      <formula>0.3955</formula>
      <formula>0.5949</formula>
    </cfRule>
    <cfRule type="cellIs" dxfId="427" priority="213" operator="between">
      <formula>0.595</formula>
      <formula>0.6949</formula>
    </cfRule>
    <cfRule type="cellIs" dxfId="426" priority="214" operator="between">
      <formula>0.695</formula>
      <formula>0.7949</formula>
    </cfRule>
    <cfRule type="cellIs" dxfId="425" priority="215" operator="between">
      <formula>0.795</formula>
      <formula>1</formula>
    </cfRule>
  </conditionalFormatting>
  <conditionalFormatting sqref="G23:G53">
    <cfRule type="cellIs" dxfId="424" priority="6" operator="between">
      <formula>0</formula>
      <formula>0.3999</formula>
    </cfRule>
    <cfRule type="cellIs" dxfId="423" priority="7" operator="between">
      <formula>0.3955</formula>
      <formula>0.5949</formula>
    </cfRule>
    <cfRule type="cellIs" dxfId="422" priority="8" operator="between">
      <formula>0.595</formula>
      <formula>0.6949</formula>
    </cfRule>
    <cfRule type="cellIs" dxfId="421" priority="9" operator="between">
      <formula>0.695</formula>
      <formula>0.7949</formula>
    </cfRule>
    <cfRule type="cellIs" dxfId="420" priority="10" operator="between">
      <formula>0.795</formula>
      <formula>1</formula>
    </cfRule>
  </conditionalFormatting>
  <conditionalFormatting sqref="G55:G75">
    <cfRule type="cellIs" dxfId="419" priority="201" operator="between">
      <formula>0</formula>
      <formula>0.3999</formula>
    </cfRule>
    <cfRule type="cellIs" dxfId="418" priority="202" operator="between">
      <formula>0.3955</formula>
      <formula>0.5949</formula>
    </cfRule>
    <cfRule type="cellIs" dxfId="417" priority="203" operator="between">
      <formula>0.595</formula>
      <formula>0.6949</formula>
    </cfRule>
    <cfRule type="cellIs" dxfId="416" priority="204" operator="between">
      <formula>0.695</formula>
      <formula>0.7949</formula>
    </cfRule>
    <cfRule type="cellIs" dxfId="415" priority="205" operator="between">
      <formula>0.795</formula>
      <formula>1</formula>
    </cfRule>
  </conditionalFormatting>
  <conditionalFormatting sqref="G77:G81">
    <cfRule type="cellIs" dxfId="414" priority="196" operator="between">
      <formula>0</formula>
      <formula>0.3999</formula>
    </cfRule>
    <cfRule type="cellIs" dxfId="413" priority="197" operator="between">
      <formula>0.3955</formula>
      <formula>0.5949</formula>
    </cfRule>
    <cfRule type="cellIs" dxfId="412" priority="198" operator="between">
      <formula>0.595</formula>
      <formula>0.6949</formula>
    </cfRule>
    <cfRule type="cellIs" dxfId="411" priority="199" operator="between">
      <formula>0.695</formula>
      <formula>0.7949</formula>
    </cfRule>
    <cfRule type="cellIs" dxfId="410" priority="200" operator="between">
      <formula>0.795</formula>
      <formula>1</formula>
    </cfRule>
  </conditionalFormatting>
  <conditionalFormatting sqref="G83:G88">
    <cfRule type="cellIs" dxfId="409" priority="191" operator="between">
      <formula>0</formula>
      <formula>0.3999</formula>
    </cfRule>
    <cfRule type="cellIs" dxfId="408" priority="192" operator="between">
      <formula>0.3955</formula>
      <formula>0.5949</formula>
    </cfRule>
    <cfRule type="cellIs" dxfId="407" priority="193" operator="between">
      <formula>0.595</formula>
      <formula>0.6949</formula>
    </cfRule>
    <cfRule type="cellIs" dxfId="406" priority="194" operator="between">
      <formula>0.695</formula>
      <formula>0.7949</formula>
    </cfRule>
    <cfRule type="cellIs" dxfId="405" priority="195" operator="between">
      <formula>0.795</formula>
      <formula>1</formula>
    </cfRule>
  </conditionalFormatting>
  <conditionalFormatting sqref="G90:G108">
    <cfRule type="cellIs" dxfId="404" priority="186" operator="between">
      <formula>0</formula>
      <formula>0.3999</formula>
    </cfRule>
    <cfRule type="cellIs" dxfId="403" priority="187" operator="between">
      <formula>0.3955</formula>
      <formula>0.5949</formula>
    </cfRule>
    <cfRule type="cellIs" dxfId="402" priority="188" operator="between">
      <formula>0.595</formula>
      <formula>0.6949</formula>
    </cfRule>
    <cfRule type="cellIs" dxfId="401" priority="189" operator="between">
      <formula>0.695</formula>
      <formula>0.7949</formula>
    </cfRule>
    <cfRule type="cellIs" dxfId="400" priority="190" operator="between">
      <formula>0.795</formula>
      <formula>1</formula>
    </cfRule>
  </conditionalFormatting>
  <conditionalFormatting sqref="G110:G114">
    <cfRule type="cellIs" dxfId="399" priority="181" operator="between">
      <formula>0</formula>
      <formula>0.3999</formula>
    </cfRule>
    <cfRule type="cellIs" dxfId="398" priority="182" operator="between">
      <formula>0.3955</formula>
      <formula>0.5949</formula>
    </cfRule>
    <cfRule type="cellIs" dxfId="397" priority="183" operator="between">
      <formula>0.595</formula>
      <formula>0.6949</formula>
    </cfRule>
    <cfRule type="cellIs" dxfId="396" priority="184" operator="between">
      <formula>0.695</formula>
      <formula>0.7949</formula>
    </cfRule>
    <cfRule type="cellIs" dxfId="395" priority="185" operator="between">
      <formula>0.795</formula>
      <formula>1</formula>
    </cfRule>
  </conditionalFormatting>
  <conditionalFormatting sqref="G116:G123">
    <cfRule type="cellIs" dxfId="394" priority="176" operator="between">
      <formula>0</formula>
      <formula>0.3999</formula>
    </cfRule>
    <cfRule type="cellIs" dxfId="393" priority="177" operator="between">
      <formula>0.3955</formula>
      <formula>0.5949</formula>
    </cfRule>
    <cfRule type="cellIs" dxfId="392" priority="178" operator="between">
      <formula>0.595</formula>
      <formula>0.6949</formula>
    </cfRule>
    <cfRule type="cellIs" dxfId="391" priority="179" operator="between">
      <formula>0.695</formula>
      <formula>0.7949</formula>
    </cfRule>
    <cfRule type="cellIs" dxfId="390" priority="180" operator="between">
      <formula>0.795</formula>
      <formula>1</formula>
    </cfRule>
  </conditionalFormatting>
  <conditionalFormatting sqref="G125:G142">
    <cfRule type="cellIs" dxfId="389" priority="171" operator="between">
      <formula>0</formula>
      <formula>0.3999</formula>
    </cfRule>
    <cfRule type="cellIs" dxfId="388" priority="172" operator="between">
      <formula>0.3955</formula>
      <formula>0.5949</formula>
    </cfRule>
    <cfRule type="cellIs" dxfId="387" priority="173" operator="between">
      <formula>0.595</formula>
      <formula>0.6949</formula>
    </cfRule>
    <cfRule type="cellIs" dxfId="386" priority="174" operator="between">
      <formula>0.695</formula>
      <formula>0.7949</formula>
    </cfRule>
    <cfRule type="cellIs" dxfId="385" priority="175" operator="between">
      <formula>0.795</formula>
      <formula>1</formula>
    </cfRule>
  </conditionalFormatting>
  <conditionalFormatting sqref="G144:G149">
    <cfRule type="cellIs" dxfId="384" priority="166" operator="between">
      <formula>0</formula>
      <formula>0.3999</formula>
    </cfRule>
    <cfRule type="cellIs" dxfId="383" priority="167" operator="between">
      <formula>0.3955</formula>
      <formula>0.5949</formula>
    </cfRule>
    <cfRule type="cellIs" dxfId="382" priority="168" operator="between">
      <formula>0.595</formula>
      <formula>0.6949</formula>
    </cfRule>
    <cfRule type="cellIs" dxfId="381" priority="169" operator="between">
      <formula>0.695</formula>
      <formula>0.7949</formula>
    </cfRule>
    <cfRule type="cellIs" dxfId="380" priority="170" operator="between">
      <formula>0.795</formula>
      <formula>1</formula>
    </cfRule>
  </conditionalFormatting>
  <conditionalFormatting sqref="G151:G162">
    <cfRule type="cellIs" dxfId="379" priority="161" operator="between">
      <formula>0</formula>
      <formula>0.3999</formula>
    </cfRule>
    <cfRule type="cellIs" dxfId="378" priority="162" operator="between">
      <formula>0.3955</formula>
      <formula>0.5949</formula>
    </cfRule>
    <cfRule type="cellIs" dxfId="377" priority="163" operator="between">
      <formula>0.595</formula>
      <formula>0.6949</formula>
    </cfRule>
    <cfRule type="cellIs" dxfId="376" priority="164" operator="between">
      <formula>0.695</formula>
      <formula>0.7949</formula>
    </cfRule>
    <cfRule type="cellIs" dxfId="375" priority="165" operator="between">
      <formula>0.795</formula>
      <formula>1</formula>
    </cfRule>
  </conditionalFormatting>
  <conditionalFormatting sqref="G164">
    <cfRule type="cellIs" dxfId="374" priority="156" operator="between">
      <formula>0</formula>
      <formula>0.3999</formula>
    </cfRule>
    <cfRule type="cellIs" dxfId="373" priority="157" operator="between">
      <formula>0.3955</formula>
      <formula>0.5949</formula>
    </cfRule>
    <cfRule type="cellIs" dxfId="372" priority="158" operator="between">
      <formula>0.595</formula>
      <formula>0.6949</formula>
    </cfRule>
    <cfRule type="cellIs" dxfId="371" priority="159" operator="between">
      <formula>0.695</formula>
      <formula>0.7949</formula>
    </cfRule>
    <cfRule type="cellIs" dxfId="370" priority="160" operator="between">
      <formula>0.795</formula>
      <formula>1</formula>
    </cfRule>
  </conditionalFormatting>
  <conditionalFormatting sqref="G166:G170">
    <cfRule type="cellIs" dxfId="369" priority="146" operator="between">
      <formula>0</formula>
      <formula>0.3999</formula>
    </cfRule>
    <cfRule type="cellIs" dxfId="368" priority="147" operator="between">
      <formula>0.3955</formula>
      <formula>0.5949</formula>
    </cfRule>
    <cfRule type="cellIs" dxfId="367" priority="148" operator="between">
      <formula>0.595</formula>
      <formula>0.6949</formula>
    </cfRule>
    <cfRule type="cellIs" dxfId="366" priority="149" operator="between">
      <formula>0.695</formula>
      <formula>0.7949</formula>
    </cfRule>
    <cfRule type="cellIs" dxfId="365" priority="150" operator="between">
      <formula>0.795</formula>
      <formula>1</formula>
    </cfRule>
  </conditionalFormatting>
  <conditionalFormatting sqref="G172:G186">
    <cfRule type="cellIs" dxfId="364" priority="141" operator="between">
      <formula>0</formula>
      <formula>0.3999</formula>
    </cfRule>
    <cfRule type="cellIs" dxfId="363" priority="142" operator="between">
      <formula>0.3955</formula>
      <formula>0.5949</formula>
    </cfRule>
    <cfRule type="cellIs" dxfId="362" priority="143" operator="between">
      <formula>0.595</formula>
      <formula>0.6949</formula>
    </cfRule>
    <cfRule type="cellIs" dxfId="361" priority="144" operator="between">
      <formula>0.695</formula>
      <formula>0.7949</formula>
    </cfRule>
    <cfRule type="cellIs" dxfId="360" priority="145" operator="between">
      <formula>0.795</formula>
      <formula>1</formula>
    </cfRule>
  </conditionalFormatting>
  <conditionalFormatting sqref="G188:G191">
    <cfRule type="cellIs" dxfId="359" priority="136" operator="between">
      <formula>0</formula>
      <formula>0.3999</formula>
    </cfRule>
    <cfRule type="cellIs" dxfId="358" priority="137" operator="between">
      <formula>0.3955</formula>
      <formula>0.5949</formula>
    </cfRule>
    <cfRule type="cellIs" dxfId="357" priority="138" operator="between">
      <formula>0.595</formula>
      <formula>0.6949</formula>
    </cfRule>
    <cfRule type="cellIs" dxfId="356" priority="139" operator="between">
      <formula>0.695</formula>
      <formula>0.7949</formula>
    </cfRule>
    <cfRule type="cellIs" dxfId="355" priority="140" operator="between">
      <formula>0.795</formula>
      <formula>1</formula>
    </cfRule>
  </conditionalFormatting>
  <conditionalFormatting sqref="G193">
    <cfRule type="cellIs" dxfId="354" priority="131" operator="between">
      <formula>0</formula>
      <formula>0.3999</formula>
    </cfRule>
    <cfRule type="cellIs" dxfId="353" priority="132" operator="between">
      <formula>0.3955</formula>
      <formula>0.5949</formula>
    </cfRule>
    <cfRule type="cellIs" dxfId="352" priority="133" operator="between">
      <formula>0.595</formula>
      <formula>0.6949</formula>
    </cfRule>
    <cfRule type="cellIs" dxfId="351" priority="134" operator="between">
      <formula>0.695</formula>
      <formula>0.7949</formula>
    </cfRule>
    <cfRule type="cellIs" dxfId="350" priority="135" operator="between">
      <formula>0.795</formula>
      <formula>1</formula>
    </cfRule>
  </conditionalFormatting>
  <conditionalFormatting sqref="G195">
    <cfRule type="cellIs" dxfId="349" priority="126" operator="between">
      <formula>0</formula>
      <formula>0.3999</formula>
    </cfRule>
    <cfRule type="cellIs" dxfId="348" priority="127" operator="between">
      <formula>0.3955</formula>
      <formula>0.5949</formula>
    </cfRule>
    <cfRule type="cellIs" dxfId="347" priority="128" operator="between">
      <formula>0.595</formula>
      <formula>0.6949</formula>
    </cfRule>
    <cfRule type="cellIs" dxfId="346" priority="129" operator="between">
      <formula>0.695</formula>
      <formula>0.7949</formula>
    </cfRule>
    <cfRule type="cellIs" dxfId="345" priority="130" operator="between">
      <formula>0.795</formula>
      <formula>1</formula>
    </cfRule>
  </conditionalFormatting>
  <conditionalFormatting sqref="I6:I10">
    <cfRule type="cellIs" dxfId="344" priority="111" operator="between">
      <formula>0</formula>
      <formula>0.3999</formula>
    </cfRule>
    <cfRule type="cellIs" dxfId="343" priority="112" operator="between">
      <formula>0.3955</formula>
      <formula>0.5949</formula>
    </cfRule>
    <cfRule type="cellIs" dxfId="342" priority="113" operator="between">
      <formula>0.595</formula>
      <formula>0.6949</formula>
    </cfRule>
    <cfRule type="cellIs" dxfId="341" priority="114" operator="between">
      <formula>0.695</formula>
      <formula>0.7949</formula>
    </cfRule>
    <cfRule type="cellIs" dxfId="340" priority="115" operator="between">
      <formula>0.795</formula>
      <formula>1</formula>
    </cfRule>
  </conditionalFormatting>
  <conditionalFormatting sqref="I12:I16">
    <cfRule type="cellIs" dxfId="339" priority="106" operator="between">
      <formula>0</formula>
      <formula>0.3999</formula>
    </cfRule>
    <cfRule type="cellIs" dxfId="338" priority="107" operator="between">
      <formula>0.3955</formula>
      <formula>0.5949</formula>
    </cfRule>
    <cfRule type="cellIs" dxfId="337" priority="108" operator="between">
      <formula>0.595</formula>
      <formula>0.6949</formula>
    </cfRule>
    <cfRule type="cellIs" dxfId="336" priority="109" operator="between">
      <formula>0.695</formula>
      <formula>0.7949</formula>
    </cfRule>
    <cfRule type="cellIs" dxfId="335" priority="110" operator="between">
      <formula>0.795</formula>
      <formula>1</formula>
    </cfRule>
  </conditionalFormatting>
  <conditionalFormatting sqref="I18:I21">
    <cfRule type="cellIs" dxfId="334" priority="101" operator="between">
      <formula>0</formula>
      <formula>0.3999</formula>
    </cfRule>
    <cfRule type="cellIs" dxfId="333" priority="102" operator="between">
      <formula>0.3955</formula>
      <formula>0.5949</formula>
    </cfRule>
    <cfRule type="cellIs" dxfId="332" priority="103" operator="between">
      <formula>0.595</formula>
      <formula>0.6949</formula>
    </cfRule>
    <cfRule type="cellIs" dxfId="331" priority="104" operator="between">
      <formula>0.695</formula>
      <formula>0.7949</formula>
    </cfRule>
    <cfRule type="cellIs" dxfId="330" priority="105" operator="between">
      <formula>0.795</formula>
      <formula>1</formula>
    </cfRule>
  </conditionalFormatting>
  <conditionalFormatting sqref="I23:I53">
    <cfRule type="cellIs" dxfId="329" priority="1" operator="between">
      <formula>0</formula>
      <formula>0.3999</formula>
    </cfRule>
    <cfRule type="cellIs" dxfId="328" priority="2" operator="between">
      <formula>0.3955</formula>
      <formula>0.5949</formula>
    </cfRule>
    <cfRule type="cellIs" dxfId="327" priority="3" operator="between">
      <formula>0.595</formula>
      <formula>0.6949</formula>
    </cfRule>
    <cfRule type="cellIs" dxfId="326" priority="4" operator="between">
      <formula>0.695</formula>
      <formula>0.7949</formula>
    </cfRule>
    <cfRule type="cellIs" dxfId="325" priority="5" operator="between">
      <formula>0.795</formula>
      <formula>1</formula>
    </cfRule>
  </conditionalFormatting>
  <conditionalFormatting sqref="I55:I75">
    <cfRule type="cellIs" dxfId="324" priority="91" operator="between">
      <formula>0</formula>
      <formula>0.3999</formula>
    </cfRule>
    <cfRule type="cellIs" dxfId="323" priority="92" operator="between">
      <formula>0.3955</formula>
      <formula>0.5949</formula>
    </cfRule>
    <cfRule type="cellIs" dxfId="322" priority="93" operator="between">
      <formula>0.595</formula>
      <formula>0.6949</formula>
    </cfRule>
    <cfRule type="cellIs" dxfId="321" priority="94" operator="between">
      <formula>0.695</formula>
      <formula>0.7949</formula>
    </cfRule>
    <cfRule type="cellIs" dxfId="320" priority="95" operator="between">
      <formula>0.795</formula>
      <formula>1</formula>
    </cfRule>
  </conditionalFormatting>
  <conditionalFormatting sqref="I77:I81">
    <cfRule type="cellIs" dxfId="319" priority="86" operator="between">
      <formula>0</formula>
      <formula>0.3999</formula>
    </cfRule>
    <cfRule type="cellIs" dxfId="318" priority="87" operator="between">
      <formula>0.3955</formula>
      <formula>0.5949</formula>
    </cfRule>
    <cfRule type="cellIs" dxfId="317" priority="88" operator="between">
      <formula>0.595</formula>
      <formula>0.6949</formula>
    </cfRule>
    <cfRule type="cellIs" dxfId="316" priority="89" operator="between">
      <formula>0.695</formula>
      <formula>0.7949</formula>
    </cfRule>
    <cfRule type="cellIs" dxfId="315" priority="90" operator="between">
      <formula>0.795</formula>
      <formula>1</formula>
    </cfRule>
  </conditionalFormatting>
  <conditionalFormatting sqref="I83:I88">
    <cfRule type="cellIs" dxfId="314" priority="81" operator="between">
      <formula>0</formula>
      <formula>0.3999</formula>
    </cfRule>
    <cfRule type="cellIs" dxfId="313" priority="82" operator="between">
      <formula>0.3955</formula>
      <formula>0.5949</formula>
    </cfRule>
    <cfRule type="cellIs" dxfId="312" priority="83" operator="between">
      <formula>0.595</formula>
      <formula>0.6949</formula>
    </cfRule>
    <cfRule type="cellIs" dxfId="311" priority="84" operator="between">
      <formula>0.695</formula>
      <formula>0.7949</formula>
    </cfRule>
    <cfRule type="cellIs" dxfId="310" priority="85" operator="between">
      <formula>0.795</formula>
      <formula>1</formula>
    </cfRule>
  </conditionalFormatting>
  <conditionalFormatting sqref="I90:I108">
    <cfRule type="cellIs" dxfId="309" priority="76" operator="between">
      <formula>0</formula>
      <formula>0.3999</formula>
    </cfRule>
    <cfRule type="cellIs" dxfId="308" priority="77" operator="between">
      <formula>0.3955</formula>
      <formula>0.5949</formula>
    </cfRule>
    <cfRule type="cellIs" dxfId="307" priority="78" operator="between">
      <formula>0.595</formula>
      <formula>0.6949</formula>
    </cfRule>
    <cfRule type="cellIs" dxfId="306" priority="79" operator="between">
      <formula>0.695</formula>
      <formula>0.7949</formula>
    </cfRule>
    <cfRule type="cellIs" dxfId="305" priority="80" operator="between">
      <formula>0.795</formula>
      <formula>1</formula>
    </cfRule>
  </conditionalFormatting>
  <conditionalFormatting sqref="I110:I114">
    <cfRule type="cellIs" dxfId="304" priority="71" operator="between">
      <formula>0</formula>
      <formula>0.3999</formula>
    </cfRule>
    <cfRule type="cellIs" dxfId="303" priority="72" operator="between">
      <formula>0.3955</formula>
      <formula>0.5949</formula>
    </cfRule>
    <cfRule type="cellIs" dxfId="302" priority="73" operator="between">
      <formula>0.595</formula>
      <formula>0.6949</formula>
    </cfRule>
    <cfRule type="cellIs" dxfId="301" priority="74" operator="between">
      <formula>0.695</formula>
      <formula>0.7949</formula>
    </cfRule>
    <cfRule type="cellIs" dxfId="300" priority="75" operator="between">
      <formula>0.795</formula>
      <formula>1</formula>
    </cfRule>
  </conditionalFormatting>
  <conditionalFormatting sqref="I116:I123">
    <cfRule type="cellIs" dxfId="299" priority="66" operator="between">
      <formula>0</formula>
      <formula>0.3999</formula>
    </cfRule>
    <cfRule type="cellIs" dxfId="298" priority="67" operator="between">
      <formula>0.3955</formula>
      <formula>0.5949</formula>
    </cfRule>
    <cfRule type="cellIs" dxfId="297" priority="68" operator="between">
      <formula>0.595</formula>
      <formula>0.6949</formula>
    </cfRule>
    <cfRule type="cellIs" dxfId="296" priority="69" operator="between">
      <formula>0.695</formula>
      <formula>0.7949</formula>
    </cfRule>
    <cfRule type="cellIs" dxfId="295" priority="70" operator="between">
      <formula>0.795</formula>
      <formula>1</formula>
    </cfRule>
  </conditionalFormatting>
  <conditionalFormatting sqref="I125:I142">
    <cfRule type="cellIs" dxfId="294" priority="61" operator="between">
      <formula>0</formula>
      <formula>0.3999</formula>
    </cfRule>
    <cfRule type="cellIs" dxfId="293" priority="62" operator="between">
      <formula>0.3955</formula>
      <formula>0.5949</formula>
    </cfRule>
    <cfRule type="cellIs" dxfId="292" priority="63" operator="between">
      <formula>0.595</formula>
      <formula>0.6949</formula>
    </cfRule>
    <cfRule type="cellIs" dxfId="291" priority="64" operator="between">
      <formula>0.695</formula>
      <formula>0.7949</formula>
    </cfRule>
    <cfRule type="cellIs" dxfId="290" priority="65" operator="between">
      <formula>0.795</formula>
      <formula>1</formula>
    </cfRule>
  </conditionalFormatting>
  <conditionalFormatting sqref="I144:I149">
    <cfRule type="cellIs" dxfId="289" priority="56" operator="between">
      <formula>0</formula>
      <formula>0.3999</formula>
    </cfRule>
    <cfRule type="cellIs" dxfId="288" priority="57" operator="between">
      <formula>0.3955</formula>
      <formula>0.5949</formula>
    </cfRule>
    <cfRule type="cellIs" dxfId="287" priority="58" operator="between">
      <formula>0.595</formula>
      <formula>0.6949</formula>
    </cfRule>
    <cfRule type="cellIs" dxfId="286" priority="59" operator="between">
      <formula>0.695</formula>
      <formula>0.7949</formula>
    </cfRule>
    <cfRule type="cellIs" dxfId="285" priority="60" operator="between">
      <formula>0.795</formula>
      <formula>1</formula>
    </cfRule>
  </conditionalFormatting>
  <conditionalFormatting sqref="I151:I162">
    <cfRule type="cellIs" dxfId="284" priority="51" operator="between">
      <formula>0</formula>
      <formula>0.3999</formula>
    </cfRule>
    <cfRule type="cellIs" dxfId="283" priority="52" operator="between">
      <formula>0.3955</formula>
      <formula>0.5949</formula>
    </cfRule>
    <cfRule type="cellIs" dxfId="282" priority="53" operator="between">
      <formula>0.595</formula>
      <formula>0.6949</formula>
    </cfRule>
    <cfRule type="cellIs" dxfId="281" priority="54" operator="between">
      <formula>0.695</formula>
      <formula>0.7949</formula>
    </cfRule>
    <cfRule type="cellIs" dxfId="280" priority="55" operator="between">
      <formula>0.795</formula>
      <formula>1</formula>
    </cfRule>
  </conditionalFormatting>
  <conditionalFormatting sqref="I164">
    <cfRule type="cellIs" dxfId="279" priority="46" operator="between">
      <formula>0</formula>
      <formula>0.3999</formula>
    </cfRule>
    <cfRule type="cellIs" dxfId="278" priority="47" operator="between">
      <formula>0.3955</formula>
      <formula>0.5949</formula>
    </cfRule>
    <cfRule type="cellIs" dxfId="277" priority="48" operator="between">
      <formula>0.595</formula>
      <formula>0.6949</formula>
    </cfRule>
    <cfRule type="cellIs" dxfId="276" priority="49" operator="between">
      <formula>0.695</formula>
      <formula>0.7949</formula>
    </cfRule>
    <cfRule type="cellIs" dxfId="275" priority="50" operator="between">
      <formula>0.795</formula>
      <formula>1</formula>
    </cfRule>
  </conditionalFormatting>
  <conditionalFormatting sqref="I166:I170">
    <cfRule type="cellIs" dxfId="274" priority="41" operator="between">
      <formula>0</formula>
      <formula>0.3999</formula>
    </cfRule>
    <cfRule type="cellIs" dxfId="273" priority="42" operator="between">
      <formula>0.3955</formula>
      <formula>0.5949</formula>
    </cfRule>
    <cfRule type="cellIs" dxfId="272" priority="43" operator="between">
      <formula>0.595</formula>
      <formula>0.6949</formula>
    </cfRule>
    <cfRule type="cellIs" dxfId="271" priority="44" operator="between">
      <formula>0.695</formula>
      <formula>0.7949</formula>
    </cfRule>
    <cfRule type="cellIs" dxfId="270" priority="45" operator="between">
      <formula>0.795</formula>
      <formula>1</formula>
    </cfRule>
  </conditionalFormatting>
  <conditionalFormatting sqref="I172:I186">
    <cfRule type="cellIs" dxfId="269" priority="36" operator="between">
      <formula>0</formula>
      <formula>0.3999</formula>
    </cfRule>
    <cfRule type="cellIs" dxfId="268" priority="37" operator="between">
      <formula>0.3955</formula>
      <formula>0.5949</formula>
    </cfRule>
    <cfRule type="cellIs" dxfId="267" priority="38" operator="between">
      <formula>0.595</formula>
      <formula>0.6949</formula>
    </cfRule>
    <cfRule type="cellIs" dxfId="266" priority="39" operator="between">
      <formula>0.695</formula>
      <formula>0.7949</formula>
    </cfRule>
    <cfRule type="cellIs" dxfId="265" priority="40" operator="between">
      <formula>0.795</formula>
      <formula>1</formula>
    </cfRule>
  </conditionalFormatting>
  <conditionalFormatting sqref="I188:I191">
    <cfRule type="cellIs" dxfId="264" priority="31" operator="between">
      <formula>0</formula>
      <formula>0.3999</formula>
    </cfRule>
    <cfRule type="cellIs" dxfId="263" priority="32" operator="between">
      <formula>0.3955</formula>
      <formula>0.5949</formula>
    </cfRule>
    <cfRule type="cellIs" dxfId="262" priority="33" operator="between">
      <formula>0.595</formula>
      <formula>0.6949</formula>
    </cfRule>
    <cfRule type="cellIs" dxfId="261" priority="34" operator="between">
      <formula>0.695</formula>
      <formula>0.7949</formula>
    </cfRule>
    <cfRule type="cellIs" dxfId="260" priority="35" operator="between">
      <formula>0.795</formula>
      <formula>1</formula>
    </cfRule>
  </conditionalFormatting>
  <conditionalFormatting sqref="I193">
    <cfRule type="cellIs" dxfId="259" priority="26" operator="between">
      <formula>0</formula>
      <formula>0.3999</formula>
    </cfRule>
    <cfRule type="cellIs" dxfId="258" priority="27" operator="between">
      <formula>0.3955</formula>
      <formula>0.5949</formula>
    </cfRule>
    <cfRule type="cellIs" dxfId="257" priority="28" operator="between">
      <formula>0.595</formula>
      <formula>0.6949</formula>
    </cfRule>
    <cfRule type="cellIs" dxfId="256" priority="29" operator="between">
      <formula>0.695</formula>
      <formula>0.7949</formula>
    </cfRule>
    <cfRule type="cellIs" dxfId="255" priority="30" operator="between">
      <formula>0.795</formula>
      <formula>1</formula>
    </cfRule>
  </conditionalFormatting>
  <conditionalFormatting sqref="I195">
    <cfRule type="cellIs" dxfId="254" priority="21" operator="between">
      <formula>0</formula>
      <formula>0.3999</formula>
    </cfRule>
    <cfRule type="cellIs" dxfId="253" priority="22" operator="between">
      <formula>0.3955</formula>
      <formula>0.5949</formula>
    </cfRule>
    <cfRule type="cellIs" dxfId="252" priority="23" operator="between">
      <formula>0.595</formula>
      <formula>0.6949</formula>
    </cfRule>
    <cfRule type="cellIs" dxfId="251" priority="24" operator="between">
      <formula>0.695</formula>
      <formula>0.7949</formula>
    </cfRule>
    <cfRule type="cellIs" dxfId="250" priority="25" operator="between">
      <formula>0.795</formula>
      <formula>1</formula>
    </cfRule>
  </conditionalFormatting>
  <pageMargins left="0.7" right="0.7" top="0.75" bottom="0.75" header="0.3" footer="0.3"/>
  <pageSetup orientation="portrait"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002060"/>
  </sheetPr>
  <dimension ref="A1:G97"/>
  <sheetViews>
    <sheetView showGridLines="0" zoomScale="80" zoomScaleNormal="80" workbookViewId="0">
      <selection activeCell="B15" sqref="B15"/>
    </sheetView>
  </sheetViews>
  <sheetFormatPr baseColWidth="10" defaultColWidth="11.42578125" defaultRowHeight="15"/>
  <cols>
    <col min="1" max="1" width="15.28515625" style="5" customWidth="1"/>
    <col min="2" max="2" width="49" style="6" customWidth="1"/>
    <col min="3" max="3" width="34.42578125" style="6" customWidth="1"/>
    <col min="4" max="4" width="29.7109375" style="1" customWidth="1"/>
    <col min="5" max="5" width="22.140625" style="1" customWidth="1"/>
    <col min="6" max="6" width="30.42578125" style="1" customWidth="1"/>
    <col min="7" max="7" width="20.7109375" style="1" customWidth="1"/>
    <col min="8" max="8" width="11.42578125" style="1"/>
    <col min="9" max="9" width="21.42578125" style="1" bestFit="1" customWidth="1"/>
    <col min="10" max="16384" width="11.42578125" style="1"/>
  </cols>
  <sheetData>
    <row r="1" spans="1:7" ht="21" customHeight="1">
      <c r="A1" s="496" t="s">
        <v>1531</v>
      </c>
      <c r="B1" s="497"/>
      <c r="C1" s="497"/>
      <c r="D1" s="497"/>
      <c r="E1" s="497"/>
      <c r="F1" s="497"/>
      <c r="G1" s="497"/>
    </row>
    <row r="2" spans="1:7" ht="27" customHeight="1">
      <c r="A2" s="496"/>
      <c r="B2" s="497"/>
      <c r="C2" s="497"/>
      <c r="D2" s="497"/>
      <c r="E2" s="497"/>
      <c r="F2" s="497"/>
      <c r="G2" s="497"/>
    </row>
    <row r="3" spans="1:7" ht="21" customHeight="1">
      <c r="A3" s="496"/>
      <c r="B3" s="497"/>
      <c r="C3" s="497"/>
      <c r="D3" s="497"/>
      <c r="E3" s="497"/>
      <c r="F3" s="497"/>
      <c r="G3" s="497"/>
    </row>
    <row r="4" spans="1:7" ht="9" customHeight="1">
      <c r="A4" s="10"/>
      <c r="B4" s="11"/>
      <c r="C4" s="11"/>
    </row>
    <row r="5" spans="1:7" s="3" customFormat="1" ht="30" customHeight="1">
      <c r="A5" s="83" t="s">
        <v>1312</v>
      </c>
      <c r="B5" s="87" t="s">
        <v>1313</v>
      </c>
      <c r="C5" s="85" t="s">
        <v>1314</v>
      </c>
      <c r="D5" s="85" t="s">
        <v>1461</v>
      </c>
      <c r="E5" s="355" t="s">
        <v>1468</v>
      </c>
      <c r="F5" s="85" t="s">
        <v>1462</v>
      </c>
      <c r="G5" s="85" t="s">
        <v>1469</v>
      </c>
    </row>
    <row r="6" spans="1:7" s="4" customFormat="1" ht="30" customHeight="1">
      <c r="A6" s="65" t="s">
        <v>1279</v>
      </c>
      <c r="B6" s="61"/>
      <c r="C6" s="64">
        <f>C7+C8</f>
        <v>14299509202</v>
      </c>
      <c r="D6" s="364">
        <f>D7+D8</f>
        <v>9790017963</v>
      </c>
      <c r="E6" s="196">
        <f>D6/C6</f>
        <v>0.68464013867208251</v>
      </c>
      <c r="F6" s="366">
        <f>F7+F8</f>
        <v>9790017963</v>
      </c>
      <c r="G6" s="196">
        <f>F6/C6</f>
        <v>0.68464013867208251</v>
      </c>
    </row>
    <row r="7" spans="1:7" ht="30" customHeight="1">
      <c r="A7" s="16"/>
      <c r="B7" s="88" t="s">
        <v>1315</v>
      </c>
      <c r="C7" s="29">
        <f>SUM('SGTO POAI 2023 NOV-DIC'!AT8:AT11)</f>
        <v>4899509202</v>
      </c>
      <c r="D7" s="365">
        <f>SUM('SGTO POAI 2023 NOV-DIC'!AU8:AU11)</f>
        <v>3929832031</v>
      </c>
      <c r="E7" s="196">
        <f t="shared" ref="E7:E8" si="0">D7/C7</f>
        <v>0.80208687625197772</v>
      </c>
      <c r="F7" s="367">
        <f>SUM('SGTO POAI 2023 NOV-DIC'!AV8:AV11)</f>
        <v>3929832031</v>
      </c>
      <c r="G7" s="196">
        <f>F7/C7</f>
        <v>0.80208687625197772</v>
      </c>
    </row>
    <row r="8" spans="1:7" ht="30" customHeight="1">
      <c r="A8" s="16"/>
      <c r="B8" s="88" t="s">
        <v>1459</v>
      </c>
      <c r="C8" s="29">
        <f>'SGTO POAI 2023 NOV-DIC'!AZ11</f>
        <v>9400000000</v>
      </c>
      <c r="D8" s="365">
        <f>'SGTO POAI 2023 NOV-DIC'!BA11</f>
        <v>5860185932</v>
      </c>
      <c r="E8" s="196">
        <f t="shared" si="0"/>
        <v>0.62342403531914892</v>
      </c>
      <c r="F8" s="367">
        <f>'SGTO POAI 2023 NOV-DIC'!BB11</f>
        <v>5860185932</v>
      </c>
      <c r="G8" s="196">
        <f>F8/C8</f>
        <v>0.62342403531914892</v>
      </c>
    </row>
    <row r="9" spans="1:7" ht="30" customHeight="1">
      <c r="A9" s="19"/>
      <c r="B9" s="181"/>
      <c r="C9" s="8"/>
      <c r="D9" s="8"/>
      <c r="E9" s="8"/>
      <c r="F9" s="8"/>
    </row>
    <row r="10" spans="1:7" s="4" customFormat="1" ht="30" customHeight="1">
      <c r="A10" s="70" t="s">
        <v>1283</v>
      </c>
      <c r="B10" s="72"/>
      <c r="C10" s="73">
        <f>C11</f>
        <v>1457064026</v>
      </c>
      <c r="D10" s="384">
        <f>D11</f>
        <v>1280251070</v>
      </c>
      <c r="E10" s="196">
        <f t="shared" ref="E10:E11" si="1">D10/C10</f>
        <v>0.87865121034839133</v>
      </c>
      <c r="F10" s="385">
        <f>F11</f>
        <v>1280251070</v>
      </c>
      <c r="G10" s="196">
        <f>F10/C10</f>
        <v>0.87865121034839133</v>
      </c>
    </row>
    <row r="11" spans="1:7" ht="30" customHeight="1">
      <c r="A11" s="16"/>
      <c r="B11" s="88" t="s">
        <v>1315</v>
      </c>
      <c r="C11" s="29">
        <f>SUM('SGTO POAI 2023 NOV-DIC'!AT12:AT23)</f>
        <v>1457064026</v>
      </c>
      <c r="D11" s="365">
        <f>SUM('SGTO POAI 2023 NOV-DIC'!AU12:AU23)</f>
        <v>1280251070</v>
      </c>
      <c r="E11" s="196">
        <f t="shared" si="1"/>
        <v>0.87865121034839133</v>
      </c>
      <c r="F11" s="367">
        <f>SUM('SGTO POAI 2023 NOV-DIC'!AV12:AV23)</f>
        <v>1280251070</v>
      </c>
      <c r="G11" s="196">
        <f>F11/C11</f>
        <v>0.87865121034839133</v>
      </c>
    </row>
    <row r="12" spans="1:7" ht="30" customHeight="1">
      <c r="D12" s="6"/>
      <c r="E12" s="6"/>
      <c r="F12" s="6"/>
    </row>
    <row r="13" spans="1:7" ht="30" customHeight="1">
      <c r="A13" s="70" t="s">
        <v>1284</v>
      </c>
      <c r="B13" s="72"/>
      <c r="C13" s="73">
        <f>SUM(C14:C15)</f>
        <v>5228695734</v>
      </c>
      <c r="D13" s="384">
        <f>SUM(D14:D15)</f>
        <v>5109163160</v>
      </c>
      <c r="E13" s="196">
        <f t="shared" ref="E13:E15" si="2">D13/C13</f>
        <v>0.9771391222436735</v>
      </c>
      <c r="F13" s="385">
        <f>SUM(F14:F15)</f>
        <v>5109163160</v>
      </c>
      <c r="G13" s="196">
        <f>F13/C13</f>
        <v>0.9771391222436735</v>
      </c>
    </row>
    <row r="14" spans="1:7" ht="30" customHeight="1">
      <c r="A14" s="31"/>
      <c r="B14" s="89" t="s">
        <v>1315</v>
      </c>
      <c r="C14" s="29">
        <f>SUM('SGTO POAI 2023 NOV-DIC'!AT24:AT25)</f>
        <v>4551767972</v>
      </c>
      <c r="D14" s="365">
        <f>SUM('SGTO POAI 2023 NOV-DIC'!AU24:AU25)</f>
        <v>4483375624</v>
      </c>
      <c r="E14" s="196">
        <f t="shared" si="2"/>
        <v>0.98497455309218029</v>
      </c>
      <c r="F14" s="367">
        <f>SUM('SGTO POAI 2023 NOV-DIC'!AV24:AV25)</f>
        <v>4483375624</v>
      </c>
      <c r="G14" s="196">
        <f>F14/C14</f>
        <v>0.98497455309218029</v>
      </c>
    </row>
    <row r="15" spans="1:7" s="39" customFormat="1" ht="30" customHeight="1">
      <c r="A15" s="31"/>
      <c r="B15" s="23" t="s">
        <v>1316</v>
      </c>
      <c r="C15" s="29">
        <f>'SGTO POAI 2023 NOV-DIC'!BC24</f>
        <v>676927762</v>
      </c>
      <c r="D15" s="365">
        <f>'SGTO POAI 2023 NOV-DIC'!BD24</f>
        <v>625787536</v>
      </c>
      <c r="E15" s="196">
        <f t="shared" si="2"/>
        <v>0.92445246173845064</v>
      </c>
      <c r="F15" s="367">
        <f>'SGTO POAI 2023 NOV-DIC'!BE24</f>
        <v>625787536</v>
      </c>
      <c r="G15" s="196">
        <f>F15/C15</f>
        <v>0.92445246173845064</v>
      </c>
    </row>
    <row r="16" spans="1:7" ht="30" customHeight="1">
      <c r="C16" s="38"/>
      <c r="D16" s="38"/>
      <c r="E16" s="38"/>
      <c r="F16" s="38"/>
    </row>
    <row r="17" spans="1:7" ht="30" customHeight="1">
      <c r="A17" s="65" t="s">
        <v>1285</v>
      </c>
      <c r="B17" s="63"/>
      <c r="C17" s="64">
        <f>SUM(C18:C26)</f>
        <v>95388240819.810013</v>
      </c>
      <c r="D17" s="364">
        <f t="shared" ref="D17:F17" si="3">SUM(D18:D26)</f>
        <v>70117585681.610001</v>
      </c>
      <c r="E17" s="196">
        <f>D17/C17</f>
        <v>0.7350757816580693</v>
      </c>
      <c r="F17" s="366">
        <f t="shared" si="3"/>
        <v>21331072828.540001</v>
      </c>
      <c r="G17" s="196">
        <f t="shared" ref="G17:G22" si="4">F17/C17</f>
        <v>0.22362371551473262</v>
      </c>
    </row>
    <row r="18" spans="1:7" ht="30" customHeight="1">
      <c r="A18" s="16"/>
      <c r="B18" s="20" t="s">
        <v>1317</v>
      </c>
      <c r="C18" s="29">
        <f>SUM('SGTO POAI 2023 NOV-DIC'!AB26:AB54)</f>
        <v>10709007229.1</v>
      </c>
      <c r="D18" s="365">
        <f>SUM('SGTO POAI 2023 NOV-DIC'!AC26:AC54)</f>
        <v>6820997477.7600002</v>
      </c>
      <c r="E18" s="196">
        <f t="shared" ref="E18:E26" si="5">D18/C18</f>
        <v>0.63694022534834405</v>
      </c>
      <c r="F18" s="367">
        <f>SUM('SGTO POAI 2023 NOV-DIC'!AD26:AD54)</f>
        <v>4220687038.25</v>
      </c>
      <c r="G18" s="196">
        <f t="shared" si="4"/>
        <v>0.39412495929416907</v>
      </c>
    </row>
    <row r="19" spans="1:7" ht="30" customHeight="1">
      <c r="A19" s="16"/>
      <c r="B19" s="20" t="s">
        <v>1318</v>
      </c>
      <c r="C19" s="29">
        <f>SUM('SGTO POAI 2023 NOV-DIC'!AQ26:AQ54)</f>
        <v>3720411051.8400002</v>
      </c>
      <c r="D19" s="365">
        <f>SUM('SGTO POAI 2023 NOV-DIC'!AR26:AR54)</f>
        <v>3701358406</v>
      </c>
      <c r="E19" s="196">
        <f t="shared" si="5"/>
        <v>0.99487888688251869</v>
      </c>
      <c r="F19" s="367">
        <f>SUM('SGTO POAI 2023 NOV-DIC'!AS26:AS54)</f>
        <v>3701358406</v>
      </c>
      <c r="G19" s="196">
        <f t="shared" si="4"/>
        <v>0.99487888688251869</v>
      </c>
    </row>
    <row r="20" spans="1:7" ht="30" customHeight="1">
      <c r="A20" s="16"/>
      <c r="B20" s="88" t="s">
        <v>1315</v>
      </c>
      <c r="C20" s="29">
        <f>SUM('SGTO POAI 2023 NOV-DIC'!AT26:AT54)</f>
        <v>6880294212</v>
      </c>
      <c r="D20" s="365">
        <f>SUM('SGTO POAI 2023 NOV-DIC'!AU26:AU54)</f>
        <v>4352969114</v>
      </c>
      <c r="E20" s="196">
        <f t="shared" si="5"/>
        <v>0.63267194394215531</v>
      </c>
      <c r="F20" s="367">
        <f>SUM('SGTO POAI 2023 NOV-DIC'!AV26:AV54)</f>
        <v>1648796615.8</v>
      </c>
      <c r="G20" s="196">
        <f t="shared" si="4"/>
        <v>0.23964042306858258</v>
      </c>
    </row>
    <row r="21" spans="1:7" ht="30" customHeight="1">
      <c r="A21" s="16"/>
      <c r="B21" s="161" t="s">
        <v>1319</v>
      </c>
      <c r="C21" s="162">
        <f>'SGTO POAI 2023 NOV-DIC'!AW34+'SGTO POAI 2023 NOV-DIC'!AW35+'SGTO POAI 2023 NOV-DIC'!AW36+'SGTO POAI 2023 NOV-DIC'!AW39+'SGTO POAI 2023 NOV-DIC'!AW40+'SGTO POAI 2023 NOV-DIC'!AW53-150307.35</f>
        <v>3926038875.52</v>
      </c>
      <c r="D21" s="380">
        <f>'SGTO POAI 2023 NOV-DIC'!AX34+'SGTO POAI 2023 NOV-DIC'!AX35+'SGTO POAI 2023 NOV-DIC'!AX36+'SGTO POAI 2023 NOV-DIC'!AX39+'SGTO POAI 2023 NOV-DIC'!AX40+'SGTO POAI 2023 NOV-DIC'!AX53</f>
        <v>3485098651.52</v>
      </c>
      <c r="E21" s="196">
        <f t="shared" si="5"/>
        <v>0.88768826851170757</v>
      </c>
      <c r="F21" s="382">
        <f>'SGTO POAI 2023 NOV-DIC'!AY35+'SGTO POAI 2023 NOV-DIC'!AY36+'SGTO POAI 2023 NOV-DIC'!AY40+'SGTO POAI 2023 NOV-DIC'!AY34+'SGTO POAI 2023 NOV-DIC'!AY39</f>
        <v>432855600.00999999</v>
      </c>
      <c r="G21" s="196">
        <f t="shared" si="4"/>
        <v>0.11025249971643969</v>
      </c>
    </row>
    <row r="22" spans="1:7" ht="30" customHeight="1">
      <c r="A22" s="27"/>
      <c r="B22" s="17" t="s">
        <v>1521</v>
      </c>
      <c r="C22" s="44">
        <f>'SGTO POAI 2023 NOV-DIC'!BC35</f>
        <v>29115498510</v>
      </c>
      <c r="D22" s="381">
        <f>'SGTO POAI 2023 NOV-DIC'!BD35</f>
        <v>19499517456</v>
      </c>
      <c r="E22" s="196">
        <f t="shared" si="5"/>
        <v>0.66972981586774827</v>
      </c>
      <c r="F22" s="383">
        <f>'SGTO POAI 2023 NOV-DIC'!BE35</f>
        <v>2023385544</v>
      </c>
      <c r="G22" s="196">
        <f t="shared" si="4"/>
        <v>6.9495136526858667E-2</v>
      </c>
    </row>
    <row r="23" spans="1:7" ht="30" customHeight="1">
      <c r="A23" s="27"/>
      <c r="B23" s="17" t="s">
        <v>1522</v>
      </c>
      <c r="C23" s="44">
        <f>'SGTO POAI 2023 NOV-DIC'!BC52</f>
        <v>15612200000</v>
      </c>
      <c r="D23" s="381">
        <f>'SGTO POAI 2023 NOV-DIC'!BD52</f>
        <v>15612200000</v>
      </c>
      <c r="E23" s="196">
        <f t="shared" si="5"/>
        <v>1</v>
      </c>
      <c r="F23" s="383">
        <f>'SGTO POAI 2023 NOV-DIC'!BE52</f>
        <v>0</v>
      </c>
      <c r="G23" s="196"/>
    </row>
    <row r="24" spans="1:7" ht="30" customHeight="1">
      <c r="A24" s="27"/>
      <c r="B24" s="17" t="s">
        <v>1517</v>
      </c>
      <c r="C24" s="44">
        <f>'SGTO POAI 2023 NOV-DIC'!AW50</f>
        <v>74640634</v>
      </c>
      <c r="D24" s="381">
        <f>'SGTO POAI 2023 NOV-DIC'!AX50</f>
        <v>67818203</v>
      </c>
      <c r="E24" s="196">
        <f t="shared" si="5"/>
        <v>0.90859628818265392</v>
      </c>
      <c r="F24" s="383">
        <f>'SGTO POAI 2023 NOV-DIC'!AY50</f>
        <v>64427293</v>
      </c>
      <c r="G24" s="196"/>
    </row>
    <row r="25" spans="1:7" ht="30" customHeight="1">
      <c r="A25" s="27"/>
      <c r="B25" s="17" t="s">
        <v>1525</v>
      </c>
      <c r="C25" s="44">
        <v>150307.35</v>
      </c>
      <c r="D25" s="381"/>
      <c r="E25" s="196">
        <f t="shared" si="5"/>
        <v>0</v>
      </c>
      <c r="F25" s="383"/>
      <c r="G25" s="196"/>
    </row>
    <row r="26" spans="1:7" ht="30" customHeight="1">
      <c r="A26" s="16"/>
      <c r="B26" s="17" t="s">
        <v>1459</v>
      </c>
      <c r="C26" s="44">
        <f>SUM('SGTO POAI 2023 NOV-DIC'!AZ26:AZ53)</f>
        <v>25350000000</v>
      </c>
      <c r="D26" s="381">
        <f>SUM('SGTO POAI 2023 NOV-DIC'!BA26:BA53)</f>
        <v>16577626373.33</v>
      </c>
      <c r="E26" s="196">
        <f t="shared" si="5"/>
        <v>0.65394975831676527</v>
      </c>
      <c r="F26" s="383">
        <f>SUM('SGTO POAI 2023 NOV-DIC'!BB26:BB53)</f>
        <v>9239562331.4799995</v>
      </c>
      <c r="G26" s="196">
        <f>F26/C26</f>
        <v>0.36447977638974355</v>
      </c>
    </row>
    <row r="27" spans="1:7" ht="30" customHeight="1">
      <c r="C27" s="38"/>
      <c r="D27" s="38"/>
      <c r="E27" s="38"/>
      <c r="F27" s="38"/>
    </row>
    <row r="28" spans="1:7" ht="30" customHeight="1">
      <c r="A28" s="90" t="s">
        <v>1292</v>
      </c>
      <c r="B28" s="91"/>
      <c r="C28" s="92">
        <f>SUM(C29:C30)</f>
        <v>9959166049.1399994</v>
      </c>
      <c r="D28" s="376">
        <f>SUM(D29:D30)</f>
        <v>5606159704.3500004</v>
      </c>
      <c r="E28" s="196">
        <f t="shared" ref="E28:E30" si="6">D28/C28</f>
        <v>0.5629145730363746</v>
      </c>
      <c r="F28" s="377">
        <f>SUM(F29:F30)</f>
        <v>5606159704.3500004</v>
      </c>
      <c r="G28" s="196">
        <f>F28/C28</f>
        <v>0.5629145730363746</v>
      </c>
    </row>
    <row r="29" spans="1:7" ht="30" customHeight="1">
      <c r="A29" s="16"/>
      <c r="B29" s="89" t="s">
        <v>1315</v>
      </c>
      <c r="C29" s="93">
        <f>SUM('SGTO POAI 2023 NOV-DIC'!AT55:AT75)</f>
        <v>2665889488</v>
      </c>
      <c r="D29" s="378">
        <f>SUM('SGTO POAI 2023 NOV-DIC'!AU55:AU75)</f>
        <v>2475712958</v>
      </c>
      <c r="E29" s="196">
        <f t="shared" si="6"/>
        <v>0.92866301065515133</v>
      </c>
      <c r="F29" s="379">
        <f>SUM('SGTO POAI 2023 NOV-DIC'!AV55:AV75)</f>
        <v>2475712958</v>
      </c>
      <c r="G29" s="196">
        <f>F29/C29</f>
        <v>0.92866301065515133</v>
      </c>
    </row>
    <row r="30" spans="1:7" ht="30" customHeight="1">
      <c r="A30" s="16"/>
      <c r="B30" s="20" t="s">
        <v>1320</v>
      </c>
      <c r="C30" s="29">
        <f>SUM('SGTO POAI 2023 NOV-DIC'!AW55:AW75)</f>
        <v>7293276561.1399994</v>
      </c>
      <c r="D30" s="365">
        <f>SUM('SGTO POAI 2023 NOV-DIC'!AX55:AX75)</f>
        <v>3130446746.3499999</v>
      </c>
      <c r="E30" s="196">
        <f t="shared" si="6"/>
        <v>0.42922364455910406</v>
      </c>
      <c r="F30" s="367">
        <f>SUM('SGTO POAI 2023 NOV-DIC'!AY55:AY75)</f>
        <v>3130446746.3499999</v>
      </c>
      <c r="G30" s="196">
        <f>F30/C30</f>
        <v>0.42922364455910406</v>
      </c>
    </row>
    <row r="31" spans="1:7" ht="30" customHeight="1">
      <c r="C31" s="38"/>
      <c r="D31" s="38"/>
      <c r="E31" s="38"/>
      <c r="F31" s="38"/>
    </row>
    <row r="32" spans="1:7" ht="30" customHeight="1">
      <c r="A32" s="65" t="s">
        <v>1294</v>
      </c>
      <c r="B32" s="63"/>
      <c r="C32" s="64">
        <f>SUM(C33:C35)</f>
        <v>4901071565.04</v>
      </c>
      <c r="D32" s="364">
        <f>SUM(D33:D35)</f>
        <v>4614573853.3000002</v>
      </c>
      <c r="E32" s="196">
        <f t="shared" ref="E32:E35" si="7">D32/C32</f>
        <v>0.94154386281897484</v>
      </c>
      <c r="F32" s="366">
        <f>SUM(F33:F35)</f>
        <v>4539496197.1700001</v>
      </c>
      <c r="G32" s="196">
        <f>F32/C32</f>
        <v>0.92622524215945645</v>
      </c>
    </row>
    <row r="33" spans="1:7" ht="30" customHeight="1">
      <c r="A33" s="16"/>
      <c r="B33" s="20" t="s">
        <v>1321</v>
      </c>
      <c r="C33" s="29">
        <f>SUM('SGTO POAI 2023 NOV-DIC'!AB76:AB85)</f>
        <v>2648373464.04</v>
      </c>
      <c r="D33" s="365">
        <f>SUM('SGTO POAI 2023 NOV-DIC'!AC76:AC85)</f>
        <v>2427796852.96</v>
      </c>
      <c r="E33" s="196">
        <f t="shared" si="7"/>
        <v>0.91671242214324333</v>
      </c>
      <c r="F33" s="367">
        <f>SUM('SGTO POAI 2023 NOV-DIC'!AD76:AD85)</f>
        <v>2384369196.8299999</v>
      </c>
      <c r="G33" s="196">
        <f>F33/C33</f>
        <v>0.90031456258164178</v>
      </c>
    </row>
    <row r="34" spans="1:7" ht="30" customHeight="1">
      <c r="A34" s="16"/>
      <c r="B34" s="88" t="s">
        <v>1315</v>
      </c>
      <c r="C34" s="29">
        <f>SUM('SGTO POAI 2023 NOV-DIC'!AT76:AT85)</f>
        <v>2148838679</v>
      </c>
      <c r="D34" s="365">
        <f>SUM('SGTO POAI 2023 NOV-DIC'!AU76:AU85)</f>
        <v>2083927000.3399999</v>
      </c>
      <c r="E34" s="196">
        <f t="shared" si="7"/>
        <v>0.96979220483400463</v>
      </c>
      <c r="F34" s="367">
        <f>SUM('SGTO POAI 2023 NOV-DIC'!AV76:AV85)</f>
        <v>2083927000.3399999</v>
      </c>
      <c r="G34" s="196">
        <f>F34/C34</f>
        <v>0.96979220483400463</v>
      </c>
    </row>
    <row r="35" spans="1:7" s="39" customFormat="1" ht="30" customHeight="1">
      <c r="A35" s="16"/>
      <c r="B35" s="20" t="s">
        <v>1322</v>
      </c>
      <c r="C35" s="21">
        <f>'SGTO POAI 2023 NOV-DIC'!AW85</f>
        <v>103859422.00000001</v>
      </c>
      <c r="D35" s="370">
        <f>'SGTO POAI 2023 NOV-DIC'!AX85</f>
        <v>102850000</v>
      </c>
      <c r="E35" s="196">
        <f t="shared" si="7"/>
        <v>0.99028088178653628</v>
      </c>
      <c r="F35" s="373">
        <f>'SGTO POAI 2023 NOV-DIC'!AY85</f>
        <v>71200000</v>
      </c>
      <c r="G35" s="196">
        <f>F35/C35</f>
        <v>0.68554203970054817</v>
      </c>
    </row>
    <row r="36" spans="1:7" ht="30" customHeight="1">
      <c r="C36" s="38"/>
      <c r="D36" s="38"/>
      <c r="E36" s="38"/>
      <c r="F36" s="38"/>
    </row>
    <row r="37" spans="1:7" ht="30" customHeight="1">
      <c r="A37" s="65" t="s">
        <v>1295</v>
      </c>
      <c r="B37" s="63"/>
      <c r="C37" s="64">
        <f>SUM(C38:C39)</f>
        <v>4131910173.9000001</v>
      </c>
      <c r="D37" s="364">
        <f>SUM(D38:D39)</f>
        <v>3610948837.3400002</v>
      </c>
      <c r="E37" s="196">
        <f t="shared" ref="E37:E39" si="8">D37/C37</f>
        <v>0.87391755516594927</v>
      </c>
      <c r="F37" s="366">
        <f>SUM(F38:F39)</f>
        <v>3448562599.3400002</v>
      </c>
      <c r="G37" s="196">
        <f>F37/C37</f>
        <v>0.83461703042905055</v>
      </c>
    </row>
    <row r="38" spans="1:7" ht="30" customHeight="1">
      <c r="A38" s="16"/>
      <c r="B38" s="88" t="s">
        <v>1315</v>
      </c>
      <c r="C38" s="29">
        <f>SUM('SGTO POAI 2023 NOV-DIC'!AT86:AT96)</f>
        <v>2849879143</v>
      </c>
      <c r="D38" s="365">
        <f>SUM('SGTO POAI 2023 NOV-DIC'!AU86:AU96)</f>
        <v>2403216531.3299999</v>
      </c>
      <c r="E38" s="196">
        <f t="shared" si="8"/>
        <v>0.84326963030445956</v>
      </c>
      <c r="F38" s="367">
        <f>SUM('SGTO POAI 2023 NOV-DIC'!AV86:AV96)</f>
        <v>2325196531.3299999</v>
      </c>
      <c r="G38" s="196">
        <f>F38/C38</f>
        <v>0.81589303077684927</v>
      </c>
    </row>
    <row r="39" spans="1:7" s="39" customFormat="1" ht="30" customHeight="1">
      <c r="A39" s="16"/>
      <c r="B39" s="20" t="s">
        <v>1323</v>
      </c>
      <c r="C39" s="29">
        <f>'SGTO POAI 2023 NOV-DIC'!AW91</f>
        <v>1282031030.9000001</v>
      </c>
      <c r="D39" s="365">
        <f>'SGTO POAI 2023 NOV-DIC'!AX91</f>
        <v>1207732306.01</v>
      </c>
      <c r="E39" s="196">
        <f t="shared" si="8"/>
        <v>0.94204607915157745</v>
      </c>
      <c r="F39" s="367">
        <f>'SGTO POAI 2023 NOV-DIC'!AY91</f>
        <v>1123366068.01</v>
      </c>
      <c r="G39" s="196">
        <f>F39/C39</f>
        <v>0.87623937403557572</v>
      </c>
    </row>
    <row r="40" spans="1:7" ht="30" customHeight="1">
      <c r="C40" s="38"/>
      <c r="D40" s="38"/>
      <c r="E40" s="38"/>
      <c r="F40" s="38"/>
    </row>
    <row r="41" spans="1:7" ht="30" customHeight="1">
      <c r="A41" s="65" t="s">
        <v>1297</v>
      </c>
      <c r="B41" s="63"/>
      <c r="C41" s="64">
        <f>C42</f>
        <v>5930194939</v>
      </c>
      <c r="D41" s="364">
        <f>D42</f>
        <v>3783341171.8400002</v>
      </c>
      <c r="E41" s="196">
        <f t="shared" ref="E41:E42" si="9">D41/C41</f>
        <v>0.63797922509407079</v>
      </c>
      <c r="F41" s="366">
        <f>F42</f>
        <v>3783341171.8400002</v>
      </c>
      <c r="G41" s="196">
        <f>F41/C41</f>
        <v>0.63797922509407079</v>
      </c>
    </row>
    <row r="42" spans="1:7" ht="30" customHeight="1">
      <c r="A42" s="16"/>
      <c r="B42" s="88" t="s">
        <v>1315</v>
      </c>
      <c r="C42" s="29">
        <f>SUM('SGTO POAI 2023 NOV-DIC'!AT97:AT133)</f>
        <v>5930194939</v>
      </c>
      <c r="D42" s="365">
        <f>SUM('SGTO POAI 2023 NOV-DIC'!AU97:AU133)</f>
        <v>3783341171.8400002</v>
      </c>
      <c r="E42" s="196">
        <f t="shared" si="9"/>
        <v>0.63797922509407079</v>
      </c>
      <c r="F42" s="367">
        <f>SUM('SGTO POAI 2023 NOV-DIC'!AV97:AV133)</f>
        <v>3783341171.8400002</v>
      </c>
      <c r="G42" s="196">
        <f>F42/C42</f>
        <v>0.63797922509407079</v>
      </c>
    </row>
    <row r="43" spans="1:7" ht="30" customHeight="1">
      <c r="C43" s="38"/>
      <c r="D43" s="38"/>
      <c r="E43" s="38"/>
      <c r="F43" s="38"/>
    </row>
    <row r="44" spans="1:7" ht="30" customHeight="1">
      <c r="A44" s="65" t="s">
        <v>1417</v>
      </c>
      <c r="B44" s="63"/>
      <c r="C44" s="64">
        <f>C45</f>
        <v>4558243430</v>
      </c>
      <c r="D44" s="364">
        <f>D45</f>
        <v>4415822827.6700001</v>
      </c>
      <c r="E44" s="196">
        <f t="shared" ref="E44:E45" si="10">D44/C44</f>
        <v>0.96875537594314043</v>
      </c>
      <c r="F44" s="366">
        <f>F45</f>
        <v>4415822827.6700001</v>
      </c>
      <c r="G44" s="196">
        <f>F44/C44</f>
        <v>0.96875537594314043</v>
      </c>
    </row>
    <row r="45" spans="1:7" ht="30" customHeight="1">
      <c r="A45" s="16"/>
      <c r="B45" s="88" t="s">
        <v>1315</v>
      </c>
      <c r="C45" s="29">
        <f>SUM('SGTO POAI 2023 NOV-DIC'!AT134:AT137)</f>
        <v>4558243430</v>
      </c>
      <c r="D45" s="365">
        <f>SUM('SGTO POAI 2023 NOV-DIC'!AU134:AU137)</f>
        <v>4415822827.6700001</v>
      </c>
      <c r="E45" s="196">
        <f t="shared" si="10"/>
        <v>0.96875537594314043</v>
      </c>
      <c r="F45" s="367">
        <f>SUM('SGTO POAI 2023 NOV-DIC'!AV134:AV137)</f>
        <v>4415822827.6700001</v>
      </c>
      <c r="G45" s="196">
        <f>F45/C45</f>
        <v>0.96875537594314043</v>
      </c>
    </row>
    <row r="46" spans="1:7" ht="30" customHeight="1">
      <c r="B46" s="59"/>
      <c r="C46" s="60"/>
      <c r="D46" s="60"/>
      <c r="E46" s="38"/>
      <c r="F46" s="60"/>
    </row>
    <row r="47" spans="1:7" ht="30" customHeight="1">
      <c r="A47" s="65" t="s">
        <v>1372</v>
      </c>
      <c r="B47" s="63"/>
      <c r="C47" s="64">
        <f>SUM(C48:C51)</f>
        <v>219871058805.07001</v>
      </c>
      <c r="D47" s="364">
        <f>SUM(D48:D51)</f>
        <v>176032396599.18997</v>
      </c>
      <c r="E47" s="196">
        <f t="shared" ref="E47:E51" si="11">D47/C47</f>
        <v>0.8006164956673727</v>
      </c>
      <c r="F47" s="366">
        <f>SUM(F48:F51)</f>
        <v>172370680441.91</v>
      </c>
      <c r="G47" s="196">
        <f>F47/C47</f>
        <v>0.78396257051150975</v>
      </c>
    </row>
    <row r="48" spans="1:7" ht="30" customHeight="1">
      <c r="A48" s="16"/>
      <c r="B48" s="20" t="s">
        <v>1324</v>
      </c>
      <c r="C48" s="21">
        <f>SUM('SGTO POAI 2023 NOV-DIC'!AE138:AE173)</f>
        <v>5883207088.3699999</v>
      </c>
      <c r="D48" s="370">
        <f>SUM('SGTO POAI 2023 NOV-DIC'!AF138:AF173)</f>
        <v>5209521000.7700005</v>
      </c>
      <c r="E48" s="196">
        <f t="shared" si="11"/>
        <v>0.88548999253625615</v>
      </c>
      <c r="F48" s="373">
        <f>SUM('SGTO POAI 2023 NOV-DIC'!AG138:AG173)</f>
        <v>3706599076.8800001</v>
      </c>
      <c r="G48" s="196">
        <f>F48/C48</f>
        <v>0.63003035949682162</v>
      </c>
    </row>
    <row r="49" spans="1:7" ht="30" customHeight="1">
      <c r="A49" s="16"/>
      <c r="B49" s="20" t="s">
        <v>1325</v>
      </c>
      <c r="C49" s="29">
        <f>SUM('SGTO POAI 2023 NOV-DIC'!AN138:AN173)</f>
        <v>182758473683.48001</v>
      </c>
      <c r="D49" s="365">
        <f>SUM('SGTO POAI 2023 NOV-DIC'!AO138:AO173)</f>
        <v>144278083689.12</v>
      </c>
      <c r="E49" s="196">
        <f t="shared" si="11"/>
        <v>0.78944675330893643</v>
      </c>
      <c r="F49" s="367">
        <f>SUM('SGTO POAI 2023 NOV-DIC'!AP138:AP173)</f>
        <v>143623348033.79001</v>
      </c>
      <c r="G49" s="196">
        <f>F49/C49</f>
        <v>0.78586423457733479</v>
      </c>
    </row>
    <row r="50" spans="1:7" ht="30" customHeight="1">
      <c r="A50" s="94"/>
      <c r="B50" s="97" t="s">
        <v>1315</v>
      </c>
      <c r="C50" s="98">
        <f>SUM('SGTO POAI 2023 NOV-DIC'!AT138:AT173)</f>
        <v>15928895837</v>
      </c>
      <c r="D50" s="371">
        <f>SUM('SGTO POAI 2023 NOV-DIC'!AU138:AU173)</f>
        <v>13671246915.299999</v>
      </c>
      <c r="E50" s="196">
        <f t="shared" si="11"/>
        <v>0.85826707985271122</v>
      </c>
      <c r="F50" s="374">
        <f>SUM('SGTO POAI 2023 NOV-DIC'!AV138:AV173)</f>
        <v>13158878904.59</v>
      </c>
      <c r="G50" s="196">
        <f>F50/C50</f>
        <v>0.82610113338956348</v>
      </c>
    </row>
    <row r="51" spans="1:7" ht="30" customHeight="1">
      <c r="A51" s="16"/>
      <c r="B51" s="95" t="s">
        <v>1326</v>
      </c>
      <c r="C51" s="99">
        <f>'SGTO POAI 2023 NOV-DIC'!BC143</f>
        <v>15300482196.220001</v>
      </c>
      <c r="D51" s="372">
        <f>'SGTO POAI 2023 NOV-DIC'!BD143</f>
        <v>12873544994</v>
      </c>
      <c r="E51" s="196">
        <f t="shared" si="11"/>
        <v>0.841381652480235</v>
      </c>
      <c r="F51" s="375">
        <f>'SGTO POAI 2023 NOV-DIC'!BE143</f>
        <v>11881854426.65</v>
      </c>
      <c r="G51" s="196">
        <f>F51/C51</f>
        <v>0.77656731822382852</v>
      </c>
    </row>
    <row r="52" spans="1:7" s="39" customFormat="1" ht="30" customHeight="1">
      <c r="A52" s="5"/>
      <c r="B52" s="6"/>
      <c r="C52" s="38"/>
      <c r="D52" s="38"/>
      <c r="E52" s="38"/>
      <c r="F52" s="38"/>
    </row>
    <row r="53" spans="1:7" s="39" customFormat="1" ht="30" customHeight="1">
      <c r="A53" s="65" t="s">
        <v>1301</v>
      </c>
      <c r="B53" s="63"/>
      <c r="C53" s="64">
        <f>SUM(C54:C55)</f>
        <v>13775731819.380001</v>
      </c>
      <c r="D53" s="364">
        <f>SUM(D54:D55)</f>
        <v>8515498770.8099995</v>
      </c>
      <c r="E53" s="196">
        <f t="shared" ref="E53:E55" si="12">D53/C53</f>
        <v>0.61815218838901964</v>
      </c>
      <c r="F53" s="366">
        <f>SUM(F54:F55)</f>
        <v>8511098769.8099995</v>
      </c>
      <c r="G53" s="196">
        <f>F53/C53</f>
        <v>0.61783278604744607</v>
      </c>
    </row>
    <row r="54" spans="1:7" s="39" customFormat="1" ht="30" customHeight="1">
      <c r="A54" s="16"/>
      <c r="B54" s="20" t="s">
        <v>1327</v>
      </c>
      <c r="C54" s="29">
        <f>'SGTO POAI 2023 NOV-DIC'!AB197</f>
        <v>9910058847.3800011</v>
      </c>
      <c r="D54" s="365">
        <f>'SGTO POAI 2023 NOV-DIC'!AC197</f>
        <v>5099489653.8099995</v>
      </c>
      <c r="E54" s="196">
        <f t="shared" si="12"/>
        <v>0.5145771314121097</v>
      </c>
      <c r="F54" s="367">
        <f>'SGTO POAI 2023 NOV-DIC'!AD197</f>
        <v>5099489653.8099995</v>
      </c>
      <c r="G54" s="196">
        <f>F54/C54</f>
        <v>0.5145771314121097</v>
      </c>
    </row>
    <row r="55" spans="1:7" s="39" customFormat="1" ht="30" customHeight="1">
      <c r="A55" s="16"/>
      <c r="B55" s="88" t="s">
        <v>1315</v>
      </c>
      <c r="C55" s="29">
        <f>SUM('SGTO POAI 2023 NOV-DIC'!AT174:AT204)</f>
        <v>3865672972</v>
      </c>
      <c r="D55" s="365">
        <f>SUM('SGTO POAI 2023 NOV-DIC'!AU174:AU204)</f>
        <v>3416009117</v>
      </c>
      <c r="E55" s="196">
        <f t="shared" si="12"/>
        <v>0.88367773004674122</v>
      </c>
      <c r="F55" s="367">
        <f>SUM('SGTO POAI 2023 NOV-DIC'!AV174:AV204)</f>
        <v>3411609116</v>
      </c>
      <c r="G55" s="196">
        <f>F55/C55</f>
        <v>0.88253950624150213</v>
      </c>
    </row>
    <row r="56" spans="1:7" ht="30" customHeight="1">
      <c r="C56" s="38"/>
      <c r="D56" s="38"/>
      <c r="E56" s="38"/>
      <c r="F56" s="38"/>
    </row>
    <row r="57" spans="1:7" ht="30" customHeight="1">
      <c r="A57" s="65" t="s">
        <v>1302</v>
      </c>
      <c r="B57" s="63"/>
      <c r="C57" s="64">
        <f>SUM(C58:C62)</f>
        <v>64458455258.419998</v>
      </c>
      <c r="D57" s="364">
        <f>SUM(D58:D62)</f>
        <v>53494902390.01001</v>
      </c>
      <c r="E57" s="196">
        <f t="shared" ref="E57:E62" si="13">D57/C57</f>
        <v>0.82991288226725146</v>
      </c>
      <c r="F57" s="366">
        <f>SUM(F58:F62)</f>
        <v>52937416837.950012</v>
      </c>
      <c r="G57" s="196">
        <f t="shared" ref="G57:G62" si="14">F57/C57</f>
        <v>0.82126412470976751</v>
      </c>
    </row>
    <row r="58" spans="1:7" ht="30" customHeight="1">
      <c r="A58" s="16"/>
      <c r="B58" s="20" t="s">
        <v>1324</v>
      </c>
      <c r="C58" s="29">
        <f>SUM('SGTO POAI 2023 NOV-DIC'!AE205:AE263)</f>
        <v>700000000</v>
      </c>
      <c r="D58" s="365">
        <f>SUM('SGTO POAI 2023 NOV-DIC'!AF205:AF263)</f>
        <v>697879735</v>
      </c>
      <c r="E58" s="196">
        <f t="shared" si="13"/>
        <v>0.99697104999999997</v>
      </c>
      <c r="F58" s="367">
        <f>SUM('SGTO POAI 2023 NOV-DIC'!AG205:AG263)</f>
        <v>697879735</v>
      </c>
      <c r="G58" s="196">
        <f t="shared" si="14"/>
        <v>0.99697104999999997</v>
      </c>
    </row>
    <row r="59" spans="1:7" ht="30" customHeight="1">
      <c r="A59" s="16"/>
      <c r="B59" s="20" t="s">
        <v>1328</v>
      </c>
      <c r="C59" s="29">
        <f>SUM('SGTO POAI 2023 NOV-DIC'!AH205:AH263)</f>
        <v>7968751666.3899994</v>
      </c>
      <c r="D59" s="365">
        <f>SUM('SGTO POAI 2023 NOV-DIC'!AI205:AI263)</f>
        <v>7327482719.0599995</v>
      </c>
      <c r="E59" s="196">
        <f t="shared" si="13"/>
        <v>0.91952705088869868</v>
      </c>
      <c r="F59" s="367">
        <f>SUM('SGTO POAI 2023 NOV-DIC'!AJ205:AJ263)</f>
        <v>7036082479</v>
      </c>
      <c r="G59" s="196">
        <f t="shared" si="14"/>
        <v>0.88295918527317885</v>
      </c>
    </row>
    <row r="60" spans="1:7" ht="30" customHeight="1">
      <c r="A60" s="16"/>
      <c r="B60" s="20" t="s">
        <v>1329</v>
      </c>
      <c r="C60" s="29">
        <f>SUM('SGTO POAI 2023 NOV-DIC'!AK205:AK263)</f>
        <v>48301361768.379997</v>
      </c>
      <c r="D60" s="365">
        <f>SUM('SGTO POAI 2023 NOV-DIC'!AL205:AL263)</f>
        <v>40724957845.630013</v>
      </c>
      <c r="E60" s="196">
        <f t="shared" si="13"/>
        <v>0.84314305755847652</v>
      </c>
      <c r="F60" s="367">
        <f>SUM('SGTO POAI 2023 NOV-DIC'!AM205:AM263)</f>
        <v>40719357845.630013</v>
      </c>
      <c r="G60" s="196">
        <f t="shared" si="14"/>
        <v>0.84302711879826409</v>
      </c>
    </row>
    <row r="61" spans="1:7" ht="30" customHeight="1">
      <c r="A61" s="16"/>
      <c r="B61" s="20" t="s">
        <v>1315</v>
      </c>
      <c r="C61" s="29">
        <f>SUM('SGTO POAI 2023 NOV-DIC'!AT205:AT263)</f>
        <v>1595975478</v>
      </c>
      <c r="D61" s="365">
        <f>SUM('SGTO POAI 2023 NOV-DIC'!AU205:AU263)</f>
        <v>1446461540.3200002</v>
      </c>
      <c r="E61" s="196">
        <f t="shared" si="13"/>
        <v>0.9063181485298486</v>
      </c>
      <c r="F61" s="367">
        <f>SUM('SGTO POAI 2023 NOV-DIC'!AV205:AV263)</f>
        <v>1446461540.3200002</v>
      </c>
      <c r="G61" s="196">
        <f t="shared" si="14"/>
        <v>0.9063181485298486</v>
      </c>
    </row>
    <row r="62" spans="1:7" ht="30" customHeight="1">
      <c r="A62" s="16"/>
      <c r="B62" s="20" t="s">
        <v>1331</v>
      </c>
      <c r="C62" s="29">
        <f>SUM('SGTO POAI 2023 NOV-DIC'!BC205:BC263)</f>
        <v>5892366345.6499996</v>
      </c>
      <c r="D62" s="365">
        <f>SUM('SGTO POAI 2023 NOV-DIC'!BD205:BD263)</f>
        <v>3298120550</v>
      </c>
      <c r="E62" s="196">
        <f t="shared" si="13"/>
        <v>0.55972768095704295</v>
      </c>
      <c r="F62" s="367">
        <f>SUM('SGTO POAI 2023 NOV-DIC'!BE205:BE263)</f>
        <v>3037635238</v>
      </c>
      <c r="G62" s="196">
        <f t="shared" si="14"/>
        <v>0.51552043097973943</v>
      </c>
    </row>
    <row r="63" spans="1:7" s="4" customFormat="1" ht="30" customHeight="1">
      <c r="A63" s="5"/>
      <c r="B63" s="6"/>
      <c r="C63" s="38"/>
      <c r="D63" s="38"/>
      <c r="E63" s="38"/>
      <c r="F63" s="38"/>
    </row>
    <row r="64" spans="1:7" s="4" customFormat="1" ht="30" customHeight="1">
      <c r="A64" s="56" t="s">
        <v>1330</v>
      </c>
      <c r="B64" s="63"/>
      <c r="C64" s="64">
        <f>C65</f>
        <v>2328894018</v>
      </c>
      <c r="D64" s="364">
        <f>D65</f>
        <v>2261362995</v>
      </c>
      <c r="E64" s="196">
        <f t="shared" ref="E64:E65" si="15">D64/C64</f>
        <v>0.97100296429204014</v>
      </c>
      <c r="F64" s="366">
        <f>F65</f>
        <v>2261362995</v>
      </c>
      <c r="G64" s="196">
        <f>F64/C64</f>
        <v>0.97100296429204014</v>
      </c>
    </row>
    <row r="65" spans="1:7" s="4" customFormat="1" ht="30" customHeight="1">
      <c r="A65" s="31"/>
      <c r="B65" s="23" t="s">
        <v>1315</v>
      </c>
      <c r="C65" s="29">
        <f>SUM('SGTO POAI 2023 NOV-DIC'!AT264:AT287)</f>
        <v>2328894018</v>
      </c>
      <c r="D65" s="365">
        <f>SUM('SGTO POAI 2023 NOV-DIC'!AU264:AU287)</f>
        <v>2261362995</v>
      </c>
      <c r="E65" s="196">
        <f t="shared" si="15"/>
        <v>0.97100296429204014</v>
      </c>
      <c r="F65" s="367">
        <f>SUM('SGTO POAI 2023 NOV-DIC'!AV264:AV287)</f>
        <v>2261362995</v>
      </c>
      <c r="G65" s="196">
        <f>F65/C65</f>
        <v>0.97100296429204014</v>
      </c>
    </row>
    <row r="66" spans="1:7" s="9" customFormat="1" ht="30" customHeight="1">
      <c r="A66" s="5"/>
      <c r="B66" s="6"/>
      <c r="C66" s="38"/>
      <c r="D66" s="38"/>
      <c r="E66" s="38"/>
      <c r="F66" s="38"/>
    </row>
    <row r="67" spans="1:7" s="39" customFormat="1" ht="30" customHeight="1">
      <c r="A67" s="78" t="s">
        <v>1306</v>
      </c>
      <c r="B67" s="81"/>
      <c r="C67" s="82">
        <f>C6+C10+C13+C17+C28+C32+C37+C41+C44+C47+C53+C57+C64</f>
        <v>446288235839.76001</v>
      </c>
      <c r="D67" s="368">
        <f>D6+D10+D13+D17+D28+D32+D37+D41+D44+D47+D53+D57+D64</f>
        <v>348632025024.12</v>
      </c>
      <c r="E67" s="196">
        <f>D67/C67</f>
        <v>0.78118130173903233</v>
      </c>
      <c r="F67" s="369">
        <f>F6+F10+F13+F17+F28+F32+F37+F41+F44+F47+F53+F57+F64</f>
        <v>295384446566.58002</v>
      </c>
      <c r="G67" s="196">
        <f>F67/C67</f>
        <v>0.66186922003616944</v>
      </c>
    </row>
    <row r="68" spans="1:7" ht="30" customHeight="1">
      <c r="C68" s="38"/>
      <c r="D68" s="38"/>
      <c r="E68" s="38"/>
      <c r="F68" s="38"/>
    </row>
    <row r="69" spans="1:7" ht="30" customHeight="1">
      <c r="A69" s="65" t="s">
        <v>1307</v>
      </c>
      <c r="B69" s="63"/>
      <c r="C69" s="64">
        <f>SUM(C70:C75)</f>
        <v>10324433912.389999</v>
      </c>
      <c r="D69" s="364">
        <f>SUM(D70:D75)</f>
        <v>8284289857.0400009</v>
      </c>
      <c r="E69" s="196">
        <f t="shared" ref="E69:E86" si="16">D69/C69</f>
        <v>0.8023965214304204</v>
      </c>
      <c r="F69" s="366">
        <f>SUM(F70:F75)</f>
        <v>8284289857.0400009</v>
      </c>
      <c r="G69" s="196">
        <f>F69/C69</f>
        <v>0.8023965214304204</v>
      </c>
    </row>
    <row r="70" spans="1:7" ht="30" customHeight="1">
      <c r="A70" s="16"/>
      <c r="B70" s="96" t="s">
        <v>1508</v>
      </c>
      <c r="C70" s="29">
        <f>SUM('SGTO POAI 2023 NOV-DIC'!AB288:AB293)</f>
        <v>5147947220.8199997</v>
      </c>
      <c r="D70" s="365">
        <f>SUM('SGTO POAI 2023 NOV-DIC'!AC288:AC293)</f>
        <v>4197766120.3499999</v>
      </c>
      <c r="E70" s="196">
        <f t="shared" si="16"/>
        <v>0.81542524433289576</v>
      </c>
      <c r="F70" s="367">
        <f>SUM('SGTO POAI 2023 NOV-DIC'!AD288:AD293)</f>
        <v>4197766120.3499999</v>
      </c>
      <c r="G70" s="196">
        <f>F70/C70</f>
        <v>0.81542524433289576</v>
      </c>
    </row>
    <row r="71" spans="1:7" ht="30" customHeight="1">
      <c r="A71" s="16"/>
      <c r="B71" s="96" t="s">
        <v>1324</v>
      </c>
      <c r="C71" s="29">
        <f>SUM('SGTO POAI 2023 NOV-DIC'!AE288:AE293)</f>
        <v>1239019199.96</v>
      </c>
      <c r="D71" s="365">
        <f>SUM('SGTO POAI 2023 NOV-DIC'!AF288:AF293)</f>
        <v>819809076.04999995</v>
      </c>
      <c r="E71" s="196">
        <f t="shared" si="16"/>
        <v>0.6616597031559045</v>
      </c>
      <c r="F71" s="367">
        <f>SUM('SGTO POAI 2023 NOV-DIC'!AG288:AG293)</f>
        <v>819809076.04999995</v>
      </c>
      <c r="G71" s="196">
        <f>F71/C71</f>
        <v>0.6616597031559045</v>
      </c>
    </row>
    <row r="72" spans="1:7" ht="30" customHeight="1">
      <c r="A72" s="16"/>
      <c r="B72" s="96" t="s">
        <v>1518</v>
      </c>
      <c r="C72" s="29">
        <f>SUM('SGTO POAI 2023 NOV-DIC'!AK288:AK293)</f>
        <v>533885404.26999998</v>
      </c>
      <c r="D72" s="365">
        <f>SUM('SGTO POAI 2023 NOV-DIC'!AL288:AL293)</f>
        <v>447139255.26999998</v>
      </c>
      <c r="E72" s="196">
        <f t="shared" si="16"/>
        <v>0.8375191599054651</v>
      </c>
      <c r="F72" s="367">
        <f>SUM('SGTO POAI 2023 NOV-DIC'!AM288:AM293)</f>
        <v>447139255.26999998</v>
      </c>
      <c r="G72" s="196"/>
    </row>
    <row r="73" spans="1:7" ht="30" customHeight="1">
      <c r="A73" s="16"/>
      <c r="B73" s="96" t="s">
        <v>1519</v>
      </c>
      <c r="C73" s="29">
        <f>SUM('SGTO POAI 2023 NOV-DIC'!AT288:AT293)</f>
        <v>920557290</v>
      </c>
      <c r="D73" s="365">
        <f>SUM('SGTO POAI 2023 NOV-DIC'!AU288:AU293)</f>
        <v>621414518.97000003</v>
      </c>
      <c r="E73" s="196">
        <f t="shared" si="16"/>
        <v>0.67504165761372659</v>
      </c>
      <c r="F73" s="367">
        <f>SUM('SGTO POAI 2023 NOV-DIC'!AV288:AV293)</f>
        <v>621414518.97000003</v>
      </c>
      <c r="G73" s="196"/>
    </row>
    <row r="74" spans="1:7" ht="30" customHeight="1">
      <c r="A74" s="16"/>
      <c r="B74" s="96" t="s">
        <v>1520</v>
      </c>
      <c r="C74" s="29">
        <f>SUM('SGTO POAI 2023 NOV-DIC'!AW288:AW293)</f>
        <v>1083399699.3400002</v>
      </c>
      <c r="D74" s="365">
        <f>SUM('SGTO POAI 2023 NOV-DIC'!AX288:AX293)</f>
        <v>1019247942.2199999</v>
      </c>
      <c r="E74" s="196">
        <f t="shared" si="16"/>
        <v>0.94078662089431897</v>
      </c>
      <c r="F74" s="367">
        <f>SUM('SGTO POAI 2023 NOV-DIC'!AY288:AY293)</f>
        <v>1019247942.2199999</v>
      </c>
      <c r="G74" s="196">
        <f>F74/C74</f>
        <v>0.94078662089431897</v>
      </c>
    </row>
    <row r="75" spans="1:7" s="39" customFormat="1" ht="30" customHeight="1">
      <c r="A75" s="16"/>
      <c r="B75" s="96" t="s">
        <v>1331</v>
      </c>
      <c r="C75" s="29">
        <f>SUM('SGTO POAI 2023 NOV-DIC'!BC288:BC293)</f>
        <v>1399625098</v>
      </c>
      <c r="D75" s="365">
        <f>SUM('SGTO POAI 2023 NOV-DIC'!BD288:BD293)</f>
        <v>1178912944.1800001</v>
      </c>
      <c r="E75" s="196">
        <f t="shared" si="16"/>
        <v>0.84230623319388354</v>
      </c>
      <c r="F75" s="367">
        <f>SUM('SGTO POAI 2023 NOV-DIC'!BE288:BE293)</f>
        <v>1178912944.1800001</v>
      </c>
      <c r="G75" s="196">
        <f>F75/C75</f>
        <v>0.84230623319388354</v>
      </c>
    </row>
    <row r="76" spans="1:7" s="39" customFormat="1" ht="30" customHeight="1">
      <c r="A76" s="5"/>
      <c r="B76" s="6"/>
      <c r="C76" s="38"/>
      <c r="D76" s="38"/>
      <c r="E76" s="38"/>
      <c r="F76" s="38"/>
    </row>
    <row r="77" spans="1:7" s="39" customFormat="1" ht="30" customHeight="1">
      <c r="A77" s="65" t="s">
        <v>1308</v>
      </c>
      <c r="B77" s="63"/>
      <c r="C77" s="64">
        <f>SUM(C78:C79)</f>
        <v>4712923248</v>
      </c>
      <c r="D77" s="364">
        <f>SUM(D78:D79)</f>
        <v>4617403274.6999998</v>
      </c>
      <c r="E77" s="196">
        <f t="shared" si="16"/>
        <v>0.97973232996303605</v>
      </c>
      <c r="F77" s="366">
        <f>SUM(F78:F79)</f>
        <v>4617403274.6999998</v>
      </c>
      <c r="G77" s="196">
        <f>F77/C77</f>
        <v>0.97973232996303605</v>
      </c>
    </row>
    <row r="78" spans="1:7" ht="30" customHeight="1">
      <c r="A78" s="45"/>
      <c r="B78" s="20" t="s">
        <v>1332</v>
      </c>
      <c r="C78" s="29">
        <f>SUM('SGTO POAI 2023 NOV-DIC'!AB294:AB305)</f>
        <v>3158923248</v>
      </c>
      <c r="D78" s="365">
        <f>SUM('SGTO POAI 2023 NOV-DIC'!AC294:AC305)</f>
        <v>3095501822.6999998</v>
      </c>
      <c r="E78" s="196">
        <f t="shared" si="16"/>
        <v>0.97992308760899649</v>
      </c>
      <c r="F78" s="367">
        <f>SUM('SGTO POAI 2023 NOV-DIC'!AD294:AD305)</f>
        <v>3095501822.6999998</v>
      </c>
      <c r="G78" s="196">
        <f>F78/C78</f>
        <v>0.97992308760899649</v>
      </c>
    </row>
    <row r="79" spans="1:7" s="39" customFormat="1" ht="30" customHeight="1">
      <c r="A79" s="45"/>
      <c r="B79" s="20" t="s">
        <v>1333</v>
      </c>
      <c r="C79" s="29">
        <f>SUM('SGTO POAI 2023 NOV-DIC'!AW294:AW305)</f>
        <v>1554000000</v>
      </c>
      <c r="D79" s="365">
        <f>SUM('SGTO POAI 2023 NOV-DIC'!AX294:AX305)</f>
        <v>1521901452</v>
      </c>
      <c r="E79" s="196">
        <f t="shared" si="16"/>
        <v>0.97934456370656375</v>
      </c>
      <c r="F79" s="367">
        <f>SUM('SGTO POAI 2023 NOV-DIC'!AY294:AY305)</f>
        <v>1521901452</v>
      </c>
      <c r="G79" s="196">
        <f>F79/C79</f>
        <v>0.97934456370656375</v>
      </c>
    </row>
    <row r="80" spans="1:7" ht="30" customHeight="1">
      <c r="C80" s="38"/>
      <c r="D80" s="38"/>
      <c r="E80" s="38"/>
      <c r="F80" s="38"/>
    </row>
    <row r="81" spans="1:7" ht="30" customHeight="1">
      <c r="A81" s="56" t="s">
        <v>1309</v>
      </c>
      <c r="B81" s="63"/>
      <c r="C81" s="64">
        <f>C82</f>
        <v>168932650</v>
      </c>
      <c r="D81" s="364">
        <f>D82</f>
        <v>168932650</v>
      </c>
      <c r="E81" s="196">
        <f t="shared" si="16"/>
        <v>1</v>
      </c>
      <c r="F81" s="366">
        <f>F82</f>
        <v>168932650</v>
      </c>
      <c r="G81" s="196">
        <f>F81/C81</f>
        <v>1</v>
      </c>
    </row>
    <row r="82" spans="1:7" s="39" customFormat="1" ht="30" customHeight="1">
      <c r="A82" s="31"/>
      <c r="B82" s="23" t="s">
        <v>1334</v>
      </c>
      <c r="C82" s="29">
        <f>'SGTO POAI 2023 NOV-DIC'!BF306+'SGTO POAI 2023 NOV-DIC'!BF307+'SGTO POAI 2023 NOV-DIC'!BF308+'SGTO POAI 2023 NOV-DIC'!BF309</f>
        <v>168932650</v>
      </c>
      <c r="D82" s="365">
        <f>'SGTO POAI 2023 NOV-DIC'!BG306+'SGTO POAI 2023 NOV-DIC'!BG307+'SGTO POAI 2023 NOV-DIC'!BG308+'SGTO POAI 2023 NOV-DIC'!BG309</f>
        <v>168932650</v>
      </c>
      <c r="E82" s="196">
        <f t="shared" si="16"/>
        <v>1</v>
      </c>
      <c r="F82" s="367">
        <f>'SGTO POAI 2023 NOV-DIC'!BH306+'SGTO POAI 2023 NOV-DIC'!BH307+'SGTO POAI 2023 NOV-DIC'!BH308+'SGTO POAI 2023 NOV-DIC'!BH309</f>
        <v>168932650</v>
      </c>
      <c r="G82" s="196">
        <f>F82/C82</f>
        <v>1</v>
      </c>
    </row>
    <row r="83" spans="1:7" s="9" customFormat="1" ht="12" customHeight="1">
      <c r="A83" s="5"/>
      <c r="B83" s="6"/>
      <c r="C83" s="51"/>
      <c r="D83" s="51"/>
      <c r="E83" s="51"/>
      <c r="F83" s="51"/>
    </row>
    <row r="84" spans="1:7" s="9" customFormat="1" ht="30" customHeight="1">
      <c r="A84" s="78" t="s">
        <v>1310</v>
      </c>
      <c r="B84" s="78"/>
      <c r="C84" s="79">
        <f>C81+C77+C69</f>
        <v>15206289810.389999</v>
      </c>
      <c r="D84" s="362">
        <f>D81+D77+D69</f>
        <v>13070625781.740002</v>
      </c>
      <c r="E84" s="196">
        <f t="shared" si="16"/>
        <v>0.85955390464866965</v>
      </c>
      <c r="F84" s="363">
        <f>F81+F77+F69</f>
        <v>13070625781.740002</v>
      </c>
      <c r="G84" s="196">
        <f>F84/C84</f>
        <v>0.85955390464866965</v>
      </c>
    </row>
    <row r="85" spans="1:7" s="9" customFormat="1" ht="9" customHeight="1" thickBot="1">
      <c r="A85" s="52"/>
      <c r="B85" s="53"/>
      <c r="C85" s="54"/>
      <c r="D85" s="54"/>
      <c r="E85" s="387"/>
      <c r="F85" s="54"/>
    </row>
    <row r="86" spans="1:7" ht="30" customHeight="1" thickBot="1">
      <c r="A86" s="74" t="s">
        <v>1311</v>
      </c>
      <c r="B86" s="76"/>
      <c r="C86" s="77">
        <f>C67+C84</f>
        <v>461494525650.15002</v>
      </c>
      <c r="D86" s="77">
        <f>D67+D84</f>
        <v>361702650805.85999</v>
      </c>
      <c r="E86" s="197">
        <f t="shared" si="16"/>
        <v>0.78376368667926455</v>
      </c>
      <c r="F86" s="77">
        <f>F67+F84</f>
        <v>308455072348.32001</v>
      </c>
      <c r="G86" s="198">
        <f>F86/C86</f>
        <v>0.66838294975172419</v>
      </c>
    </row>
    <row r="87" spans="1:7" ht="28.5" customHeight="1"/>
    <row r="90" spans="1:7" ht="15.75" thickBot="1"/>
    <row r="91" spans="1:7" ht="15.75">
      <c r="C91" s="498" t="s">
        <v>1500</v>
      </c>
      <c r="D91" s="499"/>
      <c r="E91" s="276"/>
    </row>
    <row r="92" spans="1:7" ht="15.75">
      <c r="C92" s="500" t="s">
        <v>1492</v>
      </c>
      <c r="D92" s="501"/>
      <c r="E92" s="276"/>
    </row>
    <row r="93" spans="1:7" ht="15.75">
      <c r="C93" s="502" t="s">
        <v>1494</v>
      </c>
      <c r="D93" s="503"/>
      <c r="E93" s="276"/>
    </row>
    <row r="94" spans="1:7" ht="15.75">
      <c r="C94" s="488" t="s">
        <v>1496</v>
      </c>
      <c r="D94" s="489"/>
      <c r="E94" s="276"/>
    </row>
    <row r="95" spans="1:7" ht="15.75">
      <c r="C95" s="490" t="s">
        <v>1498</v>
      </c>
      <c r="D95" s="491"/>
      <c r="E95" s="276"/>
    </row>
    <row r="96" spans="1:7" ht="15.75">
      <c r="C96" s="492" t="s">
        <v>1499</v>
      </c>
      <c r="D96" s="493"/>
      <c r="E96" s="276"/>
    </row>
    <row r="97" spans="5:5" ht="15.75">
      <c r="E97" s="276"/>
    </row>
  </sheetData>
  <mergeCells count="7">
    <mergeCell ref="C95:D95"/>
    <mergeCell ref="C96:D96"/>
    <mergeCell ref="A1:G3"/>
    <mergeCell ref="C91:D91"/>
    <mergeCell ref="C92:D92"/>
    <mergeCell ref="C93:D93"/>
    <mergeCell ref="C94:D94"/>
  </mergeCells>
  <conditionalFormatting sqref="E6:E8">
    <cfRule type="cellIs" dxfId="249" priority="101" operator="between">
      <formula>0</formula>
      <formula>0.3999</formula>
    </cfRule>
    <cfRule type="cellIs" dxfId="248" priority="102" operator="between">
      <formula>0.3955</formula>
      <formula>0.5949</formula>
    </cfRule>
    <cfRule type="cellIs" dxfId="247" priority="103" operator="between">
      <formula>0.595</formula>
      <formula>0.6949</formula>
    </cfRule>
    <cfRule type="cellIs" dxfId="246" priority="104" operator="between">
      <formula>0.695</formula>
      <formula>0.7949</formula>
    </cfRule>
    <cfRule type="cellIs" dxfId="245" priority="105" operator="between">
      <formula>0.795</formula>
      <formula>1</formula>
    </cfRule>
  </conditionalFormatting>
  <conditionalFormatting sqref="E10:E11">
    <cfRule type="cellIs" dxfId="244" priority="96" operator="between">
      <formula>0</formula>
      <formula>0.3999</formula>
    </cfRule>
    <cfRule type="cellIs" dxfId="243" priority="97" operator="between">
      <formula>0.3955</formula>
      <formula>0.5949</formula>
    </cfRule>
    <cfRule type="cellIs" dxfId="242" priority="98" operator="between">
      <formula>0.595</formula>
      <formula>0.6949</formula>
    </cfRule>
    <cfRule type="cellIs" dxfId="241" priority="99" operator="between">
      <formula>0.695</formula>
      <formula>0.7949</formula>
    </cfRule>
    <cfRule type="cellIs" dxfId="240" priority="100" operator="between">
      <formula>0.795</formula>
      <formula>1</formula>
    </cfRule>
  </conditionalFormatting>
  <conditionalFormatting sqref="E13:E15">
    <cfRule type="cellIs" dxfId="239" priority="91" operator="between">
      <formula>0</formula>
      <formula>0.3999</formula>
    </cfRule>
    <cfRule type="cellIs" dxfId="238" priority="92" operator="between">
      <formula>0.3955</formula>
      <formula>0.5949</formula>
    </cfRule>
    <cfRule type="cellIs" dxfId="237" priority="93" operator="between">
      <formula>0.595</formula>
      <formula>0.6949</formula>
    </cfRule>
    <cfRule type="cellIs" dxfId="236" priority="94" operator="between">
      <formula>0.695</formula>
      <formula>0.7949</formula>
    </cfRule>
    <cfRule type="cellIs" dxfId="235" priority="95" operator="between">
      <formula>0.795</formula>
      <formula>1</formula>
    </cfRule>
  </conditionalFormatting>
  <conditionalFormatting sqref="E17:E26">
    <cfRule type="cellIs" dxfId="234" priority="81" operator="between">
      <formula>0</formula>
      <formula>0.3999</formula>
    </cfRule>
    <cfRule type="cellIs" dxfId="233" priority="82" operator="between">
      <formula>0.3955</formula>
      <formula>0.5949</formula>
    </cfRule>
    <cfRule type="cellIs" dxfId="232" priority="83" operator="between">
      <formula>0.595</formula>
      <formula>0.6949</formula>
    </cfRule>
    <cfRule type="cellIs" dxfId="231" priority="84" operator="between">
      <formula>0.695</formula>
      <formula>0.7949</formula>
    </cfRule>
    <cfRule type="cellIs" dxfId="230" priority="85" operator="between">
      <formula>0.795</formula>
      <formula>1</formula>
    </cfRule>
  </conditionalFormatting>
  <conditionalFormatting sqref="E28:E30">
    <cfRule type="cellIs" dxfId="229" priority="76" operator="between">
      <formula>0</formula>
      <formula>0.3999</formula>
    </cfRule>
    <cfRule type="cellIs" dxfId="228" priority="77" operator="between">
      <formula>0.3955</formula>
      <formula>0.5949</formula>
    </cfRule>
    <cfRule type="cellIs" dxfId="227" priority="78" operator="between">
      <formula>0.595</formula>
      <formula>0.6949</formula>
    </cfRule>
    <cfRule type="cellIs" dxfId="226" priority="79" operator="between">
      <formula>0.695</formula>
      <formula>0.7949</formula>
    </cfRule>
    <cfRule type="cellIs" dxfId="225" priority="80" operator="between">
      <formula>0.795</formula>
      <formula>1</formula>
    </cfRule>
  </conditionalFormatting>
  <conditionalFormatting sqref="E32:E35">
    <cfRule type="cellIs" dxfId="224" priority="71" operator="between">
      <formula>0</formula>
      <formula>0.3999</formula>
    </cfRule>
    <cfRule type="cellIs" dxfId="223" priority="72" operator="between">
      <formula>0.3955</formula>
      <formula>0.5949</formula>
    </cfRule>
    <cfRule type="cellIs" dxfId="222" priority="73" operator="between">
      <formula>0.595</formula>
      <formula>0.6949</formula>
    </cfRule>
    <cfRule type="cellIs" dxfId="221" priority="74" operator="between">
      <formula>0.695</formula>
      <formula>0.7949</formula>
    </cfRule>
    <cfRule type="cellIs" dxfId="220" priority="75" operator="between">
      <formula>0.795</formula>
      <formula>1</formula>
    </cfRule>
  </conditionalFormatting>
  <conditionalFormatting sqref="E37:E39">
    <cfRule type="cellIs" dxfId="219" priority="66" operator="between">
      <formula>0</formula>
      <formula>0.3999</formula>
    </cfRule>
    <cfRule type="cellIs" dxfId="218" priority="67" operator="between">
      <formula>0.3955</formula>
      <formula>0.5949</formula>
    </cfRule>
    <cfRule type="cellIs" dxfId="217" priority="68" operator="between">
      <formula>0.595</formula>
      <formula>0.6949</formula>
    </cfRule>
    <cfRule type="cellIs" dxfId="216" priority="69" operator="between">
      <formula>0.695</formula>
      <formula>0.7949</formula>
    </cfRule>
    <cfRule type="cellIs" dxfId="215" priority="70" operator="between">
      <formula>0.795</formula>
      <formula>1</formula>
    </cfRule>
  </conditionalFormatting>
  <conditionalFormatting sqref="E41:E42">
    <cfRule type="cellIs" dxfId="214" priority="61" operator="between">
      <formula>0</formula>
      <formula>0.3999</formula>
    </cfRule>
    <cfRule type="cellIs" dxfId="213" priority="62" operator="between">
      <formula>0.3955</formula>
      <formula>0.5949</formula>
    </cfRule>
    <cfRule type="cellIs" dxfId="212" priority="63" operator="between">
      <formula>0.595</formula>
      <formula>0.6949</formula>
    </cfRule>
    <cfRule type="cellIs" dxfId="211" priority="64" operator="between">
      <formula>0.695</formula>
      <formula>0.7949</formula>
    </cfRule>
    <cfRule type="cellIs" dxfId="210" priority="65" operator="between">
      <formula>0.795</formula>
      <formula>1</formula>
    </cfRule>
  </conditionalFormatting>
  <conditionalFormatting sqref="E44:E45">
    <cfRule type="cellIs" dxfId="209" priority="56" operator="between">
      <formula>0</formula>
      <formula>0.3999</formula>
    </cfRule>
    <cfRule type="cellIs" dxfId="208" priority="57" operator="between">
      <formula>0.3955</formula>
      <formula>0.5949</formula>
    </cfRule>
    <cfRule type="cellIs" dxfId="207" priority="58" operator="between">
      <formula>0.595</formula>
      <formula>0.6949</formula>
    </cfRule>
    <cfRule type="cellIs" dxfId="206" priority="59" operator="between">
      <formula>0.695</formula>
      <formula>0.7949</formula>
    </cfRule>
    <cfRule type="cellIs" dxfId="205" priority="60" operator="between">
      <formula>0.795</formula>
      <formula>1</formula>
    </cfRule>
  </conditionalFormatting>
  <conditionalFormatting sqref="E47:E51">
    <cfRule type="cellIs" dxfId="204" priority="51" operator="between">
      <formula>0</formula>
      <formula>0.3999</formula>
    </cfRule>
    <cfRule type="cellIs" dxfId="203" priority="52" operator="between">
      <formula>0.3955</formula>
      <formula>0.5949</formula>
    </cfRule>
    <cfRule type="cellIs" dxfId="202" priority="53" operator="between">
      <formula>0.595</formula>
      <formula>0.6949</formula>
    </cfRule>
    <cfRule type="cellIs" dxfId="201" priority="54" operator="between">
      <formula>0.695</formula>
      <formula>0.7949</formula>
    </cfRule>
    <cfRule type="cellIs" dxfId="200" priority="55" operator="between">
      <formula>0.795</formula>
      <formula>1</formula>
    </cfRule>
  </conditionalFormatting>
  <conditionalFormatting sqref="E53:E55">
    <cfRule type="cellIs" dxfId="199" priority="46" operator="between">
      <formula>0</formula>
      <formula>0.3999</formula>
    </cfRule>
    <cfRule type="cellIs" dxfId="198" priority="47" operator="between">
      <formula>0.3955</formula>
      <formula>0.5949</formula>
    </cfRule>
    <cfRule type="cellIs" dxfId="197" priority="48" operator="between">
      <formula>0.595</formula>
      <formula>0.6949</formula>
    </cfRule>
    <cfRule type="cellIs" dxfId="196" priority="49" operator="between">
      <formula>0.695</formula>
      <formula>0.7949</formula>
    </cfRule>
    <cfRule type="cellIs" dxfId="195" priority="50" operator="between">
      <formula>0.795</formula>
      <formula>1</formula>
    </cfRule>
  </conditionalFormatting>
  <conditionalFormatting sqref="E57:E62">
    <cfRule type="cellIs" dxfId="194" priority="41" operator="between">
      <formula>0</formula>
      <formula>0.3999</formula>
    </cfRule>
    <cfRule type="cellIs" dxfId="193" priority="42" operator="between">
      <formula>0.3955</formula>
      <formula>0.5949</formula>
    </cfRule>
    <cfRule type="cellIs" dxfId="192" priority="43" operator="between">
      <formula>0.595</formula>
      <formula>0.6949</formula>
    </cfRule>
    <cfRule type="cellIs" dxfId="191" priority="44" operator="between">
      <formula>0.695</formula>
      <formula>0.7949</formula>
    </cfRule>
    <cfRule type="cellIs" dxfId="190" priority="45" operator="between">
      <formula>0.795</formula>
      <formula>1</formula>
    </cfRule>
  </conditionalFormatting>
  <conditionalFormatting sqref="E64:E65">
    <cfRule type="cellIs" dxfId="189" priority="36" operator="between">
      <formula>0</formula>
      <formula>0.3999</formula>
    </cfRule>
    <cfRule type="cellIs" dxfId="188" priority="37" operator="between">
      <formula>0.3955</formula>
      <formula>0.5949</formula>
    </cfRule>
    <cfRule type="cellIs" dxfId="187" priority="38" operator="between">
      <formula>0.595</formula>
      <formula>0.6949</formula>
    </cfRule>
    <cfRule type="cellIs" dxfId="186" priority="39" operator="between">
      <formula>0.695</formula>
      <formula>0.7949</formula>
    </cfRule>
    <cfRule type="cellIs" dxfId="185" priority="40" operator="between">
      <formula>0.795</formula>
      <formula>1</formula>
    </cfRule>
  </conditionalFormatting>
  <conditionalFormatting sqref="E67">
    <cfRule type="cellIs" dxfId="184" priority="31" operator="between">
      <formula>0</formula>
      <formula>0.3999</formula>
    </cfRule>
    <cfRule type="cellIs" dxfId="183" priority="32" operator="between">
      <formula>0.3955</formula>
      <formula>0.5949</formula>
    </cfRule>
    <cfRule type="cellIs" dxfId="182" priority="33" operator="between">
      <formula>0.595</formula>
      <formula>0.6949</formula>
    </cfRule>
    <cfRule type="cellIs" dxfId="181" priority="34" operator="between">
      <formula>0.695</formula>
      <formula>0.7949</formula>
    </cfRule>
    <cfRule type="cellIs" dxfId="180" priority="35" operator="between">
      <formula>0.795</formula>
      <formula>1</formula>
    </cfRule>
  </conditionalFormatting>
  <conditionalFormatting sqref="E69:E75">
    <cfRule type="cellIs" dxfId="179" priority="26" operator="between">
      <formula>0</formula>
      <formula>0.3999</formula>
    </cfRule>
    <cfRule type="cellIs" dxfId="178" priority="27" operator="between">
      <formula>0.3955</formula>
      <formula>0.5949</formula>
    </cfRule>
    <cfRule type="cellIs" dxfId="177" priority="28" operator="between">
      <formula>0.595</formula>
      <formula>0.6949</formula>
    </cfRule>
    <cfRule type="cellIs" dxfId="176" priority="29" operator="between">
      <formula>0.695</formula>
      <formula>0.7949</formula>
    </cfRule>
    <cfRule type="cellIs" dxfId="175" priority="30" operator="between">
      <formula>0.795</formula>
      <formula>1</formula>
    </cfRule>
  </conditionalFormatting>
  <conditionalFormatting sqref="E77:E79">
    <cfRule type="cellIs" dxfId="174" priority="16" operator="between">
      <formula>0</formula>
      <formula>0.3999</formula>
    </cfRule>
    <cfRule type="cellIs" dxfId="173" priority="17" operator="between">
      <formula>0.3955</formula>
      <formula>0.5949</formula>
    </cfRule>
    <cfRule type="cellIs" dxfId="172" priority="18" operator="between">
      <formula>0.595</formula>
      <formula>0.6949</formula>
    </cfRule>
    <cfRule type="cellIs" dxfId="171" priority="19" operator="between">
      <formula>0.695</formula>
      <formula>0.7949</formula>
    </cfRule>
    <cfRule type="cellIs" dxfId="170" priority="20" operator="between">
      <formula>0.795</formula>
      <formula>1</formula>
    </cfRule>
  </conditionalFormatting>
  <conditionalFormatting sqref="E81:E82">
    <cfRule type="cellIs" dxfId="169" priority="11" operator="between">
      <formula>0</formula>
      <formula>0.3999</formula>
    </cfRule>
    <cfRule type="cellIs" dxfId="168" priority="12" operator="between">
      <formula>0.3955</formula>
      <formula>0.5949</formula>
    </cfRule>
    <cfRule type="cellIs" dxfId="167" priority="13" operator="between">
      <formula>0.595</formula>
      <formula>0.6949</formula>
    </cfRule>
    <cfRule type="cellIs" dxfId="166" priority="14" operator="between">
      <formula>0.695</formula>
      <formula>0.7949</formula>
    </cfRule>
    <cfRule type="cellIs" dxfId="165" priority="15" operator="between">
      <formula>0.795</formula>
      <formula>1</formula>
    </cfRule>
  </conditionalFormatting>
  <conditionalFormatting sqref="E84">
    <cfRule type="cellIs" dxfId="164" priority="6" operator="between">
      <formula>0</formula>
      <formula>0.3999</formula>
    </cfRule>
    <cfRule type="cellIs" dxfId="163" priority="7" operator="between">
      <formula>0.3955</formula>
      <formula>0.5949</formula>
    </cfRule>
    <cfRule type="cellIs" dxfId="162" priority="8" operator="between">
      <formula>0.595</formula>
      <formula>0.6949</formula>
    </cfRule>
    <cfRule type="cellIs" dxfId="161" priority="9" operator="between">
      <formula>0.695</formula>
      <formula>0.7949</formula>
    </cfRule>
    <cfRule type="cellIs" dxfId="160" priority="10" operator="between">
      <formula>0.795</formula>
      <formula>1</formula>
    </cfRule>
  </conditionalFormatting>
  <conditionalFormatting sqref="E86">
    <cfRule type="cellIs" dxfId="159" priority="1" operator="between">
      <formula>0</formula>
      <formula>0.3999</formula>
    </cfRule>
    <cfRule type="cellIs" dxfId="158" priority="2" operator="between">
      <formula>0.3955</formula>
      <formula>0.5949</formula>
    </cfRule>
    <cfRule type="cellIs" dxfId="157" priority="3" operator="between">
      <formula>0.595</formula>
      <formula>0.6949</formula>
    </cfRule>
    <cfRule type="cellIs" dxfId="156" priority="4" operator="between">
      <formula>0.695</formula>
      <formula>0.7949</formula>
    </cfRule>
    <cfRule type="cellIs" dxfId="155" priority="5" operator="between">
      <formula>0.795</formula>
      <formula>1</formula>
    </cfRule>
  </conditionalFormatting>
  <conditionalFormatting sqref="G6:G8">
    <cfRule type="cellIs" dxfId="154" priority="291" operator="between">
      <formula>0</formula>
      <formula>0.3999</formula>
    </cfRule>
    <cfRule type="cellIs" dxfId="153" priority="292" operator="between">
      <formula>0.3955</formula>
      <formula>0.5949</formula>
    </cfRule>
    <cfRule type="cellIs" dxfId="152" priority="293" operator="between">
      <formula>0.595</formula>
      <formula>0.6949</formula>
    </cfRule>
    <cfRule type="cellIs" dxfId="151" priority="294" operator="between">
      <formula>0.695</formula>
      <formula>0.7949</formula>
    </cfRule>
    <cfRule type="cellIs" dxfId="150" priority="295" operator="between">
      <formula>0.795</formula>
      <formula>1</formula>
    </cfRule>
  </conditionalFormatting>
  <conditionalFormatting sqref="G10:G11">
    <cfRule type="cellIs" dxfId="149" priority="286" operator="between">
      <formula>0</formula>
      <formula>0.3999</formula>
    </cfRule>
    <cfRule type="cellIs" dxfId="148" priority="287" operator="between">
      <formula>0.3955</formula>
      <formula>0.5949</formula>
    </cfRule>
    <cfRule type="cellIs" dxfId="147" priority="288" operator="between">
      <formula>0.595</formula>
      <formula>0.6949</formula>
    </cfRule>
    <cfRule type="cellIs" dxfId="146" priority="289" operator="between">
      <formula>0.695</formula>
      <formula>0.7949</formula>
    </cfRule>
    <cfRule type="cellIs" dxfId="145" priority="290" operator="between">
      <formula>0.795</formula>
      <formula>1</formula>
    </cfRule>
  </conditionalFormatting>
  <conditionalFormatting sqref="G13:G15">
    <cfRule type="cellIs" dxfId="144" priority="281" operator="between">
      <formula>0</formula>
      <formula>0.3999</formula>
    </cfRule>
    <cfRule type="cellIs" dxfId="143" priority="282" operator="between">
      <formula>0.3955</formula>
      <formula>0.5949</formula>
    </cfRule>
    <cfRule type="cellIs" dxfId="142" priority="283" operator="between">
      <formula>0.595</formula>
      <formula>0.6949</formula>
    </cfRule>
    <cfRule type="cellIs" dxfId="141" priority="284" operator="between">
      <formula>0.695</formula>
      <formula>0.7949</formula>
    </cfRule>
    <cfRule type="cellIs" dxfId="140" priority="285" operator="between">
      <formula>0.795</formula>
      <formula>1</formula>
    </cfRule>
  </conditionalFormatting>
  <conditionalFormatting sqref="G17:G26">
    <cfRule type="cellIs" dxfId="139" priority="276" operator="between">
      <formula>0</formula>
      <formula>0.3999</formula>
    </cfRule>
    <cfRule type="cellIs" dxfId="138" priority="277" operator="between">
      <formula>0.3955</formula>
      <formula>0.5949</formula>
    </cfRule>
    <cfRule type="cellIs" dxfId="137" priority="278" operator="between">
      <formula>0.595</formula>
      <formula>0.6949</formula>
    </cfRule>
    <cfRule type="cellIs" dxfId="136" priority="279" operator="between">
      <formula>0.695</formula>
      <formula>0.7949</formula>
    </cfRule>
    <cfRule type="cellIs" dxfId="135" priority="280" operator="between">
      <formula>0.795</formula>
      <formula>1</formula>
    </cfRule>
  </conditionalFormatting>
  <conditionalFormatting sqref="G28:G30">
    <cfRule type="cellIs" dxfId="134" priority="271" operator="between">
      <formula>0</formula>
      <formula>0.3999</formula>
    </cfRule>
    <cfRule type="cellIs" dxfId="133" priority="272" operator="between">
      <formula>0.3955</formula>
      <formula>0.5949</formula>
    </cfRule>
    <cfRule type="cellIs" dxfId="132" priority="273" operator="between">
      <formula>0.595</formula>
      <formula>0.6949</formula>
    </cfRule>
    <cfRule type="cellIs" dxfId="131" priority="274" operator="between">
      <formula>0.695</formula>
      <formula>0.7949</formula>
    </cfRule>
    <cfRule type="cellIs" dxfId="130" priority="275" operator="between">
      <formula>0.795</formula>
      <formula>1</formula>
    </cfRule>
  </conditionalFormatting>
  <conditionalFormatting sqref="G32:G35">
    <cfRule type="cellIs" dxfId="129" priority="266" operator="between">
      <formula>0</formula>
      <formula>0.3999</formula>
    </cfRule>
    <cfRule type="cellIs" dxfId="128" priority="267" operator="between">
      <formula>0.3955</formula>
      <formula>0.5949</formula>
    </cfRule>
    <cfRule type="cellIs" dxfId="127" priority="268" operator="between">
      <formula>0.595</formula>
      <formula>0.6949</formula>
    </cfRule>
    <cfRule type="cellIs" dxfId="126" priority="269" operator="between">
      <formula>0.695</formula>
      <formula>0.7949</formula>
    </cfRule>
    <cfRule type="cellIs" dxfId="125" priority="270" operator="between">
      <formula>0.795</formula>
      <formula>1</formula>
    </cfRule>
  </conditionalFormatting>
  <conditionalFormatting sqref="G37:G39">
    <cfRule type="cellIs" dxfId="124" priority="261" operator="between">
      <formula>0</formula>
      <formula>0.3999</formula>
    </cfRule>
    <cfRule type="cellIs" dxfId="123" priority="262" operator="between">
      <formula>0.3955</formula>
      <formula>0.5949</formula>
    </cfRule>
    <cfRule type="cellIs" dxfId="122" priority="263" operator="between">
      <formula>0.595</formula>
      <formula>0.6949</formula>
    </cfRule>
    <cfRule type="cellIs" dxfId="121" priority="264" operator="between">
      <formula>0.695</formula>
      <formula>0.7949</formula>
    </cfRule>
    <cfRule type="cellIs" dxfId="120" priority="265" operator="between">
      <formula>0.795</formula>
      <formula>1</formula>
    </cfRule>
  </conditionalFormatting>
  <conditionalFormatting sqref="G41:G42">
    <cfRule type="cellIs" dxfId="119" priority="256" operator="between">
      <formula>0</formula>
      <formula>0.3999</formula>
    </cfRule>
    <cfRule type="cellIs" dxfId="118" priority="257" operator="between">
      <formula>0.3955</formula>
      <formula>0.5949</formula>
    </cfRule>
    <cfRule type="cellIs" dxfId="117" priority="258" operator="between">
      <formula>0.595</formula>
      <formula>0.6949</formula>
    </cfRule>
    <cfRule type="cellIs" dxfId="116" priority="259" operator="between">
      <formula>0.695</formula>
      <formula>0.7949</formula>
    </cfRule>
    <cfRule type="cellIs" dxfId="115" priority="260" operator="between">
      <formula>0.795</formula>
      <formula>1</formula>
    </cfRule>
  </conditionalFormatting>
  <conditionalFormatting sqref="G44:G45">
    <cfRule type="cellIs" dxfId="114" priority="251" operator="between">
      <formula>0</formula>
      <formula>0.3999</formula>
    </cfRule>
    <cfRule type="cellIs" dxfId="113" priority="252" operator="between">
      <formula>0.3955</formula>
      <formula>0.5949</formula>
    </cfRule>
    <cfRule type="cellIs" dxfId="112" priority="253" operator="between">
      <formula>0.595</formula>
      <formula>0.6949</formula>
    </cfRule>
    <cfRule type="cellIs" dxfId="111" priority="254" operator="between">
      <formula>0.695</formula>
      <formula>0.7949</formula>
    </cfRule>
    <cfRule type="cellIs" dxfId="110" priority="255" operator="between">
      <formula>0.795</formula>
      <formula>1</formula>
    </cfRule>
  </conditionalFormatting>
  <conditionalFormatting sqref="G47:G51">
    <cfRule type="cellIs" dxfId="109" priority="246" operator="between">
      <formula>0</formula>
      <formula>0.3999</formula>
    </cfRule>
    <cfRule type="cellIs" dxfId="108" priority="247" operator="between">
      <formula>0.3955</formula>
      <formula>0.5949</formula>
    </cfRule>
    <cfRule type="cellIs" dxfId="107" priority="248" operator="between">
      <formula>0.595</formula>
      <formula>0.6949</formula>
    </cfRule>
    <cfRule type="cellIs" dxfId="106" priority="249" operator="between">
      <formula>0.695</formula>
      <formula>0.7949</formula>
    </cfRule>
    <cfRule type="cellIs" dxfId="105" priority="250" operator="between">
      <formula>0.795</formula>
      <formula>1</formula>
    </cfRule>
  </conditionalFormatting>
  <conditionalFormatting sqref="G53:G55">
    <cfRule type="cellIs" dxfId="104" priority="241" operator="between">
      <formula>0</formula>
      <formula>0.3999</formula>
    </cfRule>
    <cfRule type="cellIs" dxfId="103" priority="242" operator="between">
      <formula>0.3955</formula>
      <formula>0.5949</formula>
    </cfRule>
    <cfRule type="cellIs" dxfId="102" priority="243" operator="between">
      <formula>0.595</formula>
      <formula>0.6949</formula>
    </cfRule>
    <cfRule type="cellIs" dxfId="101" priority="244" operator="between">
      <formula>0.695</formula>
      <formula>0.7949</formula>
    </cfRule>
    <cfRule type="cellIs" dxfId="100" priority="245" operator="between">
      <formula>0.795</formula>
      <formula>1</formula>
    </cfRule>
  </conditionalFormatting>
  <conditionalFormatting sqref="G57:G62">
    <cfRule type="cellIs" dxfId="99" priority="236" operator="between">
      <formula>0</formula>
      <formula>0.3999</formula>
    </cfRule>
    <cfRule type="cellIs" dxfId="98" priority="237" operator="between">
      <formula>0.3955</formula>
      <formula>0.5949</formula>
    </cfRule>
    <cfRule type="cellIs" dxfId="97" priority="238" operator="between">
      <formula>0.595</formula>
      <formula>0.6949</formula>
    </cfRule>
    <cfRule type="cellIs" dxfId="96" priority="239" operator="between">
      <formula>0.695</formula>
      <formula>0.7949</formula>
    </cfRule>
    <cfRule type="cellIs" dxfId="95" priority="240" operator="between">
      <formula>0.795</formula>
      <formula>1</formula>
    </cfRule>
  </conditionalFormatting>
  <conditionalFormatting sqref="G64:G65">
    <cfRule type="cellIs" dxfId="94" priority="231" operator="between">
      <formula>0</formula>
      <formula>0.3999</formula>
    </cfRule>
    <cfRule type="cellIs" dxfId="93" priority="232" operator="between">
      <formula>0.3955</formula>
      <formula>0.5949</formula>
    </cfRule>
    <cfRule type="cellIs" dxfId="92" priority="233" operator="between">
      <formula>0.595</formula>
      <formula>0.6949</formula>
    </cfRule>
    <cfRule type="cellIs" dxfId="91" priority="234" operator="between">
      <formula>0.695</formula>
      <formula>0.7949</formula>
    </cfRule>
    <cfRule type="cellIs" dxfId="90" priority="235" operator="between">
      <formula>0.795</formula>
      <formula>1</formula>
    </cfRule>
  </conditionalFormatting>
  <conditionalFormatting sqref="G67">
    <cfRule type="cellIs" dxfId="89" priority="226" operator="between">
      <formula>0</formula>
      <formula>0.3999</formula>
    </cfRule>
    <cfRule type="cellIs" dxfId="88" priority="227" operator="between">
      <formula>0.3955</formula>
      <formula>0.5949</formula>
    </cfRule>
    <cfRule type="cellIs" dxfId="87" priority="228" operator="between">
      <formula>0.595</formula>
      <formula>0.6949</formula>
    </cfRule>
    <cfRule type="cellIs" dxfId="86" priority="229" operator="between">
      <formula>0.695</formula>
      <formula>0.7949</formula>
    </cfRule>
    <cfRule type="cellIs" dxfId="85" priority="230" operator="between">
      <formula>0.795</formula>
      <formula>1</formula>
    </cfRule>
  </conditionalFormatting>
  <conditionalFormatting sqref="G69:G75">
    <cfRule type="cellIs" dxfId="84" priority="311" operator="between">
      <formula>0</formula>
      <formula>0.3999</formula>
    </cfRule>
    <cfRule type="cellIs" dxfId="83" priority="312" operator="between">
      <formula>0.3955</formula>
      <formula>0.5949</formula>
    </cfRule>
    <cfRule type="cellIs" dxfId="82" priority="313" operator="between">
      <formula>0.595</formula>
      <formula>0.6949</formula>
    </cfRule>
    <cfRule type="cellIs" dxfId="81" priority="314" operator="between">
      <formula>0.695</formula>
      <formula>0.7949</formula>
    </cfRule>
    <cfRule type="cellIs" dxfId="80" priority="315" operator="between">
      <formula>0.795</formula>
      <formula>1</formula>
    </cfRule>
  </conditionalFormatting>
  <conditionalFormatting sqref="G77:G79">
    <cfRule type="cellIs" dxfId="79" priority="216" operator="between">
      <formula>0</formula>
      <formula>0.3999</formula>
    </cfRule>
    <cfRule type="cellIs" dxfId="78" priority="217" operator="between">
      <formula>0.3955</formula>
      <formula>0.5949</formula>
    </cfRule>
    <cfRule type="cellIs" dxfId="77" priority="218" operator="between">
      <formula>0.595</formula>
      <formula>0.6949</formula>
    </cfRule>
    <cfRule type="cellIs" dxfId="76" priority="219" operator="between">
      <formula>0.695</formula>
      <formula>0.7949</formula>
    </cfRule>
    <cfRule type="cellIs" dxfId="75" priority="220" operator="between">
      <formula>0.795</formula>
      <formula>1</formula>
    </cfRule>
  </conditionalFormatting>
  <conditionalFormatting sqref="G81:G82">
    <cfRule type="cellIs" dxfId="74" priority="211" operator="between">
      <formula>0</formula>
      <formula>0.3999</formula>
    </cfRule>
    <cfRule type="cellIs" dxfId="73" priority="212" operator="between">
      <formula>0.3955</formula>
      <formula>0.5949</formula>
    </cfRule>
    <cfRule type="cellIs" dxfId="72" priority="213" operator="between">
      <formula>0.595</formula>
      <formula>0.6949</formula>
    </cfRule>
    <cfRule type="cellIs" dxfId="71" priority="214" operator="between">
      <formula>0.695</formula>
      <formula>0.7949</formula>
    </cfRule>
    <cfRule type="cellIs" dxfId="70" priority="215" operator="between">
      <formula>0.795</formula>
      <formula>1</formula>
    </cfRule>
  </conditionalFormatting>
  <conditionalFormatting sqref="G84">
    <cfRule type="cellIs" dxfId="69" priority="206" operator="between">
      <formula>0</formula>
      <formula>0.3999</formula>
    </cfRule>
    <cfRule type="cellIs" dxfId="68" priority="207" operator="between">
      <formula>0.3955</formula>
      <formula>0.5949</formula>
    </cfRule>
    <cfRule type="cellIs" dxfId="67" priority="208" operator="between">
      <formula>0.595</formula>
      <formula>0.6949</formula>
    </cfRule>
    <cfRule type="cellIs" dxfId="66" priority="209" operator="between">
      <formula>0.695</formula>
      <formula>0.7949</formula>
    </cfRule>
    <cfRule type="cellIs" dxfId="65" priority="210" operator="between">
      <formula>0.795</formula>
      <formula>1</formula>
    </cfRule>
  </conditionalFormatting>
  <conditionalFormatting sqref="G86">
    <cfRule type="cellIs" dxfId="64" priority="201" operator="between">
      <formula>0</formula>
      <formula>0.3999</formula>
    </cfRule>
    <cfRule type="cellIs" dxfId="63" priority="202" operator="between">
      <formula>0.3955</formula>
      <formula>0.5949</formula>
    </cfRule>
    <cfRule type="cellIs" dxfId="62" priority="203" operator="between">
      <formula>0.595</formula>
      <formula>0.6949</formula>
    </cfRule>
    <cfRule type="cellIs" dxfId="61" priority="204" operator="between">
      <formula>0.695</formula>
      <formula>0.7949</formula>
    </cfRule>
    <cfRule type="cellIs" dxfId="60" priority="205" operator="between">
      <formula>0.795</formula>
      <formula>1</formula>
    </cfRule>
  </conditionalFormatting>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002060"/>
  </sheetPr>
  <dimension ref="B1:G19"/>
  <sheetViews>
    <sheetView showGridLines="0" zoomScale="80" zoomScaleNormal="80" workbookViewId="0">
      <selection activeCell="B14" sqref="B14"/>
    </sheetView>
  </sheetViews>
  <sheetFormatPr baseColWidth="10" defaultColWidth="11.42578125" defaultRowHeight="15"/>
  <cols>
    <col min="2" max="2" width="49.5703125" customWidth="1"/>
    <col min="3" max="4" width="28.7109375" customWidth="1"/>
    <col min="5" max="5" width="17" customWidth="1"/>
    <col min="6" max="6" width="28.7109375" customWidth="1"/>
    <col min="7" max="7" width="16" customWidth="1"/>
  </cols>
  <sheetData>
    <row r="1" spans="2:7" ht="15" customHeight="1">
      <c r="B1" s="565" t="s">
        <v>1530</v>
      </c>
      <c r="C1" s="565"/>
      <c r="D1" s="565"/>
      <c r="E1" s="565"/>
      <c r="F1" s="565"/>
      <c r="G1" s="565"/>
    </row>
    <row r="2" spans="2:7" ht="15" customHeight="1">
      <c r="B2" s="565"/>
      <c r="C2" s="565"/>
      <c r="D2" s="565"/>
      <c r="E2" s="565"/>
      <c r="F2" s="565"/>
      <c r="G2" s="565"/>
    </row>
    <row r="3" spans="2:7" ht="60.75" customHeight="1">
      <c r="B3" s="565"/>
      <c r="C3" s="565"/>
      <c r="D3" s="565"/>
      <c r="E3" s="565"/>
      <c r="F3" s="565"/>
      <c r="G3" s="565"/>
    </row>
    <row r="4" spans="2:7" ht="26.25" customHeight="1">
      <c r="B4" s="66" t="s">
        <v>23</v>
      </c>
      <c r="C4" s="69" t="s">
        <v>1314</v>
      </c>
      <c r="D4" s="200" t="s">
        <v>1461</v>
      </c>
      <c r="E4" s="200" t="s">
        <v>1468</v>
      </c>
      <c r="F4" s="200" t="s">
        <v>1462</v>
      </c>
      <c r="G4" s="200" t="s">
        <v>1469</v>
      </c>
    </row>
    <row r="5" spans="2:7" ht="30.75" customHeight="1">
      <c r="B5" s="55" t="s">
        <v>148</v>
      </c>
      <c r="C5" s="44">
        <f>'RESUMEN PROGRAMAS'!E24+'RESUMEN PROGRAMAS'!E56+'RESUMEN PROGRAMAS'!E78+'RESUMEN PROGRAMAS'!E117+'RESUMEN PROGRAMAS'!E126+'RESUMEN PROGRAMAS'!E145+'RESUMEN PROGRAMAS'!E152+'RESUMEN PROGRAMAS'!E167+'RESUMEN PROGRAMAS'!E173</f>
        <v>361474257009.53998</v>
      </c>
      <c r="D5" s="44">
        <f>'RESUMEN PROGRAMAS'!F24+'RESUMEN PROGRAMAS'!F56+'RESUMEN PROGRAMAS'!F78+'RESUMEN PROGRAMAS'!F117+'RESUMEN PROGRAMAS'!F126+'RESUMEN PROGRAMAS'!F145+'RESUMEN PROGRAMAS'!F152+'RESUMEN PROGRAMAS'!F167+'RESUMEN PROGRAMAS'!F173</f>
        <v>283891635065.90997</v>
      </c>
      <c r="E5" s="196">
        <f>D5/C5</f>
        <v>0.78537165388908325</v>
      </c>
      <c r="F5" s="44">
        <f>'RESUMEN PROGRAMAS'!H24+'RESUMEN PROGRAMAS'!H56+'RESUMEN PROGRAMAS'!H78+'RESUMEN PROGRAMAS'!H117+'RESUMEN PROGRAMAS'!H126+'RESUMEN PROGRAMAS'!H145+'RESUMEN PROGRAMAS'!H152+'RESUMEN PROGRAMAS'!H167+'RESUMEN PROGRAMAS'!H173</f>
        <v>257721658081.61002</v>
      </c>
      <c r="G5" s="196">
        <f>F5/C5</f>
        <v>0.71297375424111675</v>
      </c>
    </row>
    <row r="6" spans="2:7" ht="30.75" customHeight="1">
      <c r="B6" s="55" t="s">
        <v>200</v>
      </c>
      <c r="C6" s="135">
        <f>'RESUMEN PROGRAMAS'!E37+'RESUMEN PROGRAMAS'!E84+'RESUMEN PROGRAMAS'!E91+'RESUMEN PROGRAMAS'!E121+'RESUMEN PROGRAMAS'!E135+'RESUMEN PROGRAMAS'!E156</f>
        <v>7199880036.5699997</v>
      </c>
      <c r="D6" s="135">
        <f>'RESUMEN PROGRAMAS'!F37+'RESUMEN PROGRAMAS'!F84+'RESUMEN PROGRAMAS'!F91+'RESUMEN PROGRAMAS'!F121+'RESUMEN PROGRAMAS'!F135+'RESUMEN PROGRAMAS'!F156</f>
        <v>6539640135.1800003</v>
      </c>
      <c r="E6" s="196">
        <f>D6/C6</f>
        <v>0.90829848580303074</v>
      </c>
      <c r="F6" s="135">
        <f>'RESUMEN PROGRAMAS'!H37+'RESUMEN PROGRAMAS'!H84+'RESUMEN PROGRAMAS'!H91+'RESUMEN PROGRAMAS'!H121+'RESUMEN PROGRAMAS'!H135+'RESUMEN PROGRAMAS'!H156</f>
        <v>6377253897.1800003</v>
      </c>
      <c r="G6" s="196">
        <f>F6/C6</f>
        <v>0.88574446585058719</v>
      </c>
    </row>
    <row r="7" spans="2:7" ht="30.75" customHeight="1">
      <c r="B7" s="55" t="s">
        <v>212</v>
      </c>
      <c r="C7" s="135">
        <f>'RESUMEN PROGRAMAS'!E42+'RESUMEN PROGRAMAS'!E68+'RESUMEN PROGRAMAS'!E102+'RESUMEN PROGRAMAS'!E178+'RESUMEN PROGRAMAS'!E189</f>
        <v>63711931616.039993</v>
      </c>
      <c r="D7" s="135">
        <f>'RESUMEN PROGRAMAS'!F42+'RESUMEN PROGRAMAS'!F68+'RESUMEN PROGRAMAS'!F102+'RESUMEN PROGRAMAS'!F178+'RESUMEN PROGRAMAS'!F189</f>
        <v>47482264913.099998</v>
      </c>
      <c r="E7" s="196">
        <f>D7/C7</f>
        <v>0.74526487753113346</v>
      </c>
      <c r="F7" s="135">
        <f>'RESUMEN PROGRAMAS'!H42+'RESUMEN PROGRAMAS'!H68+'RESUMEN PROGRAMAS'!H102+'RESUMEN PROGRAMAS'!H178+'RESUMEN PROGRAMAS'!H189</f>
        <v>20621167669.739998</v>
      </c>
      <c r="G7" s="196">
        <f>F7/C7</f>
        <v>0.32366257224805994</v>
      </c>
    </row>
    <row r="8" spans="2:7" ht="30.75" customHeight="1">
      <c r="B8" s="55" t="s">
        <v>59</v>
      </c>
      <c r="C8" s="135">
        <f>'RESUMEN PROGRAMAS'!E7+'RESUMEN PROGRAMAS'!E13+'RESUMEN PROGRAMAS'!E19+'RESUMEN PROGRAMAS'!E50+'RESUMEN PROGRAMAS'!E73+'RESUMEN PROGRAMAS'!E111+'RESUMEN PROGRAMAS'!E140+'RESUMEN PROGRAMAS'!E160+'RESUMEN PROGRAMAS'!E184</f>
        <v>29108456988</v>
      </c>
      <c r="D8" s="135">
        <f>'RESUMEN PROGRAMAS'!F7+'RESUMEN PROGRAMAS'!F13+'RESUMEN PROGRAMAS'!F19+'RESUMEN PROGRAMAS'!F50+'RESUMEN PROGRAMAS'!F73+'RESUMEN PROGRAMAS'!F111+'RESUMEN PROGRAMAS'!F140+'RESUMEN PROGRAMAS'!F160+'RESUMEN PROGRAMAS'!F184</f>
        <v>23789110691.669998</v>
      </c>
      <c r="E8" s="196">
        <f>D8/C8</f>
        <v>0.81725770285512178</v>
      </c>
      <c r="F8" s="135">
        <f>'RESUMEN PROGRAMAS'!H7+'RESUMEN PROGRAMAS'!H13+'RESUMEN PROGRAMAS'!H19+'RESUMEN PROGRAMAS'!H50+'RESUMEN PROGRAMAS'!H73+'RESUMEN PROGRAMAS'!H111+'RESUMEN PROGRAMAS'!H140+'RESUMEN PROGRAMAS'!H160+'RESUMEN PROGRAMAS'!H184</f>
        <v>23734992699.470001</v>
      </c>
      <c r="G8" s="196">
        <f>F8/C8</f>
        <v>0.81539851835000332</v>
      </c>
    </row>
    <row r="9" spans="2:7" s="68" customFormat="1" ht="30.75" customHeight="1">
      <c r="B9" s="67" t="s">
        <v>1335</v>
      </c>
      <c r="C9" s="136">
        <f>SUM(C5:C8)</f>
        <v>461494525650.14996</v>
      </c>
      <c r="D9" s="136">
        <f>SUM(D5:D8)</f>
        <v>361702650805.85992</v>
      </c>
      <c r="E9" s="199">
        <f>D9/C9</f>
        <v>0.78376368667926444</v>
      </c>
      <c r="F9" s="136">
        <f>SUM(F5:F8)</f>
        <v>308455072348</v>
      </c>
      <c r="G9" s="199">
        <f>F9/C9</f>
        <v>0.66838294975103085</v>
      </c>
    </row>
    <row r="13" spans="2:7" ht="15.75" thickBot="1"/>
    <row r="14" spans="2:7" ht="15.75" customHeight="1">
      <c r="D14" s="508" t="s">
        <v>1500</v>
      </c>
      <c r="E14" s="509"/>
    </row>
    <row r="15" spans="2:7" ht="15" customHeight="1">
      <c r="D15" s="510" t="s">
        <v>1492</v>
      </c>
      <c r="E15" s="511"/>
    </row>
    <row r="16" spans="2:7" ht="15" customHeight="1">
      <c r="D16" s="512" t="s">
        <v>1494</v>
      </c>
      <c r="E16" s="513"/>
    </row>
    <row r="17" spans="4:5">
      <c r="D17" s="514" t="s">
        <v>1496</v>
      </c>
      <c r="E17" s="515"/>
    </row>
    <row r="18" spans="4:5">
      <c r="D18" s="504" t="s">
        <v>1498</v>
      </c>
      <c r="E18" s="505"/>
    </row>
    <row r="19" spans="4:5">
      <c r="D19" s="506" t="s">
        <v>1499</v>
      </c>
      <c r="E19" s="507"/>
    </row>
  </sheetData>
  <mergeCells count="7">
    <mergeCell ref="D18:E18"/>
    <mergeCell ref="D19:E19"/>
    <mergeCell ref="B1:G3"/>
    <mergeCell ref="D14:E14"/>
    <mergeCell ref="D15:E15"/>
    <mergeCell ref="D16:E16"/>
    <mergeCell ref="D17:E17"/>
  </mergeCells>
  <conditionalFormatting sqref="E5:E9">
    <cfRule type="cellIs" dxfId="59" priority="1" operator="between">
      <formula>0</formula>
      <formula>0.3999</formula>
    </cfRule>
    <cfRule type="cellIs" dxfId="58" priority="2" operator="between">
      <formula>0.3955</formula>
      <formula>0.5949</formula>
    </cfRule>
    <cfRule type="cellIs" dxfId="57" priority="3" operator="between">
      <formula>0.595</formula>
      <formula>0.6949</formula>
    </cfRule>
    <cfRule type="cellIs" dxfId="56" priority="4" operator="between">
      <formula>0.695</formula>
      <formula>0.7949</formula>
    </cfRule>
    <cfRule type="cellIs" dxfId="55" priority="5" operator="between">
      <formula>0.795</formula>
      <formula>1</formula>
    </cfRule>
  </conditionalFormatting>
  <conditionalFormatting sqref="G5:G9">
    <cfRule type="cellIs" dxfId="54" priority="6" operator="between">
      <formula>0</formula>
      <formula>0.3999</formula>
    </cfRule>
    <cfRule type="cellIs" dxfId="53" priority="7" operator="between">
      <formula>0.3955</formula>
      <formula>0.5949</formula>
    </cfRule>
    <cfRule type="cellIs" dxfId="52" priority="8" operator="between">
      <formula>0.595</formula>
      <formula>0.6949</formula>
    </cfRule>
    <cfRule type="cellIs" dxfId="51" priority="9" operator="between">
      <formula>0.695</formula>
      <formula>0.7949</formula>
    </cfRule>
    <cfRule type="cellIs" dxfId="50" priority="10" operator="between">
      <formula>0.795</formula>
      <formula>1</formula>
    </cfRule>
  </conditionalFormatting>
  <pageMargins left="0.7" right="0.7" top="0.75" bottom="0.75" header="0.3" footer="0.3"/>
  <pageSetup orientation="portrait"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002060"/>
  </sheetPr>
  <dimension ref="A1:K222"/>
  <sheetViews>
    <sheetView showGridLines="0" zoomScale="80" zoomScaleNormal="80" workbookViewId="0">
      <selection activeCell="E211" sqref="E211"/>
    </sheetView>
  </sheetViews>
  <sheetFormatPr baseColWidth="10" defaultColWidth="11.42578125" defaultRowHeight="12.75"/>
  <cols>
    <col min="1" max="1" width="11.42578125" style="143"/>
    <col min="2" max="2" width="17.85546875" style="86" customWidth="1"/>
    <col min="3" max="3" width="54.7109375" style="86" customWidth="1"/>
    <col min="4" max="4" width="24.140625" style="86" customWidth="1"/>
    <col min="5" max="6" width="23" style="86" customWidth="1"/>
    <col min="7" max="7" width="22.140625" style="86" customWidth="1"/>
    <col min="8" max="8" width="15.140625" style="86" customWidth="1"/>
    <col min="9" max="9" width="11.42578125" style="86"/>
    <col min="10" max="10" width="16.42578125" style="86" bestFit="1" customWidth="1"/>
    <col min="11" max="16384" width="11.42578125" style="86"/>
  </cols>
  <sheetData>
    <row r="1" spans="1:8" ht="71.25" customHeight="1" thickBot="1">
      <c r="A1" s="535" t="s">
        <v>1526</v>
      </c>
      <c r="B1" s="536"/>
      <c r="C1" s="536"/>
      <c r="D1" s="536"/>
      <c r="E1" s="536"/>
      <c r="F1" s="536"/>
      <c r="G1" s="536"/>
      <c r="H1" s="536"/>
    </row>
    <row r="2" spans="1:8" ht="30" customHeight="1" thickBot="1">
      <c r="A2" s="157" t="s">
        <v>1423</v>
      </c>
      <c r="B2" s="124" t="s">
        <v>48</v>
      </c>
      <c r="C2" s="157" t="s">
        <v>49</v>
      </c>
      <c r="D2" s="174" t="s">
        <v>1314</v>
      </c>
      <c r="E2" s="157" t="s">
        <v>1461</v>
      </c>
      <c r="F2" s="355" t="s">
        <v>1468</v>
      </c>
      <c r="G2" s="206" t="s">
        <v>1462</v>
      </c>
      <c r="H2" s="354" t="s">
        <v>1469</v>
      </c>
    </row>
    <row r="3" spans="1:8" ht="30" customHeight="1" thickBot="1">
      <c r="A3" s="522" t="s">
        <v>1279</v>
      </c>
      <c r="B3" s="523"/>
      <c r="C3" s="524"/>
      <c r="D3" s="214">
        <f>D4</f>
        <v>14299509202</v>
      </c>
      <c r="E3" s="214">
        <f>E4</f>
        <v>9790017963</v>
      </c>
      <c r="F3" s="197">
        <f>E3/D3</f>
        <v>0.68464013867208251</v>
      </c>
      <c r="G3" s="342">
        <f>G4</f>
        <v>9790017963</v>
      </c>
      <c r="H3" s="196">
        <f t="shared" ref="H3:H29" si="0">G3/D3</f>
        <v>0.68464013867208251</v>
      </c>
    </row>
    <row r="4" spans="1:8" ht="30" customHeight="1" thickBot="1">
      <c r="A4" s="176">
        <v>4</v>
      </c>
      <c r="B4" s="525" t="s">
        <v>1460</v>
      </c>
      <c r="C4" s="526"/>
      <c r="D4" s="207">
        <f>SUM(D5:D8)</f>
        <v>14299509202</v>
      </c>
      <c r="E4" s="352">
        <f>SUM(E5:E8)</f>
        <v>9790017963</v>
      </c>
      <c r="F4" s="197">
        <f t="shared" ref="F4:F67" si="1">E4/D4</f>
        <v>0.68464013867208251</v>
      </c>
      <c r="G4" s="343">
        <f>SUM(G5:G8)</f>
        <v>9790017963</v>
      </c>
      <c r="H4" s="196">
        <f t="shared" si="0"/>
        <v>0.68464013867208251</v>
      </c>
    </row>
    <row r="5" spans="1:8" ht="66" customHeight="1">
      <c r="A5" s="164">
        <v>1</v>
      </c>
      <c r="B5" s="156">
        <v>2020003630006</v>
      </c>
      <c r="C5" s="153" t="s">
        <v>70</v>
      </c>
      <c r="D5" s="201">
        <f>'SGTO POAI 2023 NOV-DIC'!BF8</f>
        <v>1109720500</v>
      </c>
      <c r="E5" s="339">
        <f>'SGTO POAI 2023 NOV-DIC'!BG8</f>
        <v>1106985798</v>
      </c>
      <c r="F5" s="218">
        <f t="shared" si="1"/>
        <v>0.9975356839852918</v>
      </c>
      <c r="G5" s="344">
        <f>'SGTO POAI 2023 NOV-DIC'!BH8</f>
        <v>1106985798</v>
      </c>
      <c r="H5" s="196">
        <f t="shared" si="0"/>
        <v>0.9975356839852918</v>
      </c>
    </row>
    <row r="6" spans="1:8" ht="66" customHeight="1">
      <c r="A6" s="165">
        <v>2</v>
      </c>
      <c r="B6" s="146">
        <v>2020003630007</v>
      </c>
      <c r="C6" s="147" t="s">
        <v>76</v>
      </c>
      <c r="D6" s="201">
        <f>'SGTO POAI 2023 NOV-DIC'!BF9</f>
        <v>663878702</v>
      </c>
      <c r="E6" s="339">
        <f>'SGTO POAI 2023 NOV-DIC'!BG9</f>
        <v>663369300</v>
      </c>
      <c r="F6" s="196">
        <f t="shared" si="1"/>
        <v>0.99923268814247934</v>
      </c>
      <c r="G6" s="344">
        <f>'SGTO POAI 2023 NOV-DIC'!BH9</f>
        <v>663369300</v>
      </c>
      <c r="H6" s="196">
        <f t="shared" si="0"/>
        <v>0.99923268814247934</v>
      </c>
    </row>
    <row r="7" spans="1:8" ht="66" customHeight="1">
      <c r="A7" s="165">
        <v>3</v>
      </c>
      <c r="B7" s="145">
        <v>2020003630005</v>
      </c>
      <c r="C7" s="148" t="s">
        <v>85</v>
      </c>
      <c r="D7" s="201">
        <f>'SGTO POAI 2023 NOV-DIC'!BF10</f>
        <v>125910000</v>
      </c>
      <c r="E7" s="339">
        <f>'SGTO POAI 2023 NOV-DIC'!BG10</f>
        <v>125824933</v>
      </c>
      <c r="F7" s="196">
        <f t="shared" si="1"/>
        <v>0.99932438249543321</v>
      </c>
      <c r="G7" s="345">
        <f>'SGTO POAI 2023 NOV-DIC'!BH10</f>
        <v>125824933</v>
      </c>
      <c r="H7" s="196">
        <f t="shared" si="0"/>
        <v>0.99932438249543321</v>
      </c>
    </row>
    <row r="8" spans="1:8" ht="66" customHeight="1" thickBot="1">
      <c r="A8" s="166">
        <v>4</v>
      </c>
      <c r="B8" s="158">
        <v>2022003630011</v>
      </c>
      <c r="C8" s="159" t="s">
        <v>1429</v>
      </c>
      <c r="D8" s="211">
        <f>'SGTO POAI 2023 NOV-DIC'!BF11</f>
        <v>12400000000</v>
      </c>
      <c r="E8" s="340">
        <f>'SGTO POAI 2023 NOV-DIC'!BG11</f>
        <v>7893837932</v>
      </c>
      <c r="F8" s="219">
        <f t="shared" si="1"/>
        <v>0.63659983322580649</v>
      </c>
      <c r="G8" s="274">
        <f>'SGTO POAI 2023 NOV-DIC'!BH11</f>
        <v>7893837932</v>
      </c>
      <c r="H8" s="219">
        <f t="shared" si="0"/>
        <v>0.63659983322580649</v>
      </c>
    </row>
    <row r="9" spans="1:8" ht="30" customHeight="1" thickBot="1">
      <c r="A9" s="519" t="s">
        <v>1336</v>
      </c>
      <c r="B9" s="520"/>
      <c r="C9" s="521"/>
      <c r="D9" s="212">
        <f>D10</f>
        <v>1457064026</v>
      </c>
      <c r="E9" s="212">
        <f>E10</f>
        <v>1280251070</v>
      </c>
      <c r="F9" s="197">
        <f t="shared" si="1"/>
        <v>0.87865121034839133</v>
      </c>
      <c r="G9" s="346">
        <f>G10</f>
        <v>1280251070</v>
      </c>
      <c r="H9" s="197">
        <f t="shared" si="0"/>
        <v>0.87865121034839133</v>
      </c>
    </row>
    <row r="10" spans="1:8" ht="30" customHeight="1">
      <c r="A10" s="163">
        <v>4</v>
      </c>
      <c r="B10" s="525" t="s">
        <v>1460</v>
      </c>
      <c r="C10" s="526"/>
      <c r="D10" s="207">
        <f>SUM(D11:D17)</f>
        <v>1457064026</v>
      </c>
      <c r="E10" s="352">
        <f>SUM(E11:E17)</f>
        <v>1280251070</v>
      </c>
      <c r="F10" s="218">
        <f t="shared" si="1"/>
        <v>0.87865121034839133</v>
      </c>
      <c r="G10" s="343">
        <f>SUM(G11:G17)</f>
        <v>1280251070</v>
      </c>
      <c r="H10" s="218">
        <f t="shared" si="0"/>
        <v>0.87865121034839133</v>
      </c>
    </row>
    <row r="11" spans="1:8" ht="66" customHeight="1">
      <c r="A11" s="164">
        <f>A8+1</f>
        <v>5</v>
      </c>
      <c r="B11" s="152">
        <v>2020003630042</v>
      </c>
      <c r="C11" s="153" t="s">
        <v>1337</v>
      </c>
      <c r="D11" s="201">
        <f>'SGTO POAI 2023 NOV-DIC'!BF12</f>
        <v>140000000</v>
      </c>
      <c r="E11" s="339">
        <f>'SGTO POAI 2023 NOV-DIC'!BG12</f>
        <v>120491024</v>
      </c>
      <c r="F11" s="218">
        <f t="shared" si="1"/>
        <v>0.86065017142857148</v>
      </c>
      <c r="G11" s="344">
        <f>'SGTO POAI 2023 NOV-DIC'!BH12</f>
        <v>120491024</v>
      </c>
      <c r="H11" s="196">
        <f t="shared" si="0"/>
        <v>0.86065017142857148</v>
      </c>
    </row>
    <row r="12" spans="1:8" ht="66" customHeight="1">
      <c r="A12" s="165">
        <f t="shared" ref="A12:A17" si="2">A11+1</f>
        <v>6</v>
      </c>
      <c r="B12" s="145">
        <v>2020003630043</v>
      </c>
      <c r="C12" s="148" t="s">
        <v>1338</v>
      </c>
      <c r="D12" s="201">
        <f>'SGTO POAI 2023 NOV-DIC'!BF13</f>
        <v>55000000</v>
      </c>
      <c r="E12" s="339">
        <f>'SGTO POAI 2023 NOV-DIC'!BG13</f>
        <v>54986666</v>
      </c>
      <c r="F12" s="196">
        <f t="shared" si="1"/>
        <v>0.99975756363636359</v>
      </c>
      <c r="G12" s="344">
        <f>'SGTO POAI 2023 NOV-DIC'!BH13</f>
        <v>54986666</v>
      </c>
      <c r="H12" s="196">
        <f t="shared" si="0"/>
        <v>0.99975756363636359</v>
      </c>
    </row>
    <row r="13" spans="1:8" ht="66" customHeight="1">
      <c r="A13" s="165">
        <f t="shared" si="2"/>
        <v>7</v>
      </c>
      <c r="B13" s="145">
        <v>2020003630044</v>
      </c>
      <c r="C13" s="148" t="s">
        <v>1339</v>
      </c>
      <c r="D13" s="201">
        <f>'SGTO POAI 2023 NOV-DIC'!BF14</f>
        <v>299549126</v>
      </c>
      <c r="E13" s="339">
        <f>'SGTO POAI 2023 NOV-DIC'!BG14</f>
        <v>209630013</v>
      </c>
      <c r="F13" s="196">
        <f t="shared" si="1"/>
        <v>0.69981847651927387</v>
      </c>
      <c r="G13" s="344">
        <f>'SGTO POAI 2023 NOV-DIC'!BH14</f>
        <v>209630013</v>
      </c>
      <c r="H13" s="196">
        <f t="shared" si="0"/>
        <v>0.69981847651927387</v>
      </c>
    </row>
    <row r="14" spans="1:8" ht="66" customHeight="1">
      <c r="A14" s="165">
        <f t="shared" si="2"/>
        <v>8</v>
      </c>
      <c r="B14" s="145">
        <v>2020003630045</v>
      </c>
      <c r="C14" s="147" t="s">
        <v>1340</v>
      </c>
      <c r="D14" s="201">
        <f>'SGTO POAI 2023 NOV-DIC'!BF15</f>
        <v>99367200</v>
      </c>
      <c r="E14" s="339">
        <f>'SGTO POAI 2023 NOV-DIC'!BG15</f>
        <v>92480012</v>
      </c>
      <c r="F14" s="196">
        <f t="shared" si="1"/>
        <v>0.93068952330346433</v>
      </c>
      <c r="G14" s="344">
        <f>'SGTO POAI 2023 NOV-DIC'!BH15</f>
        <v>92480012</v>
      </c>
      <c r="H14" s="196">
        <f t="shared" si="0"/>
        <v>0.93068952330346433</v>
      </c>
    </row>
    <row r="15" spans="1:8" ht="66" customHeight="1">
      <c r="A15" s="165">
        <f t="shared" si="2"/>
        <v>9</v>
      </c>
      <c r="B15" s="145">
        <v>2020003630046</v>
      </c>
      <c r="C15" s="147" t="s">
        <v>115</v>
      </c>
      <c r="D15" s="201">
        <f>'SGTO POAI 2023 NOV-DIC'!BF16</f>
        <v>590112700</v>
      </c>
      <c r="E15" s="339">
        <f>'SGTO POAI 2023 NOV-DIC'!BG16</f>
        <v>551366665</v>
      </c>
      <c r="F15" s="196">
        <f t="shared" si="1"/>
        <v>0.93434129616258044</v>
      </c>
      <c r="G15" s="344">
        <f>'SGTO POAI 2023 NOV-DIC'!BH16</f>
        <v>551366665</v>
      </c>
      <c r="H15" s="196">
        <f t="shared" si="0"/>
        <v>0.93434129616258044</v>
      </c>
    </row>
    <row r="16" spans="1:8" ht="66" customHeight="1">
      <c r="A16" s="165">
        <f t="shared" si="2"/>
        <v>10</v>
      </c>
      <c r="B16" s="145">
        <v>2020003630047</v>
      </c>
      <c r="C16" s="148" t="s">
        <v>122</v>
      </c>
      <c r="D16" s="201">
        <f>SUM('SGTO POAI 2023 NOV-DIC'!BF17:BF22)</f>
        <v>204953000</v>
      </c>
      <c r="E16" s="339">
        <f>SUM('SGTO POAI 2023 NOV-DIC'!BG17:BG22)</f>
        <v>189226690</v>
      </c>
      <c r="F16" s="196">
        <f t="shared" si="1"/>
        <v>0.92326870062892463</v>
      </c>
      <c r="G16" s="344">
        <f>SUM('SGTO POAI 2023 NOV-DIC'!BH17:BH22)</f>
        <v>189226690</v>
      </c>
      <c r="H16" s="196">
        <f t="shared" si="0"/>
        <v>0.92326870062892463</v>
      </c>
    </row>
    <row r="17" spans="1:8" ht="66" customHeight="1" thickBot="1">
      <c r="A17" s="165">
        <f t="shared" si="2"/>
        <v>11</v>
      </c>
      <c r="B17" s="149">
        <v>2020003630008</v>
      </c>
      <c r="C17" s="150" t="s">
        <v>1341</v>
      </c>
      <c r="D17" s="211">
        <f>'SGTO POAI 2023 NOV-DIC'!BF23</f>
        <v>68082000</v>
      </c>
      <c r="E17" s="340">
        <f>'SGTO POAI 2023 NOV-DIC'!BG23</f>
        <v>62070000</v>
      </c>
      <c r="F17" s="219">
        <f t="shared" si="1"/>
        <v>0.91169472107164884</v>
      </c>
      <c r="G17" s="344">
        <f>'SGTO POAI 2023 NOV-DIC'!BH23</f>
        <v>62070000</v>
      </c>
      <c r="H17" s="219">
        <f t="shared" si="0"/>
        <v>0.91169472107164884</v>
      </c>
    </row>
    <row r="18" spans="1:8" ht="30" customHeight="1" thickBot="1">
      <c r="A18" s="519" t="s">
        <v>1342</v>
      </c>
      <c r="B18" s="520"/>
      <c r="C18" s="521"/>
      <c r="D18" s="213">
        <f>D19</f>
        <v>5228695734</v>
      </c>
      <c r="E18" s="212">
        <f>E19</f>
        <v>5109163160</v>
      </c>
      <c r="F18" s="197">
        <f t="shared" si="1"/>
        <v>0.9771391222436735</v>
      </c>
      <c r="G18" s="347">
        <f>G19</f>
        <v>5109163160</v>
      </c>
      <c r="H18" s="197">
        <f t="shared" si="0"/>
        <v>0.9771391222436735</v>
      </c>
    </row>
    <row r="19" spans="1:8" ht="30" customHeight="1">
      <c r="A19" s="163">
        <v>4</v>
      </c>
      <c r="B19" s="525" t="s">
        <v>1460</v>
      </c>
      <c r="C19" s="526"/>
      <c r="D19" s="207">
        <f>SUM(D20:D21)</f>
        <v>5228695734</v>
      </c>
      <c r="E19" s="352">
        <f>SUM(E20:E21)</f>
        <v>5109163160</v>
      </c>
      <c r="F19" s="218">
        <f t="shared" si="1"/>
        <v>0.9771391222436735</v>
      </c>
      <c r="G19" s="343">
        <f>SUM(G20:G21)</f>
        <v>5109163160</v>
      </c>
      <c r="H19" s="218">
        <f t="shared" si="0"/>
        <v>0.9771391222436735</v>
      </c>
    </row>
    <row r="20" spans="1:8" ht="66" customHeight="1">
      <c r="A20" s="164">
        <f>A17+1</f>
        <v>12</v>
      </c>
      <c r="B20" s="152">
        <v>2020003630048</v>
      </c>
      <c r="C20" s="155" t="s">
        <v>139</v>
      </c>
      <c r="D20" s="201">
        <f>'SGTO POAI 2023 NOV-DIC'!BF24</f>
        <v>3764429066</v>
      </c>
      <c r="E20" s="339">
        <f>'SGTO POAI 2023 NOV-DIC'!BG24</f>
        <v>3647349825</v>
      </c>
      <c r="F20" s="218">
        <f t="shared" si="1"/>
        <v>0.96889853973941242</v>
      </c>
      <c r="G20" s="344">
        <f>'SGTO POAI 2023 NOV-DIC'!BH24</f>
        <v>3647349825</v>
      </c>
      <c r="H20" s="196">
        <f t="shared" si="0"/>
        <v>0.96889853973941242</v>
      </c>
    </row>
    <row r="21" spans="1:8" ht="66" customHeight="1" thickBot="1">
      <c r="A21" s="167">
        <f>A20+1</f>
        <v>13</v>
      </c>
      <c r="B21" s="149">
        <v>2020003630049</v>
      </c>
      <c r="C21" s="151" t="s">
        <v>1343</v>
      </c>
      <c r="D21" s="211">
        <f>'SGTO POAI 2023 NOV-DIC'!BF25</f>
        <v>1464266668</v>
      </c>
      <c r="E21" s="340">
        <f>'SGTO POAI 2023 NOV-DIC'!BG25</f>
        <v>1461813335</v>
      </c>
      <c r="F21" s="219">
        <f t="shared" si="1"/>
        <v>0.99832453127998133</v>
      </c>
      <c r="G21" s="344">
        <f>'SGTO POAI 2023 NOV-DIC'!BH25</f>
        <v>1461813335</v>
      </c>
      <c r="H21" s="219">
        <f t="shared" si="0"/>
        <v>0.99832453127998133</v>
      </c>
    </row>
    <row r="22" spans="1:8" ht="30" customHeight="1" thickBot="1">
      <c r="A22" s="519" t="s">
        <v>1344</v>
      </c>
      <c r="B22" s="520"/>
      <c r="C22" s="521"/>
      <c r="D22" s="213">
        <f>D23+D32+D36+D46</f>
        <v>95388240819.809998</v>
      </c>
      <c r="E22" s="212">
        <f>E23+E32+E36+E46</f>
        <v>70117585681.610001</v>
      </c>
      <c r="F22" s="197">
        <f t="shared" si="1"/>
        <v>0.73507578165806942</v>
      </c>
      <c r="G22" s="347">
        <f>G23+G32+G36+G46</f>
        <v>21331072828.539997</v>
      </c>
      <c r="H22" s="197">
        <f t="shared" si="0"/>
        <v>0.22362371551473262</v>
      </c>
    </row>
    <row r="23" spans="1:8" ht="30" customHeight="1">
      <c r="A23" s="163">
        <v>1</v>
      </c>
      <c r="B23" s="517" t="s">
        <v>148</v>
      </c>
      <c r="C23" s="518"/>
      <c r="D23" s="207">
        <f>SUM(D24:D31)</f>
        <v>36111014664.099998</v>
      </c>
      <c r="E23" s="352">
        <f>SUM(E24:E31)</f>
        <v>25129013205.510002</v>
      </c>
      <c r="F23" s="218">
        <f t="shared" si="1"/>
        <v>0.69588222428134028</v>
      </c>
      <c r="G23" s="343">
        <f>SUM(G24:G31)</f>
        <v>3257715588</v>
      </c>
      <c r="H23" s="218">
        <f t="shared" si="0"/>
        <v>9.0213903383852559E-2</v>
      </c>
    </row>
    <row r="24" spans="1:8" ht="66" customHeight="1">
      <c r="A24" s="164">
        <f>A21+1</f>
        <v>14</v>
      </c>
      <c r="B24" s="152">
        <v>2020003630017</v>
      </c>
      <c r="C24" s="155" t="s">
        <v>158</v>
      </c>
      <c r="D24" s="193">
        <f>'SGTO POAI 2023 NOV-DIC'!BF26</f>
        <v>82327300</v>
      </c>
      <c r="E24" s="339">
        <f>'SGTO POAI 2023 NOV-DIC'!BG26</f>
        <v>24050000</v>
      </c>
      <c r="F24" s="218">
        <f t="shared" si="1"/>
        <v>0.29212667001104131</v>
      </c>
      <c r="G24" s="344">
        <f>'SGTO POAI 2023 NOV-DIC'!BH26</f>
        <v>24050000</v>
      </c>
      <c r="H24" s="196">
        <f t="shared" si="0"/>
        <v>0.29212667001104131</v>
      </c>
    </row>
    <row r="25" spans="1:8" ht="66" customHeight="1">
      <c r="A25" s="165">
        <f>A24+1</f>
        <v>15</v>
      </c>
      <c r="B25" s="145">
        <v>2020003630050</v>
      </c>
      <c r="C25" s="148" t="s">
        <v>1345</v>
      </c>
      <c r="D25" s="193">
        <f>'SGTO POAI 2023 NOV-DIC'!BF27</f>
        <v>3207024296</v>
      </c>
      <c r="E25" s="339">
        <f>'SGTO POAI 2023 NOV-DIC'!BG27</f>
        <v>2662167584.1099997</v>
      </c>
      <c r="F25" s="196">
        <f t="shared" si="1"/>
        <v>0.83010521230862533</v>
      </c>
      <c r="G25" s="344">
        <f>'SGTO POAI 2023 NOV-DIC'!BH27</f>
        <v>2069830190.3099999</v>
      </c>
      <c r="H25" s="196">
        <f t="shared" si="0"/>
        <v>0.64540521033520726</v>
      </c>
    </row>
    <row r="26" spans="1:8" ht="66" customHeight="1">
      <c r="A26" s="165">
        <f>A25+1</f>
        <v>16</v>
      </c>
      <c r="B26" s="145">
        <v>2021003630001</v>
      </c>
      <c r="C26" s="148" t="s">
        <v>1346</v>
      </c>
      <c r="D26" s="193">
        <f>'SGTO POAI 2023 NOV-DIC'!BF28</f>
        <v>73966912</v>
      </c>
      <c r="E26" s="339">
        <f>'SGTO POAI 2023 NOV-DIC'!BG28</f>
        <v>30175000</v>
      </c>
      <c r="F26" s="196">
        <f t="shared" si="1"/>
        <v>0.40795268024708131</v>
      </c>
      <c r="G26" s="344">
        <f>'SGTO POAI 2023 NOV-DIC'!BH28</f>
        <v>30175000</v>
      </c>
      <c r="H26" s="196">
        <f t="shared" si="0"/>
        <v>0.40795268024708131</v>
      </c>
    </row>
    <row r="27" spans="1:8" ht="66" customHeight="1">
      <c r="A27" s="165">
        <f>A26+1</f>
        <v>17</v>
      </c>
      <c r="B27" s="145">
        <v>2021003630017</v>
      </c>
      <c r="C27" s="148" t="s">
        <v>1347</v>
      </c>
      <c r="D27" s="193">
        <f>'SGTO POAI 2023 NOV-DIC'!BF29</f>
        <v>1700000000</v>
      </c>
      <c r="E27" s="339">
        <f>'SGTO POAI 2023 NOV-DIC'!BG29</f>
        <v>0</v>
      </c>
      <c r="F27" s="196">
        <f t="shared" si="1"/>
        <v>0</v>
      </c>
      <c r="G27" s="344">
        <f>'SGTO POAI 2023 NOV-DIC'!BH29</f>
        <v>0</v>
      </c>
      <c r="H27" s="196">
        <f t="shared" si="0"/>
        <v>0</v>
      </c>
    </row>
    <row r="28" spans="1:8" ht="66" customHeight="1">
      <c r="A28" s="165">
        <f>A27+1</f>
        <v>18</v>
      </c>
      <c r="B28" s="145">
        <v>2022003630007</v>
      </c>
      <c r="C28" s="148" t="s">
        <v>1453</v>
      </c>
      <c r="D28" s="193">
        <f>'SGTO POAI 2023 NOV-DIC'!BF30</f>
        <v>3179932867</v>
      </c>
      <c r="E28" s="339">
        <f>'SGTO POAI 2023 NOV-DIC'!BG30</f>
        <v>3049428918</v>
      </c>
      <c r="F28" s="196">
        <f t="shared" si="1"/>
        <v>0.9589601559346379</v>
      </c>
      <c r="G28" s="344">
        <f>'SGTO POAI 2023 NOV-DIC'!BH30</f>
        <v>0</v>
      </c>
      <c r="H28" s="196">
        <f t="shared" si="0"/>
        <v>0</v>
      </c>
    </row>
    <row r="29" spans="1:8" ht="66" customHeight="1">
      <c r="A29" s="165">
        <f>A28+1</f>
        <v>19</v>
      </c>
      <c r="B29" s="145">
        <v>2020003630052</v>
      </c>
      <c r="C29" s="148" t="s">
        <v>198</v>
      </c>
      <c r="D29" s="193">
        <f>'SGTO POAI 2023 NOV-DIC'!BF31</f>
        <v>6255563289.1000004</v>
      </c>
      <c r="E29" s="339">
        <f>'SGTO POAI 2023 NOV-DIC'!BG31</f>
        <v>3277592443.4000001</v>
      </c>
      <c r="F29" s="196">
        <f t="shared" si="1"/>
        <v>0.5239484107068404</v>
      </c>
      <c r="G29" s="344">
        <f>'SGTO POAI 2023 NOV-DIC'!BH31</f>
        <v>1133660397.6900001</v>
      </c>
      <c r="H29" s="196">
        <f t="shared" si="0"/>
        <v>0.18122435107727955</v>
      </c>
    </row>
    <row r="30" spans="1:8" ht="66" customHeight="1">
      <c r="A30" s="167"/>
      <c r="B30" s="149">
        <v>2022000040007</v>
      </c>
      <c r="C30" s="151" t="s">
        <v>1448</v>
      </c>
      <c r="D30" s="193">
        <f>'SGTO POAI 2023 NOV-DIC'!BF51</f>
        <v>0</v>
      </c>
      <c r="E30" s="339">
        <f>'SGTO POAI 2023 NOV-DIC'!BG51</f>
        <v>0</v>
      </c>
      <c r="F30" s="386"/>
      <c r="G30" s="274">
        <f>'SGTO POAI 2023 NOV-DIC'!BH51</f>
        <v>0</v>
      </c>
      <c r="H30" s="273"/>
    </row>
    <row r="31" spans="1:8" ht="66" customHeight="1">
      <c r="A31" s="167">
        <f>A29+1</f>
        <v>20</v>
      </c>
      <c r="B31" s="149">
        <v>2023003630002</v>
      </c>
      <c r="C31" s="151" t="s">
        <v>1448</v>
      </c>
      <c r="D31" s="193">
        <f>'SGTO POAI 2023 NOV-DIC'!BF52</f>
        <v>21612200000</v>
      </c>
      <c r="E31" s="339">
        <f>'SGTO POAI 2023 NOV-DIC'!BG52</f>
        <v>16085599260</v>
      </c>
      <c r="F31" s="219">
        <f t="shared" si="1"/>
        <v>0.744283287217405</v>
      </c>
      <c r="G31" s="274">
        <f>'SGTO POAI 2023 NOV-DIC'!BH52</f>
        <v>0</v>
      </c>
      <c r="H31" s="196"/>
    </row>
    <row r="32" spans="1:8" ht="30" customHeight="1">
      <c r="A32" s="168">
        <v>2</v>
      </c>
      <c r="B32" s="516" t="s">
        <v>200</v>
      </c>
      <c r="C32" s="516"/>
      <c r="D32" s="202">
        <f>SUM(D33:D35)</f>
        <v>441000000</v>
      </c>
      <c r="E32" s="348">
        <f>SUM(E33:E35)</f>
        <v>430900000</v>
      </c>
      <c r="F32" s="196">
        <f t="shared" si="1"/>
        <v>0.97709750566893427</v>
      </c>
      <c r="G32" s="349">
        <f>SUM(G33:G35)</f>
        <v>430900000</v>
      </c>
      <c r="H32" s="196">
        <f t="shared" ref="H32:H44" si="3">G32/D32</f>
        <v>0.97709750566893427</v>
      </c>
    </row>
    <row r="33" spans="1:8" ht="39.75" customHeight="1">
      <c r="A33" s="164">
        <f>A31+1</f>
        <v>21</v>
      </c>
      <c r="B33" s="152">
        <v>2021003630018</v>
      </c>
      <c r="C33" s="155" t="s">
        <v>207</v>
      </c>
      <c r="D33" s="193">
        <f>'SGTO POAI 2023 NOV-DIC'!BF32</f>
        <v>1000000</v>
      </c>
      <c r="E33" s="339">
        <f>'SGTO POAI 2023 NOV-DIC'!BG32</f>
        <v>0</v>
      </c>
      <c r="F33" s="218">
        <f t="shared" si="1"/>
        <v>0</v>
      </c>
      <c r="G33" s="344">
        <f>'SGTO POAI 2023 NOV-DIC'!BH32</f>
        <v>0</v>
      </c>
      <c r="H33" s="196">
        <f t="shared" si="3"/>
        <v>0</v>
      </c>
    </row>
    <row r="34" spans="1:8" ht="66" customHeight="1">
      <c r="A34" s="164">
        <f>A33+1</f>
        <v>22</v>
      </c>
      <c r="B34" s="152">
        <v>2021003630019</v>
      </c>
      <c r="C34" s="155" t="s">
        <v>210</v>
      </c>
      <c r="D34" s="193">
        <f>'SGTO POAI 2023 NOV-DIC'!BF33</f>
        <v>40000000</v>
      </c>
      <c r="E34" s="339">
        <f>'SGTO POAI 2023 NOV-DIC'!BG33</f>
        <v>30900000</v>
      </c>
      <c r="F34" s="196">
        <f t="shared" si="1"/>
        <v>0.77249999999999996</v>
      </c>
      <c r="G34" s="344">
        <f>'SGTO POAI 2023 NOV-DIC'!BH33</f>
        <v>30900000</v>
      </c>
      <c r="H34" s="196">
        <f t="shared" si="3"/>
        <v>0.77249999999999996</v>
      </c>
    </row>
    <row r="35" spans="1:8" ht="66" customHeight="1">
      <c r="A35" s="164">
        <f>A34+1</f>
        <v>23</v>
      </c>
      <c r="B35" s="152">
        <v>2023003630004</v>
      </c>
      <c r="C35" s="155" t="s">
        <v>1515</v>
      </c>
      <c r="D35" s="193">
        <f>'SGTO POAI 2023 NOV-DIC'!BF54</f>
        <v>400000000</v>
      </c>
      <c r="E35" s="339">
        <f>'SGTO POAI 2023 NOV-DIC'!BG54</f>
        <v>400000000</v>
      </c>
      <c r="F35" s="219">
        <f t="shared" si="1"/>
        <v>1</v>
      </c>
      <c r="G35" s="274">
        <f>'SGTO POAI 2023 NOV-DIC'!BH54</f>
        <v>400000000</v>
      </c>
      <c r="H35" s="196">
        <f t="shared" si="3"/>
        <v>1</v>
      </c>
    </row>
    <row r="36" spans="1:8" ht="28.5" customHeight="1">
      <c r="A36" s="168">
        <v>3</v>
      </c>
      <c r="B36" s="516" t="s">
        <v>212</v>
      </c>
      <c r="C36" s="516"/>
      <c r="D36" s="202">
        <f>SUM(D37:D45)</f>
        <v>57638606135.709991</v>
      </c>
      <c r="E36" s="348">
        <f>SUM(E37:E45)</f>
        <v>43669770558.099998</v>
      </c>
      <c r="F36" s="196">
        <f t="shared" si="1"/>
        <v>0.75764792880798681</v>
      </c>
      <c r="G36" s="349">
        <f>SUM(G37:G45)</f>
        <v>16808673314.74</v>
      </c>
      <c r="H36" s="196">
        <f t="shared" si="3"/>
        <v>0.29162178688297924</v>
      </c>
    </row>
    <row r="37" spans="1:8" ht="66" customHeight="1">
      <c r="A37" s="165">
        <f>A35+1</f>
        <v>24</v>
      </c>
      <c r="B37" s="145">
        <v>2020003630053</v>
      </c>
      <c r="C37" s="148" t="s">
        <v>221</v>
      </c>
      <c r="D37" s="193">
        <f>SUM('SGTO POAI 2023 NOV-DIC'!BF34:BF35)</f>
        <v>34119173645.869999</v>
      </c>
      <c r="E37" s="339">
        <f>SUM('SGTO POAI 2023 NOV-DIC'!BG34:BG35)</f>
        <v>24023046081.52</v>
      </c>
      <c r="F37" s="218">
        <f t="shared" si="1"/>
        <v>0.70409225999610048</v>
      </c>
      <c r="G37" s="344">
        <f>SUM('SGTO POAI 2023 NOV-DIC'!BH34:BH35)</f>
        <v>2697244930.0100002</v>
      </c>
      <c r="H37" s="196">
        <f t="shared" si="3"/>
        <v>7.905364174423643E-2</v>
      </c>
    </row>
    <row r="38" spans="1:8" ht="66" customHeight="1">
      <c r="A38" s="165">
        <f t="shared" ref="A38:A45" si="4">A37+1</f>
        <v>25</v>
      </c>
      <c r="B38" s="145">
        <v>2018000040059</v>
      </c>
      <c r="C38" s="148" t="s">
        <v>1441</v>
      </c>
      <c r="D38" s="193">
        <f>'SGTO POAI 2023 NOV-DIC'!BF37</f>
        <v>6536661612</v>
      </c>
      <c r="E38" s="339">
        <f>'SGTO POAI 2023 NOV-DIC'!BG37</f>
        <v>6536661612</v>
      </c>
      <c r="F38" s="196">
        <f t="shared" si="1"/>
        <v>1</v>
      </c>
      <c r="G38" s="344">
        <f>'SGTO POAI 2023 NOV-DIC'!BH37</f>
        <v>5145935029.4799995</v>
      </c>
      <c r="H38" s="196">
        <f t="shared" si="3"/>
        <v>0.78724207170722971</v>
      </c>
    </row>
    <row r="39" spans="1:8" ht="66" customHeight="1">
      <c r="A39" s="165">
        <f t="shared" si="4"/>
        <v>26</v>
      </c>
      <c r="B39" s="145">
        <v>2022003630010</v>
      </c>
      <c r="C39" s="148" t="s">
        <v>1443</v>
      </c>
      <c r="D39" s="193">
        <f>'SGTO POAI 2023 NOV-DIC'!BF38</f>
        <v>9133426135</v>
      </c>
      <c r="E39" s="339">
        <f>'SGTO POAI 2023 NOV-DIC'!BG38</f>
        <v>6059439946.3299999</v>
      </c>
      <c r="F39" s="196">
        <f t="shared" si="1"/>
        <v>0.66343558887609044</v>
      </c>
      <c r="G39" s="344">
        <f>'SGTO POAI 2023 NOV-DIC'!BH38</f>
        <v>3634930665</v>
      </c>
      <c r="H39" s="196">
        <f t="shared" si="3"/>
        <v>0.39798106551392176</v>
      </c>
    </row>
    <row r="40" spans="1:8" ht="66" customHeight="1">
      <c r="A40" s="165">
        <f t="shared" si="4"/>
        <v>27</v>
      </c>
      <c r="B40" s="145">
        <v>2020003630054</v>
      </c>
      <c r="C40" s="148" t="s">
        <v>1435</v>
      </c>
      <c r="D40" s="193">
        <f>'SGTO POAI 2023 NOV-DIC'!BF36</f>
        <v>152514047</v>
      </c>
      <c r="E40" s="339">
        <f>'SGTO POAI 2023 NOV-DIC'!BG36</f>
        <v>112338687</v>
      </c>
      <c r="F40" s="196">
        <f t="shared" si="1"/>
        <v>0.73657928046457255</v>
      </c>
      <c r="G40" s="344">
        <f>'SGTO POAI 2023 NOV-DIC'!BH36</f>
        <v>106400000</v>
      </c>
      <c r="H40" s="196">
        <f t="shared" si="3"/>
        <v>0.697640657322535</v>
      </c>
    </row>
    <row r="41" spans="1:8" ht="66" customHeight="1">
      <c r="A41" s="165">
        <f t="shared" si="4"/>
        <v>28</v>
      </c>
      <c r="B41" s="145">
        <v>2021003630004</v>
      </c>
      <c r="C41" s="148" t="s">
        <v>234</v>
      </c>
      <c r="D41" s="193">
        <f>'SGTO POAI 2023 NOV-DIC'!BF39</f>
        <v>735000000</v>
      </c>
      <c r="E41" s="339">
        <f>'SGTO POAI 2023 NOV-DIC'!BG39</f>
        <v>693500000</v>
      </c>
      <c r="F41" s="196">
        <f t="shared" si="1"/>
        <v>0.94353741496598642</v>
      </c>
      <c r="G41" s="344">
        <f>'SGTO POAI 2023 NOV-DIC'!BH39</f>
        <v>10500000</v>
      </c>
      <c r="H41" s="196">
        <f t="shared" si="3"/>
        <v>1.4285714285714285E-2</v>
      </c>
    </row>
    <row r="42" spans="1:8" ht="66" customHeight="1">
      <c r="A42" s="165">
        <f t="shared" si="4"/>
        <v>29</v>
      </c>
      <c r="B42" s="145">
        <v>2021003630002</v>
      </c>
      <c r="C42" s="148" t="s">
        <v>1348</v>
      </c>
      <c r="D42" s="193">
        <f>'SGTO POAI 2023 NOV-DIC'!BF40</f>
        <v>1105000000</v>
      </c>
      <c r="E42" s="339">
        <f>'SGTO POAI 2023 NOV-DIC'!BG40</f>
        <v>837433696</v>
      </c>
      <c r="F42" s="196">
        <f t="shared" si="1"/>
        <v>0.75785854841628963</v>
      </c>
      <c r="G42" s="344">
        <f>'SGTO POAI 2023 NOV-DIC'!BH40</f>
        <v>94257000</v>
      </c>
      <c r="H42" s="196">
        <f t="shared" si="3"/>
        <v>8.5300452488687784E-2</v>
      </c>
    </row>
    <row r="43" spans="1:8" ht="66" customHeight="1">
      <c r="A43" s="165">
        <f t="shared" si="4"/>
        <v>30</v>
      </c>
      <c r="B43" s="145">
        <v>2020003630057</v>
      </c>
      <c r="C43" s="148" t="s">
        <v>248</v>
      </c>
      <c r="D43" s="193">
        <f>'SGTO POAI 2023 NOV-DIC'!BF41</f>
        <v>350000000</v>
      </c>
      <c r="E43" s="339">
        <f>'SGTO POAI 2023 NOV-DIC'!BG41</f>
        <v>350000000</v>
      </c>
      <c r="F43" s="196">
        <f t="shared" si="1"/>
        <v>1</v>
      </c>
      <c r="G43" s="344">
        <f>'SGTO POAI 2023 NOV-DIC'!BH41</f>
        <v>350000000</v>
      </c>
      <c r="H43" s="196">
        <f t="shared" si="3"/>
        <v>1</v>
      </c>
    </row>
    <row r="44" spans="1:8" ht="66" customHeight="1">
      <c r="A44" s="165">
        <f t="shared" si="4"/>
        <v>31</v>
      </c>
      <c r="B44" s="145">
        <v>2020003630014</v>
      </c>
      <c r="C44" s="147" t="s">
        <v>258</v>
      </c>
      <c r="D44" s="193">
        <f>SUM('SGTO POAI 2023 NOV-DIC'!BF42:BF47)</f>
        <v>5216830695.8400002</v>
      </c>
      <c r="E44" s="339">
        <f>SUM('SGTO POAI 2023 NOV-DIC'!BG42:BG47)</f>
        <v>4769405690.25</v>
      </c>
      <c r="F44" s="196">
        <f t="shared" si="1"/>
        <v>0.91423432507656699</v>
      </c>
      <c r="G44" s="344">
        <f>SUM('SGTO POAI 2023 NOV-DIC'!BH42:BH47)</f>
        <v>4769405690.25</v>
      </c>
      <c r="H44" s="196">
        <f t="shared" si="3"/>
        <v>0.91423432507656699</v>
      </c>
    </row>
    <row r="45" spans="1:8" ht="66" customHeight="1">
      <c r="A45" s="165">
        <f t="shared" si="4"/>
        <v>32</v>
      </c>
      <c r="B45" s="145">
        <v>2022003630009</v>
      </c>
      <c r="C45" s="147" t="s">
        <v>1510</v>
      </c>
      <c r="D45" s="193">
        <f>'SGTO POAI 2023 NOV-DIC'!BF53</f>
        <v>290000000</v>
      </c>
      <c r="E45" s="339">
        <f>'SGTO POAI 2023 NOV-DIC'!BG53</f>
        <v>287944845</v>
      </c>
      <c r="F45" s="219">
        <f t="shared" si="1"/>
        <v>0.99291325862068969</v>
      </c>
      <c r="G45" s="274">
        <f>'SGTO POAI 2023 NOV-DIC'!BH53</f>
        <v>0</v>
      </c>
      <c r="H45" s="196"/>
    </row>
    <row r="46" spans="1:8" ht="28.5" customHeight="1">
      <c r="A46" s="168">
        <v>4</v>
      </c>
      <c r="B46" s="516" t="s">
        <v>1460</v>
      </c>
      <c r="C46" s="516"/>
      <c r="D46" s="202">
        <f>SUM(D47:D49)</f>
        <v>1197620020</v>
      </c>
      <c r="E46" s="348">
        <f>SUM(E47:E49)</f>
        <v>887901918</v>
      </c>
      <c r="F46" s="196">
        <f t="shared" si="1"/>
        <v>0.74138867351265558</v>
      </c>
      <c r="G46" s="349">
        <f>SUM(G47:G49)</f>
        <v>833783925.79999995</v>
      </c>
      <c r="H46" s="196">
        <f t="shared" ref="H46:H77" si="5">G46/D46</f>
        <v>0.69620072466724459</v>
      </c>
    </row>
    <row r="47" spans="1:8" ht="66" customHeight="1">
      <c r="A47" s="165">
        <f>A45+1</f>
        <v>33</v>
      </c>
      <c r="B47" s="145">
        <v>2021003630003</v>
      </c>
      <c r="C47" s="148" t="s">
        <v>276</v>
      </c>
      <c r="D47" s="193">
        <f>'SGTO POAI 2023 NOV-DIC'!BF48</f>
        <v>573000000</v>
      </c>
      <c r="E47" s="339">
        <f>'SGTO POAI 2023 NOV-DIC'!BG48</f>
        <v>313487078</v>
      </c>
      <c r="F47" s="218">
        <f t="shared" si="1"/>
        <v>0.54709786736474697</v>
      </c>
      <c r="G47" s="344">
        <f>'SGTO POAI 2023 NOV-DIC'!BH48</f>
        <v>262759995.80000001</v>
      </c>
      <c r="H47" s="196">
        <f t="shared" si="5"/>
        <v>0.45856892809773125</v>
      </c>
    </row>
    <row r="48" spans="1:8" ht="66" customHeight="1">
      <c r="A48" s="167">
        <f>A47+1</f>
        <v>34</v>
      </c>
      <c r="B48" s="149">
        <v>2022003630008</v>
      </c>
      <c r="C48" s="151" t="s">
        <v>1445</v>
      </c>
      <c r="D48" s="193">
        <f>'SGTO POAI 2023 NOV-DIC'!BF49</f>
        <v>499979386</v>
      </c>
      <c r="E48" s="339">
        <f>'SGTO POAI 2023 NOV-DIC'!BG49</f>
        <v>458696637</v>
      </c>
      <c r="F48" s="196">
        <f t="shared" si="1"/>
        <v>0.9174310978493021</v>
      </c>
      <c r="G48" s="344">
        <f>'SGTO POAI 2023 NOV-DIC'!BH49</f>
        <v>458696637</v>
      </c>
      <c r="H48" s="196">
        <f t="shared" si="5"/>
        <v>0.9174310978493021</v>
      </c>
    </row>
    <row r="49" spans="1:8" ht="66" customHeight="1" thickBot="1">
      <c r="A49" s="167">
        <f>A48+1</f>
        <v>35</v>
      </c>
      <c r="B49" s="149">
        <v>2021003630006</v>
      </c>
      <c r="C49" s="151" t="s">
        <v>280</v>
      </c>
      <c r="D49" s="215">
        <f>'SGTO POAI 2023 NOV-DIC'!BF50</f>
        <v>124640634</v>
      </c>
      <c r="E49" s="340">
        <f>'SGTO POAI 2023 NOV-DIC'!BG50</f>
        <v>115718203</v>
      </c>
      <c r="F49" s="219">
        <f t="shared" si="1"/>
        <v>0.92841474955912051</v>
      </c>
      <c r="G49" s="344">
        <f>'SGTO POAI 2023 NOV-DIC'!BH50</f>
        <v>112327293</v>
      </c>
      <c r="H49" s="219">
        <f t="shared" si="5"/>
        <v>0.90120925572313759</v>
      </c>
    </row>
    <row r="50" spans="1:8" ht="30" customHeight="1" thickBot="1">
      <c r="A50" s="519" t="s">
        <v>1349</v>
      </c>
      <c r="B50" s="520"/>
      <c r="C50" s="521"/>
      <c r="D50" s="213">
        <f>D51+D60+D63</f>
        <v>9959166049.1399994</v>
      </c>
      <c r="E50" s="212">
        <f>E51+E60+E63</f>
        <v>5606159704.3500004</v>
      </c>
      <c r="F50" s="197">
        <f t="shared" si="1"/>
        <v>0.5629145730363746</v>
      </c>
      <c r="G50" s="347">
        <f>G51+G60+G63</f>
        <v>5606159704.3500004</v>
      </c>
      <c r="H50" s="197">
        <f t="shared" si="5"/>
        <v>0.5629145730363746</v>
      </c>
    </row>
    <row r="51" spans="1:8" ht="30" customHeight="1">
      <c r="A51" s="163">
        <v>1</v>
      </c>
      <c r="B51" s="517" t="s">
        <v>148</v>
      </c>
      <c r="C51" s="518"/>
      <c r="D51" s="207">
        <f>SUM(D52:D59)</f>
        <v>8332237735.1399994</v>
      </c>
      <c r="E51" s="352">
        <f>SUM(E52:E59)</f>
        <v>4150123787.3499999</v>
      </c>
      <c r="F51" s="218">
        <f t="shared" si="1"/>
        <v>0.49808033799221274</v>
      </c>
      <c r="G51" s="343">
        <f>SUM(G52:G59)</f>
        <v>4150123787.3499999</v>
      </c>
      <c r="H51" s="218">
        <f t="shared" si="5"/>
        <v>0.49808033799221274</v>
      </c>
    </row>
    <row r="52" spans="1:8" ht="66" customHeight="1">
      <c r="A52" s="164">
        <f>A49+1</f>
        <v>36</v>
      </c>
      <c r="B52" s="152">
        <v>2020003630060</v>
      </c>
      <c r="C52" s="153" t="s">
        <v>1350</v>
      </c>
      <c r="D52" s="201">
        <f>'SGTO POAI 2023 NOV-DIC'!BF55</f>
        <v>169255000</v>
      </c>
      <c r="E52" s="339">
        <f>'SGTO POAI 2023 NOV-DIC'!BG55</f>
        <v>167514499</v>
      </c>
      <c r="F52" s="196">
        <f t="shared" si="1"/>
        <v>0.9897166937461227</v>
      </c>
      <c r="G52" s="344">
        <f>'SGTO POAI 2023 NOV-DIC'!BH55</f>
        <v>167514499</v>
      </c>
      <c r="H52" s="196">
        <f t="shared" si="5"/>
        <v>0.9897166937461227</v>
      </c>
    </row>
    <row r="53" spans="1:8" ht="66" customHeight="1">
      <c r="A53" s="165">
        <f>A52+1</f>
        <v>37</v>
      </c>
      <c r="B53" s="145">
        <v>2020003630061</v>
      </c>
      <c r="C53" s="147" t="s">
        <v>1351</v>
      </c>
      <c r="D53" s="201">
        <f>'SGTO POAI 2023 NOV-DIC'!BF56</f>
        <v>67000000</v>
      </c>
      <c r="E53" s="339">
        <f>'SGTO POAI 2023 NOV-DIC'!BG56</f>
        <v>67000000</v>
      </c>
      <c r="F53" s="196">
        <f t="shared" si="1"/>
        <v>1</v>
      </c>
      <c r="G53" s="344">
        <f>'SGTO POAI 2023 NOV-DIC'!BH56</f>
        <v>67000000</v>
      </c>
      <c r="H53" s="196">
        <f t="shared" si="5"/>
        <v>1</v>
      </c>
    </row>
    <row r="54" spans="1:8" ht="66" customHeight="1">
      <c r="A54" s="165">
        <f t="shared" ref="A54:A65" si="6">A53+1</f>
        <v>38</v>
      </c>
      <c r="B54" s="145">
        <v>2020003630062</v>
      </c>
      <c r="C54" s="147" t="s">
        <v>1352</v>
      </c>
      <c r="D54" s="201">
        <f>'SGTO POAI 2023 NOV-DIC'!BF57</f>
        <v>67000000</v>
      </c>
      <c r="E54" s="339">
        <f>'SGTO POAI 2023 NOV-DIC'!BG57</f>
        <v>66893333</v>
      </c>
      <c r="F54" s="196">
        <f t="shared" si="1"/>
        <v>0.99840795522388059</v>
      </c>
      <c r="G54" s="344">
        <f>'SGTO POAI 2023 NOV-DIC'!BH57</f>
        <v>66893333</v>
      </c>
      <c r="H54" s="196">
        <f t="shared" si="5"/>
        <v>0.99840795522388059</v>
      </c>
    </row>
    <row r="55" spans="1:8" ht="66" customHeight="1">
      <c r="A55" s="165">
        <f t="shared" si="6"/>
        <v>39</v>
      </c>
      <c r="B55" s="145">
        <v>2020003630063</v>
      </c>
      <c r="C55" s="148" t="s">
        <v>1353</v>
      </c>
      <c r="D55" s="201">
        <f>'SGTO POAI 2023 NOV-DIC'!BF58</f>
        <v>118089677</v>
      </c>
      <c r="E55" s="339">
        <f>'SGTO POAI 2023 NOV-DIC'!BG58</f>
        <v>117874677</v>
      </c>
      <c r="F55" s="196">
        <f t="shared" si="1"/>
        <v>0.99817934974959754</v>
      </c>
      <c r="G55" s="344">
        <f>'SGTO POAI 2023 NOV-DIC'!BH58</f>
        <v>117874677</v>
      </c>
      <c r="H55" s="196">
        <f t="shared" si="5"/>
        <v>0.99817934974959754</v>
      </c>
    </row>
    <row r="56" spans="1:8" ht="66" customHeight="1">
      <c r="A56" s="165">
        <f t="shared" si="6"/>
        <v>40</v>
      </c>
      <c r="B56" s="145">
        <v>2020003630064</v>
      </c>
      <c r="C56" s="148" t="s">
        <v>310</v>
      </c>
      <c r="D56" s="201">
        <f>SUM('SGTO POAI 2023 NOV-DIC'!BF59:BF63)</f>
        <v>497116497</v>
      </c>
      <c r="E56" s="339">
        <f>SUM('SGTO POAI 2023 NOV-DIC'!BG59:BG63)</f>
        <v>481317866</v>
      </c>
      <c r="F56" s="196">
        <f t="shared" si="1"/>
        <v>0.96821945943186027</v>
      </c>
      <c r="G56" s="344">
        <f>SUM('SGTO POAI 2023 NOV-DIC'!BH59:BH63)</f>
        <v>481317866</v>
      </c>
      <c r="H56" s="196">
        <f t="shared" si="5"/>
        <v>0.96821945943186027</v>
      </c>
    </row>
    <row r="57" spans="1:8" ht="66" customHeight="1">
      <c r="A57" s="165">
        <f t="shared" si="6"/>
        <v>41</v>
      </c>
      <c r="B57" s="145">
        <v>2020003630065</v>
      </c>
      <c r="C57" s="148" t="s">
        <v>1354</v>
      </c>
      <c r="D57" s="201">
        <f>'SGTO POAI 2023 NOV-DIC'!BF64</f>
        <v>35500000</v>
      </c>
      <c r="E57" s="339">
        <f>'SGTO POAI 2023 NOV-DIC'!BG64</f>
        <v>34983333</v>
      </c>
      <c r="F57" s="196">
        <f t="shared" si="1"/>
        <v>0.98544600000000004</v>
      </c>
      <c r="G57" s="344">
        <f>'SGTO POAI 2023 NOV-DIC'!BH64</f>
        <v>34983333</v>
      </c>
      <c r="H57" s="196">
        <f t="shared" si="5"/>
        <v>0.98544600000000004</v>
      </c>
    </row>
    <row r="58" spans="1:8" ht="66" customHeight="1">
      <c r="A58" s="165">
        <f t="shared" si="6"/>
        <v>42</v>
      </c>
      <c r="B58" s="145">
        <v>2020003630066</v>
      </c>
      <c r="C58" s="148" t="s">
        <v>1355</v>
      </c>
      <c r="D58" s="201">
        <f>SUM('SGTO POAI 2023 NOV-DIC'!BF65)</f>
        <v>7293276561.1399994</v>
      </c>
      <c r="E58" s="339">
        <f>SUM('SGTO POAI 2023 NOV-DIC'!BG65)</f>
        <v>3130446746.3499999</v>
      </c>
      <c r="F58" s="196">
        <f t="shared" si="1"/>
        <v>0.42922364455910406</v>
      </c>
      <c r="G58" s="344">
        <f>SUM('SGTO POAI 2023 NOV-DIC'!BH65)</f>
        <v>3130446746.3499999</v>
      </c>
      <c r="H58" s="196">
        <f t="shared" si="5"/>
        <v>0.42922364455910406</v>
      </c>
    </row>
    <row r="59" spans="1:8" ht="53.25" customHeight="1">
      <c r="A59" s="165">
        <f>A58+1</f>
        <v>43</v>
      </c>
      <c r="B59" s="145">
        <v>2020003630068</v>
      </c>
      <c r="C59" s="148" t="s">
        <v>340</v>
      </c>
      <c r="D59" s="201">
        <f>'SGTO POAI 2023 NOV-DIC'!BF66</f>
        <v>85000000</v>
      </c>
      <c r="E59" s="339">
        <f>'SGTO POAI 2023 NOV-DIC'!BG66</f>
        <v>84093333</v>
      </c>
      <c r="F59" s="196">
        <f t="shared" si="1"/>
        <v>0.98933332941176466</v>
      </c>
      <c r="G59" s="344">
        <f>'SGTO POAI 2023 NOV-DIC'!BH66</f>
        <v>84093333</v>
      </c>
      <c r="H59" s="196">
        <f t="shared" si="5"/>
        <v>0.98933332941176466</v>
      </c>
    </row>
    <row r="60" spans="1:8" ht="36" customHeight="1">
      <c r="A60" s="168">
        <v>3</v>
      </c>
      <c r="B60" s="516" t="s">
        <v>212</v>
      </c>
      <c r="C60" s="516"/>
      <c r="D60" s="202">
        <f>SUM(D61:D62)</f>
        <v>838661482</v>
      </c>
      <c r="E60" s="348">
        <f>SUM(E61:E62)</f>
        <v>694406033</v>
      </c>
      <c r="F60" s="196">
        <f t="shared" si="1"/>
        <v>0.82799323434291217</v>
      </c>
      <c r="G60" s="349">
        <f>SUM(G61:G62)</f>
        <v>694406033</v>
      </c>
      <c r="H60" s="196">
        <f t="shared" si="5"/>
        <v>0.82799323434291217</v>
      </c>
    </row>
    <row r="61" spans="1:8" ht="66" customHeight="1">
      <c r="A61" s="165">
        <f>A59+1</f>
        <v>44</v>
      </c>
      <c r="B61" s="145">
        <v>2020003630069</v>
      </c>
      <c r="C61" s="148" t="s">
        <v>345</v>
      </c>
      <c r="D61" s="201">
        <f>'SGTO POAI 2023 NOV-DIC'!BF67</f>
        <v>144630832</v>
      </c>
      <c r="E61" s="339">
        <f>'SGTO POAI 2023 NOV-DIC'!BG67</f>
        <v>143829165</v>
      </c>
      <c r="F61" s="196">
        <f t="shared" si="1"/>
        <v>0.99445715004944446</v>
      </c>
      <c r="G61" s="344">
        <f>'SGTO POAI 2023 NOV-DIC'!BH67</f>
        <v>143829165</v>
      </c>
      <c r="H61" s="196">
        <f t="shared" si="5"/>
        <v>0.99445715004944446</v>
      </c>
    </row>
    <row r="62" spans="1:8" ht="66" customHeight="1">
      <c r="A62" s="165">
        <f t="shared" si="6"/>
        <v>45</v>
      </c>
      <c r="B62" s="145">
        <v>2020003630070</v>
      </c>
      <c r="C62" s="148" t="s">
        <v>352</v>
      </c>
      <c r="D62" s="201">
        <f>SUM('SGTO POAI 2023 NOV-DIC'!BF68:BF70)</f>
        <v>694030650</v>
      </c>
      <c r="E62" s="339">
        <f>SUM('SGTO POAI 2023 NOV-DIC'!BG68:BG70)</f>
        <v>550576868</v>
      </c>
      <c r="F62" s="196">
        <f t="shared" si="1"/>
        <v>0.79330339085168644</v>
      </c>
      <c r="G62" s="344">
        <f>SUM('SGTO POAI 2023 NOV-DIC'!BH68:BH70)</f>
        <v>550576868</v>
      </c>
      <c r="H62" s="196">
        <f t="shared" si="5"/>
        <v>0.79330339085168644</v>
      </c>
    </row>
    <row r="63" spans="1:8" ht="31.5" customHeight="1">
      <c r="A63" s="168">
        <v>4</v>
      </c>
      <c r="B63" s="516" t="s">
        <v>1460</v>
      </c>
      <c r="C63" s="516"/>
      <c r="D63" s="202">
        <f>SUM(D64:D65)</f>
        <v>788266832</v>
      </c>
      <c r="E63" s="348">
        <f>SUM(E64:E65)</f>
        <v>761629884</v>
      </c>
      <c r="F63" s="196">
        <f t="shared" si="1"/>
        <v>0.96620820904969906</v>
      </c>
      <c r="G63" s="349">
        <f>SUM(G64:G65)</f>
        <v>761629884</v>
      </c>
      <c r="H63" s="196">
        <f t="shared" si="5"/>
        <v>0.96620820904969906</v>
      </c>
    </row>
    <row r="64" spans="1:8" ht="66" customHeight="1">
      <c r="A64" s="165">
        <f>A62+1</f>
        <v>46</v>
      </c>
      <c r="B64" s="145">
        <v>2020003630067</v>
      </c>
      <c r="C64" s="147" t="s">
        <v>1356</v>
      </c>
      <c r="D64" s="201">
        <f>'SGTO POAI 2023 NOV-DIC'!BF71</f>
        <v>147930499</v>
      </c>
      <c r="E64" s="339">
        <f>'SGTO POAI 2023 NOV-DIC'!BG71</f>
        <v>141805665</v>
      </c>
      <c r="F64" s="196">
        <f t="shared" si="1"/>
        <v>0.95859654336730116</v>
      </c>
      <c r="G64" s="344">
        <f>'SGTO POAI 2023 NOV-DIC'!BH71</f>
        <v>141805665</v>
      </c>
      <c r="H64" s="196">
        <f t="shared" si="5"/>
        <v>0.95859654336730116</v>
      </c>
    </row>
    <row r="65" spans="1:8" ht="66" customHeight="1" thickBot="1">
      <c r="A65" s="167">
        <f t="shared" si="6"/>
        <v>47</v>
      </c>
      <c r="B65" s="149">
        <v>2020003630071</v>
      </c>
      <c r="C65" s="150" t="s">
        <v>1357</v>
      </c>
      <c r="D65" s="211">
        <f>SUM('SGTO POAI 2023 NOV-DIC'!BF72:BF75)</f>
        <v>640336333</v>
      </c>
      <c r="E65" s="340">
        <f>SUM('SGTO POAI 2023 NOV-DIC'!BG72:BG75)</f>
        <v>619824219</v>
      </c>
      <c r="F65" s="219">
        <f t="shared" si="1"/>
        <v>0.96796665604792409</v>
      </c>
      <c r="G65" s="344">
        <f>SUM('SGTO POAI 2023 NOV-DIC'!BH72:BH75)</f>
        <v>619824219</v>
      </c>
      <c r="H65" s="219">
        <f t="shared" si="5"/>
        <v>0.96796665604792409</v>
      </c>
    </row>
    <row r="66" spans="1:8" ht="30" customHeight="1" thickBot="1">
      <c r="A66" s="519" t="s">
        <v>1358</v>
      </c>
      <c r="B66" s="520"/>
      <c r="C66" s="521"/>
      <c r="D66" s="213">
        <f>D67</f>
        <v>4901071565.04</v>
      </c>
      <c r="E66" s="212">
        <f>E67</f>
        <v>4614573853.3000002</v>
      </c>
      <c r="F66" s="197">
        <f t="shared" si="1"/>
        <v>0.94154386281897484</v>
      </c>
      <c r="G66" s="347">
        <f>G67</f>
        <v>4539496197.1700001</v>
      </c>
      <c r="H66" s="197">
        <f t="shared" si="5"/>
        <v>0.92622524215945645</v>
      </c>
    </row>
    <row r="67" spans="1:8" ht="30" customHeight="1">
      <c r="A67" s="163">
        <v>1</v>
      </c>
      <c r="B67" s="517" t="s">
        <v>148</v>
      </c>
      <c r="C67" s="518"/>
      <c r="D67" s="207">
        <f>SUM(D68:D71)</f>
        <v>4901071565.04</v>
      </c>
      <c r="E67" s="352">
        <f>SUM(E68:E71)</f>
        <v>4614573853.3000002</v>
      </c>
      <c r="F67" s="218">
        <f t="shared" si="1"/>
        <v>0.94154386281897484</v>
      </c>
      <c r="G67" s="343">
        <f>SUM(G68:G71)</f>
        <v>4539496197.1700001</v>
      </c>
      <c r="H67" s="218">
        <f t="shared" si="5"/>
        <v>0.92622524215945645</v>
      </c>
    </row>
    <row r="68" spans="1:8" ht="66" customHeight="1">
      <c r="A68" s="164">
        <f>A65+1</f>
        <v>48</v>
      </c>
      <c r="B68" s="152">
        <v>2020003630021</v>
      </c>
      <c r="C68" s="155" t="s">
        <v>381</v>
      </c>
      <c r="D68" s="201">
        <f>SUM('SGTO POAI 2023 NOV-DIC'!BF76:BF80)</f>
        <v>3439874526.3099999</v>
      </c>
      <c r="E68" s="339">
        <f>SUM('SGTO POAI 2023 NOV-DIC'!BG76:BG80)</f>
        <v>3307117846.3000002</v>
      </c>
      <c r="F68" s="196">
        <f t="shared" ref="F68:F131" si="7">E68/D68</f>
        <v>0.96140653416436972</v>
      </c>
      <c r="G68" s="344">
        <f>SUM('SGTO POAI 2023 NOV-DIC'!BH76:BH80)</f>
        <v>3263690190.1700001</v>
      </c>
      <c r="H68" s="196">
        <f t="shared" si="5"/>
        <v>0.94878175503424678</v>
      </c>
    </row>
    <row r="69" spans="1:8" ht="66" customHeight="1">
      <c r="A69" s="165">
        <f>A68+1</f>
        <v>49</v>
      </c>
      <c r="B69" s="145">
        <v>2020003630020</v>
      </c>
      <c r="C69" s="148" t="s">
        <v>397</v>
      </c>
      <c r="D69" s="201">
        <f>SUM('SGTO POAI 2023 NOV-DIC'!BF81:BF82)</f>
        <v>774754138.18000007</v>
      </c>
      <c r="E69" s="339">
        <f>SUM('SGTO POAI 2023 NOV-DIC'!BG81:BG82)</f>
        <v>660815167</v>
      </c>
      <c r="F69" s="196">
        <f t="shared" si="7"/>
        <v>0.85293531771555586</v>
      </c>
      <c r="G69" s="344">
        <f>SUM('SGTO POAI 2023 NOV-DIC'!BH81:BH82)</f>
        <v>660815167</v>
      </c>
      <c r="H69" s="196">
        <f t="shared" si="5"/>
        <v>0.85293531771555586</v>
      </c>
    </row>
    <row r="70" spans="1:8" ht="66" customHeight="1">
      <c r="A70" s="165">
        <f>A69+1</f>
        <v>50</v>
      </c>
      <c r="B70" s="145">
        <v>2020003630072</v>
      </c>
      <c r="C70" s="147" t="s">
        <v>1359</v>
      </c>
      <c r="D70" s="201">
        <f>'SGTO POAI 2023 NOV-DIC'!BF83</f>
        <v>369583478.55000001</v>
      </c>
      <c r="E70" s="339">
        <f>'SGTO POAI 2023 NOV-DIC'!BG83</f>
        <v>336135507</v>
      </c>
      <c r="F70" s="196">
        <f t="shared" si="7"/>
        <v>0.90949819596582715</v>
      </c>
      <c r="G70" s="344">
        <f>'SGTO POAI 2023 NOV-DIC'!BH83</f>
        <v>336135507</v>
      </c>
      <c r="H70" s="196">
        <f t="shared" si="5"/>
        <v>0.90949819596582715</v>
      </c>
    </row>
    <row r="71" spans="1:8" ht="66" customHeight="1" thickBot="1">
      <c r="A71" s="167">
        <f>A70+1</f>
        <v>51</v>
      </c>
      <c r="B71" s="149">
        <v>2020003630073</v>
      </c>
      <c r="C71" s="150" t="s">
        <v>1360</v>
      </c>
      <c r="D71" s="211">
        <f>SUM('SGTO POAI 2023 NOV-DIC'!BF84:BF85)</f>
        <v>316859422</v>
      </c>
      <c r="E71" s="340">
        <f>SUM('SGTO POAI 2023 NOV-DIC'!BG84:BG85)</f>
        <v>310505333</v>
      </c>
      <c r="F71" s="219">
        <f t="shared" si="7"/>
        <v>0.97994666227725424</v>
      </c>
      <c r="G71" s="344">
        <f>SUM('SGTO POAI 2023 NOV-DIC'!BH84:BH85)</f>
        <v>278855333</v>
      </c>
      <c r="H71" s="219">
        <f t="shared" si="5"/>
        <v>0.88006009491489889</v>
      </c>
    </row>
    <row r="72" spans="1:8" ht="30" customHeight="1" thickBot="1">
      <c r="A72" s="519" t="s">
        <v>1361</v>
      </c>
      <c r="B72" s="520"/>
      <c r="C72" s="521"/>
      <c r="D72" s="213">
        <f>D73</f>
        <v>4131910173.9000001</v>
      </c>
      <c r="E72" s="212">
        <f>E73</f>
        <v>3610948837.3400002</v>
      </c>
      <c r="F72" s="197">
        <f t="shared" si="7"/>
        <v>0.87391755516594927</v>
      </c>
      <c r="G72" s="347">
        <f>G73</f>
        <v>3448562599.3400002</v>
      </c>
      <c r="H72" s="197">
        <f t="shared" si="5"/>
        <v>0.83461703042905055</v>
      </c>
    </row>
    <row r="73" spans="1:8" ht="30" customHeight="1">
      <c r="A73" s="168">
        <v>2</v>
      </c>
      <c r="B73" s="516" t="s">
        <v>200</v>
      </c>
      <c r="C73" s="516"/>
      <c r="D73" s="209">
        <f>SUM(D74:D79)</f>
        <v>4131910173.9000001</v>
      </c>
      <c r="E73" s="352">
        <f>SUM(E74:E79)</f>
        <v>3610948837.3400002</v>
      </c>
      <c r="F73" s="218">
        <f t="shared" si="7"/>
        <v>0.87391755516594927</v>
      </c>
      <c r="G73" s="349">
        <f>SUM(G74:G79)</f>
        <v>3448562599.3400002</v>
      </c>
      <c r="H73" s="218">
        <f t="shared" si="5"/>
        <v>0.83461703042905055</v>
      </c>
    </row>
    <row r="74" spans="1:8" ht="66" customHeight="1">
      <c r="A74" s="164">
        <f>A71+1</f>
        <v>52</v>
      </c>
      <c r="B74" s="152">
        <v>2020003630074</v>
      </c>
      <c r="C74" s="153" t="s">
        <v>425</v>
      </c>
      <c r="D74" s="201">
        <f>SUM('SGTO POAI 2023 NOV-DIC'!BF86:BF87)</f>
        <v>164280000</v>
      </c>
      <c r="E74" s="339">
        <f>SUM('SGTO POAI 2023 NOV-DIC'!BG86:BG87)</f>
        <v>153928117</v>
      </c>
      <c r="F74" s="196">
        <f t="shared" si="7"/>
        <v>0.93698634648161672</v>
      </c>
      <c r="G74" s="344">
        <f>SUM('SGTO POAI 2023 NOV-DIC'!BH86:BH87)</f>
        <v>153928117</v>
      </c>
      <c r="H74" s="196">
        <f t="shared" si="5"/>
        <v>0.93698634648161672</v>
      </c>
    </row>
    <row r="75" spans="1:8" ht="66" customHeight="1">
      <c r="A75" s="165">
        <f>A74+1</f>
        <v>53</v>
      </c>
      <c r="B75" s="145">
        <v>2020003630075</v>
      </c>
      <c r="C75" s="148" t="s">
        <v>1362</v>
      </c>
      <c r="D75" s="201">
        <f>'SGTO POAI 2023 NOV-DIC'!BF88</f>
        <v>319986739</v>
      </c>
      <c r="E75" s="339">
        <f>'SGTO POAI 2023 NOV-DIC'!BG88</f>
        <v>245171739</v>
      </c>
      <c r="F75" s="196">
        <f t="shared" si="7"/>
        <v>0.766193435909855</v>
      </c>
      <c r="G75" s="344">
        <f>'SGTO POAI 2023 NOV-DIC'!BH88</f>
        <v>245171739</v>
      </c>
      <c r="H75" s="196">
        <f t="shared" si="5"/>
        <v>0.766193435909855</v>
      </c>
    </row>
    <row r="76" spans="1:8" ht="66" customHeight="1">
      <c r="A76" s="165">
        <f>A75+1</f>
        <v>54</v>
      </c>
      <c r="B76" s="145">
        <v>2020003630076</v>
      </c>
      <c r="C76" s="148" t="s">
        <v>1363</v>
      </c>
      <c r="D76" s="201">
        <f>SUM('SGTO POAI 2023 NOV-DIC'!BF89:BF90)</f>
        <v>704995214</v>
      </c>
      <c r="E76" s="339">
        <f>SUM('SGTO POAI 2023 NOV-DIC'!BG89:BG90)</f>
        <v>684785210</v>
      </c>
      <c r="F76" s="196">
        <f t="shared" si="7"/>
        <v>0.97133313305017699</v>
      </c>
      <c r="G76" s="344">
        <f>SUM('SGTO POAI 2023 NOV-DIC'!BH89:BH90)</f>
        <v>678785210</v>
      </c>
      <c r="H76" s="196">
        <f t="shared" si="5"/>
        <v>0.96282243697614667</v>
      </c>
    </row>
    <row r="77" spans="1:8" ht="66" customHeight="1">
      <c r="A77" s="165">
        <f>A76+1</f>
        <v>55</v>
      </c>
      <c r="B77" s="145">
        <v>2020003630077</v>
      </c>
      <c r="C77" s="147" t="s">
        <v>1364</v>
      </c>
      <c r="D77" s="201">
        <f>SUM('SGTO POAI 2023 NOV-DIC'!BF91)</f>
        <v>1983693054.9000001</v>
      </c>
      <c r="E77" s="339">
        <f>SUM('SGTO POAI 2023 NOV-DIC'!BG91)</f>
        <v>1644103137.3400002</v>
      </c>
      <c r="F77" s="196">
        <f t="shared" si="7"/>
        <v>0.82880924207444029</v>
      </c>
      <c r="G77" s="344">
        <f>SUM('SGTO POAI 2023 NOV-DIC'!BH91)</f>
        <v>1559736899.3400002</v>
      </c>
      <c r="H77" s="196">
        <f t="shared" si="5"/>
        <v>0.78627935682248384</v>
      </c>
    </row>
    <row r="78" spans="1:8" ht="66" customHeight="1">
      <c r="A78" s="167">
        <f>A77+1</f>
        <v>56</v>
      </c>
      <c r="B78" s="149">
        <v>2020003630078</v>
      </c>
      <c r="C78" s="150" t="s">
        <v>452</v>
      </c>
      <c r="D78" s="201">
        <f>SUM('SGTO POAI 2023 NOV-DIC'!BF92:BF95)</f>
        <v>814850166</v>
      </c>
      <c r="E78" s="339">
        <f>SUM('SGTO POAI 2023 NOV-DIC'!BG92:BG95)</f>
        <v>738855634</v>
      </c>
      <c r="F78" s="196">
        <f t="shared" si="7"/>
        <v>0.90673802967599815</v>
      </c>
      <c r="G78" s="344">
        <f>SUM('SGTO POAI 2023 NOV-DIC'!BH92:BH95)</f>
        <v>666835634</v>
      </c>
      <c r="H78" s="196">
        <f t="shared" ref="H78:H109" si="8">G78/D78</f>
        <v>0.81835368246092988</v>
      </c>
    </row>
    <row r="79" spans="1:8" ht="66" customHeight="1" thickBot="1">
      <c r="A79" s="167">
        <f>A78+1</f>
        <v>57</v>
      </c>
      <c r="B79" s="149">
        <v>2022003630013</v>
      </c>
      <c r="C79" s="150" t="s">
        <v>1455</v>
      </c>
      <c r="D79" s="211">
        <f>'SGTO POAI 2023 NOV-DIC'!BF96</f>
        <v>144105000</v>
      </c>
      <c r="E79" s="340">
        <f>'SGTO POAI 2023 NOV-DIC'!BG96</f>
        <v>144105000</v>
      </c>
      <c r="F79" s="219">
        <f t="shared" si="7"/>
        <v>1</v>
      </c>
      <c r="G79" s="344">
        <f>'SGTO POAI 2023 NOV-DIC'!BH96</f>
        <v>144105000</v>
      </c>
      <c r="H79" s="219">
        <f t="shared" si="8"/>
        <v>1</v>
      </c>
    </row>
    <row r="80" spans="1:8" ht="30" customHeight="1" thickBot="1">
      <c r="A80" s="519" t="s">
        <v>1365</v>
      </c>
      <c r="B80" s="520"/>
      <c r="C80" s="521"/>
      <c r="D80" s="213">
        <f>D81+D94</f>
        <v>5930194939</v>
      </c>
      <c r="E80" s="212">
        <f>E81+E94</f>
        <v>3783341171.8400002</v>
      </c>
      <c r="F80" s="197">
        <f t="shared" si="7"/>
        <v>0.63797922509407079</v>
      </c>
      <c r="G80" s="347">
        <f>G81+G94</f>
        <v>3783341171.8400002</v>
      </c>
      <c r="H80" s="197">
        <f t="shared" si="8"/>
        <v>0.63797922509407079</v>
      </c>
    </row>
    <row r="81" spans="1:8" ht="30" customHeight="1">
      <c r="A81" s="168">
        <v>2</v>
      </c>
      <c r="B81" s="516" t="s">
        <v>200</v>
      </c>
      <c r="C81" s="516"/>
      <c r="D81" s="209">
        <f>SUM(D82:D93)</f>
        <v>2375075666.6700001</v>
      </c>
      <c r="E81" s="352">
        <f>SUM(E82:E93)</f>
        <v>2259387784.8400002</v>
      </c>
      <c r="F81" s="218">
        <f t="shared" si="7"/>
        <v>0.95129086476971014</v>
      </c>
      <c r="G81" s="349">
        <f>SUM(G82:G93)</f>
        <v>2259387784.8400002</v>
      </c>
      <c r="H81" s="218">
        <f t="shared" si="8"/>
        <v>0.95129086476971014</v>
      </c>
    </row>
    <row r="82" spans="1:8" ht="66" customHeight="1">
      <c r="A82" s="164">
        <f>A79+1</f>
        <v>58</v>
      </c>
      <c r="B82" s="152">
        <v>2020003630079</v>
      </c>
      <c r="C82" s="155" t="s">
        <v>469</v>
      </c>
      <c r="D82" s="193">
        <f>SUM('SGTO POAI 2023 NOV-DIC'!BF97:BF99)</f>
        <v>728502372</v>
      </c>
      <c r="E82" s="356">
        <f>SUM('SGTO POAI 2023 NOV-DIC'!BG97:BG99)</f>
        <v>708243875</v>
      </c>
      <c r="F82" s="196">
        <f t="shared" si="7"/>
        <v>0.97219158402410799</v>
      </c>
      <c r="G82" s="350">
        <f>SUM('SGTO POAI 2023 NOV-DIC'!BH97:BH99)</f>
        <v>708243875</v>
      </c>
      <c r="H82" s="196">
        <f t="shared" si="8"/>
        <v>0.97219158402410799</v>
      </c>
    </row>
    <row r="83" spans="1:8" ht="66" customHeight="1">
      <c r="A83" s="165">
        <f>A82+1</f>
        <v>59</v>
      </c>
      <c r="B83" s="145">
        <v>2020003630023</v>
      </c>
      <c r="C83" s="148" t="s">
        <v>480</v>
      </c>
      <c r="D83" s="193">
        <f>SUM('SGTO POAI 2023 NOV-DIC'!BF100:BF102)</f>
        <v>558445000</v>
      </c>
      <c r="E83" s="356">
        <f>SUM('SGTO POAI 2023 NOV-DIC'!BG100:BG102)</f>
        <v>539995307</v>
      </c>
      <c r="F83" s="196">
        <f t="shared" si="7"/>
        <v>0.96696238125509226</v>
      </c>
      <c r="G83" s="350">
        <f>SUM('SGTO POAI 2023 NOV-DIC'!BH100:BH102)</f>
        <v>539995307</v>
      </c>
      <c r="H83" s="196">
        <f t="shared" si="8"/>
        <v>0.96696238125509226</v>
      </c>
    </row>
    <row r="84" spans="1:8" ht="66" customHeight="1">
      <c r="A84" s="165">
        <f t="shared" ref="A84:A101" si="9">A83+1</f>
        <v>60</v>
      </c>
      <c r="B84" s="145">
        <v>2020003630080</v>
      </c>
      <c r="C84" s="148" t="s">
        <v>1366</v>
      </c>
      <c r="D84" s="193">
        <f>SUM('SGTO POAI 2023 NOV-DIC'!BF103:BF104)</f>
        <v>147035000</v>
      </c>
      <c r="E84" s="356">
        <f>SUM('SGTO POAI 2023 NOV-DIC'!BG103:BG104)</f>
        <v>131178233</v>
      </c>
      <c r="F84" s="196">
        <f t="shared" si="7"/>
        <v>0.89215651375522831</v>
      </c>
      <c r="G84" s="350">
        <f>SUM('SGTO POAI 2023 NOV-DIC'!BH103:BH104)</f>
        <v>131178233</v>
      </c>
      <c r="H84" s="196">
        <f t="shared" si="8"/>
        <v>0.89215651375522831</v>
      </c>
    </row>
    <row r="85" spans="1:8" ht="66" customHeight="1">
      <c r="A85" s="165">
        <f t="shared" si="9"/>
        <v>61</v>
      </c>
      <c r="B85" s="145">
        <v>2020003630022</v>
      </c>
      <c r="C85" s="148" t="s">
        <v>497</v>
      </c>
      <c r="D85" s="193">
        <f>SUM('SGTO POAI 2023 NOV-DIC'!BF105:BF106)</f>
        <v>151466666.67000002</v>
      </c>
      <c r="E85" s="356">
        <f>SUM('SGTO POAI 2023 NOV-DIC'!BG105:BG106)</f>
        <v>137138332</v>
      </c>
      <c r="F85" s="196">
        <f t="shared" si="7"/>
        <v>0.90540272005049716</v>
      </c>
      <c r="G85" s="350">
        <f>SUM('SGTO POAI 2023 NOV-DIC'!BH105:BH106)</f>
        <v>137138332</v>
      </c>
      <c r="H85" s="196">
        <f t="shared" si="8"/>
        <v>0.90540272005049716</v>
      </c>
    </row>
    <row r="86" spans="1:8" ht="66" customHeight="1">
      <c r="A86" s="165">
        <f t="shared" si="9"/>
        <v>62</v>
      </c>
      <c r="B86" s="145">
        <v>2020003630081</v>
      </c>
      <c r="C86" s="148" t="s">
        <v>1367</v>
      </c>
      <c r="D86" s="193">
        <f>SUM('SGTO POAI 2023 NOV-DIC'!BF107)</f>
        <v>39700000</v>
      </c>
      <c r="E86" s="356">
        <f>SUM('SGTO POAI 2023 NOV-DIC'!BG107)</f>
        <v>37296333</v>
      </c>
      <c r="F86" s="196">
        <f t="shared" si="7"/>
        <v>0.93945423173803522</v>
      </c>
      <c r="G86" s="350">
        <f>SUM('SGTO POAI 2023 NOV-DIC'!BH107)</f>
        <v>37296333</v>
      </c>
      <c r="H86" s="196">
        <f t="shared" si="8"/>
        <v>0.93945423173803522</v>
      </c>
    </row>
    <row r="87" spans="1:8" ht="66" customHeight="1">
      <c r="A87" s="165">
        <f t="shared" si="9"/>
        <v>63</v>
      </c>
      <c r="B87" s="145">
        <v>2020003630082</v>
      </c>
      <c r="C87" s="148" t="s">
        <v>1368</v>
      </c>
      <c r="D87" s="193">
        <f>SUM('SGTO POAI 2023 NOV-DIC'!BF108)</f>
        <v>61807909</v>
      </c>
      <c r="E87" s="356">
        <f>SUM('SGTO POAI 2023 NOV-DIC'!BG108)</f>
        <v>56667500</v>
      </c>
      <c r="F87" s="196">
        <f t="shared" si="7"/>
        <v>0.91683250439680786</v>
      </c>
      <c r="G87" s="350">
        <f>SUM('SGTO POAI 2023 NOV-DIC'!BH108)</f>
        <v>56667500</v>
      </c>
      <c r="H87" s="196">
        <f t="shared" si="8"/>
        <v>0.91683250439680786</v>
      </c>
    </row>
    <row r="88" spans="1:8" ht="66" customHeight="1">
      <c r="A88" s="165">
        <f t="shared" si="9"/>
        <v>64</v>
      </c>
      <c r="B88" s="145">
        <v>2020003630025</v>
      </c>
      <c r="C88" s="148" t="s">
        <v>518</v>
      </c>
      <c r="D88" s="193">
        <f>SUM('SGTO POAI 2023 NOV-DIC'!BF109:BF110)</f>
        <v>162072092.67000002</v>
      </c>
      <c r="E88" s="356">
        <f>SUM('SGTO POAI 2023 NOV-DIC'!BG109:BG110)</f>
        <v>159277498.66</v>
      </c>
      <c r="F88" s="196">
        <f t="shared" si="7"/>
        <v>0.98275709306913084</v>
      </c>
      <c r="G88" s="350">
        <f>SUM('SGTO POAI 2023 NOV-DIC'!BH109:BH110)</f>
        <v>159277498.66</v>
      </c>
      <c r="H88" s="196">
        <f t="shared" si="8"/>
        <v>0.98275709306913084</v>
      </c>
    </row>
    <row r="89" spans="1:8" ht="66" customHeight="1">
      <c r="A89" s="165">
        <f t="shared" si="9"/>
        <v>65</v>
      </c>
      <c r="B89" s="145">
        <v>2020003630083</v>
      </c>
      <c r="C89" s="148" t="s">
        <v>528</v>
      </c>
      <c r="D89" s="193">
        <f>SUM('SGTO POAI 2023 NOV-DIC'!BF111)</f>
        <v>106000000</v>
      </c>
      <c r="E89" s="356">
        <f>SUM('SGTO POAI 2023 NOV-DIC'!BG111)</f>
        <v>103000000</v>
      </c>
      <c r="F89" s="196">
        <f t="shared" si="7"/>
        <v>0.97169811320754718</v>
      </c>
      <c r="G89" s="350">
        <f>SUM('SGTO POAI 2023 NOV-DIC'!BH111)</f>
        <v>103000000</v>
      </c>
      <c r="H89" s="196">
        <f t="shared" si="8"/>
        <v>0.97169811320754718</v>
      </c>
    </row>
    <row r="90" spans="1:8" ht="66" customHeight="1">
      <c r="A90" s="165">
        <f t="shared" si="9"/>
        <v>66</v>
      </c>
      <c r="B90" s="145">
        <v>2020003630084</v>
      </c>
      <c r="C90" s="148" t="s">
        <v>1369</v>
      </c>
      <c r="D90" s="193">
        <f>SUM('SGTO POAI 2023 NOV-DIC'!BF112)</f>
        <v>72725000</v>
      </c>
      <c r="E90" s="356">
        <f>SUM('SGTO POAI 2023 NOV-DIC'!BG112)</f>
        <v>72664173</v>
      </c>
      <c r="F90" s="196">
        <f t="shared" si="7"/>
        <v>0.99916360261258164</v>
      </c>
      <c r="G90" s="350">
        <f>SUM('SGTO POAI 2023 NOV-DIC'!BH112)</f>
        <v>72664173</v>
      </c>
      <c r="H90" s="196">
        <f t="shared" si="8"/>
        <v>0.99916360261258164</v>
      </c>
    </row>
    <row r="91" spans="1:8" ht="66" customHeight="1">
      <c r="A91" s="165">
        <f t="shared" si="9"/>
        <v>67</v>
      </c>
      <c r="B91" s="145">
        <v>2020003630026</v>
      </c>
      <c r="C91" s="148" t="s">
        <v>541</v>
      </c>
      <c r="D91" s="193">
        <f>SUM('SGTO POAI 2023 NOV-DIC'!BF113:BF114)</f>
        <v>83358333.329999998</v>
      </c>
      <c r="E91" s="356">
        <f>SUM('SGTO POAI 2023 NOV-DIC'!BG113:BG114)</f>
        <v>82900000</v>
      </c>
      <c r="F91" s="196">
        <f t="shared" si="7"/>
        <v>0.9945016495449166</v>
      </c>
      <c r="G91" s="350">
        <f>SUM('SGTO POAI 2023 NOV-DIC'!BH113:BH114)</f>
        <v>82900000</v>
      </c>
      <c r="H91" s="196">
        <f t="shared" si="8"/>
        <v>0.9945016495449166</v>
      </c>
    </row>
    <row r="92" spans="1:8" ht="66" customHeight="1">
      <c r="A92" s="165">
        <f t="shared" si="9"/>
        <v>68</v>
      </c>
      <c r="B92" s="145">
        <v>2020003630024</v>
      </c>
      <c r="C92" s="148" t="s">
        <v>547</v>
      </c>
      <c r="D92" s="193">
        <f>SUM('SGTO POAI 2023 NOV-DIC'!BF115:BF117)</f>
        <v>142676627</v>
      </c>
      <c r="E92" s="356">
        <f>SUM('SGTO POAI 2023 NOV-DIC'!BG115:BG117)</f>
        <v>129920036.18000001</v>
      </c>
      <c r="F92" s="196">
        <f t="shared" si="7"/>
        <v>0.91059088591994819</v>
      </c>
      <c r="G92" s="350">
        <f>SUM('SGTO POAI 2023 NOV-DIC'!BH115:BH117)</f>
        <v>129920036.18000001</v>
      </c>
      <c r="H92" s="196">
        <f t="shared" si="8"/>
        <v>0.91059088591994819</v>
      </c>
    </row>
    <row r="93" spans="1:8" ht="66" customHeight="1">
      <c r="A93" s="165">
        <f t="shared" si="9"/>
        <v>69</v>
      </c>
      <c r="B93" s="145">
        <v>2020003630085</v>
      </c>
      <c r="C93" s="148" t="s">
        <v>1370</v>
      </c>
      <c r="D93" s="193">
        <f>SUM('SGTO POAI 2023 NOV-DIC'!BF118:BF119)</f>
        <v>121286666</v>
      </c>
      <c r="E93" s="356">
        <f>SUM('SGTO POAI 2023 NOV-DIC'!BG118:BG119)</f>
        <v>101106497</v>
      </c>
      <c r="F93" s="196">
        <f t="shared" si="7"/>
        <v>0.8336159310372997</v>
      </c>
      <c r="G93" s="350">
        <f>SUM('SGTO POAI 2023 NOV-DIC'!BH118:BH119)</f>
        <v>101106497</v>
      </c>
      <c r="H93" s="196">
        <f t="shared" si="8"/>
        <v>0.8336159310372997</v>
      </c>
    </row>
    <row r="94" spans="1:8" ht="26.25" customHeight="1">
      <c r="A94" s="168">
        <v>3</v>
      </c>
      <c r="B94" s="516" t="s">
        <v>212</v>
      </c>
      <c r="C94" s="516"/>
      <c r="D94" s="202">
        <f>SUM(D95:D101)</f>
        <v>3555119272.3299999</v>
      </c>
      <c r="E94" s="348">
        <f>SUM(E95:E101)</f>
        <v>1523953387</v>
      </c>
      <c r="F94" s="196">
        <f t="shared" si="7"/>
        <v>0.42866448922294859</v>
      </c>
      <c r="G94" s="349">
        <f>SUM(G95:G101)</f>
        <v>1523953387</v>
      </c>
      <c r="H94" s="196">
        <f t="shared" si="8"/>
        <v>0.42866448922294859</v>
      </c>
    </row>
    <row r="95" spans="1:8" ht="66" customHeight="1">
      <c r="A95" s="165">
        <f>A93+1</f>
        <v>70</v>
      </c>
      <c r="B95" s="145">
        <v>2020003630027</v>
      </c>
      <c r="C95" s="147" t="s">
        <v>567</v>
      </c>
      <c r="D95" s="193">
        <f>SUM('SGTO POAI 2023 NOV-DIC'!BF120:BF121)</f>
        <v>195655000</v>
      </c>
      <c r="E95" s="356">
        <f>SUM('SGTO POAI 2023 NOV-DIC'!BG120:BG121)</f>
        <v>158829182</v>
      </c>
      <c r="F95" s="196">
        <f t="shared" si="7"/>
        <v>0.81178187115075007</v>
      </c>
      <c r="G95" s="350">
        <f>SUM('SGTO POAI 2023 NOV-DIC'!BH120:BH121)</f>
        <v>158829182</v>
      </c>
      <c r="H95" s="196">
        <f t="shared" si="8"/>
        <v>0.81178187115075007</v>
      </c>
    </row>
    <row r="96" spans="1:8" ht="66" customHeight="1">
      <c r="A96" s="165">
        <f t="shared" si="9"/>
        <v>71</v>
      </c>
      <c r="B96" s="145">
        <v>2020003630086</v>
      </c>
      <c r="C96" s="148" t="s">
        <v>1371</v>
      </c>
      <c r="D96" s="193">
        <f>SUM('SGTO POAI 2023 NOV-DIC'!BF122:BF124)</f>
        <v>2585430691</v>
      </c>
      <c r="E96" s="356">
        <f>SUM('SGTO POAI 2023 NOV-DIC'!BG122:BG124)</f>
        <v>652415877</v>
      </c>
      <c r="F96" s="196">
        <f t="shared" si="7"/>
        <v>0.2523432089172179</v>
      </c>
      <c r="G96" s="350">
        <f>SUM('SGTO POAI 2023 NOV-DIC'!BH122:BH124)</f>
        <v>652415877</v>
      </c>
      <c r="H96" s="196">
        <f t="shared" si="8"/>
        <v>0.2523432089172179</v>
      </c>
    </row>
    <row r="97" spans="1:8" ht="66" customHeight="1">
      <c r="A97" s="165">
        <f t="shared" si="9"/>
        <v>72</v>
      </c>
      <c r="B97" s="145">
        <v>2020003630028</v>
      </c>
      <c r="C97" s="148" t="s">
        <v>591</v>
      </c>
      <c r="D97" s="193">
        <f>'SGTO POAI 2023 NOV-DIC'!BF125</f>
        <v>61850000</v>
      </c>
      <c r="E97" s="356">
        <f>'SGTO POAI 2023 NOV-DIC'!BG125</f>
        <v>28403333</v>
      </c>
      <c r="F97" s="196">
        <f t="shared" si="7"/>
        <v>0.45922931285367824</v>
      </c>
      <c r="G97" s="350">
        <f>'SGTO POAI 2023 NOV-DIC'!BH125</f>
        <v>28403333</v>
      </c>
      <c r="H97" s="196">
        <f t="shared" si="8"/>
        <v>0.45922931285367824</v>
      </c>
    </row>
    <row r="98" spans="1:8" ht="66" customHeight="1">
      <c r="A98" s="165">
        <f t="shared" si="9"/>
        <v>73</v>
      </c>
      <c r="B98" s="145">
        <v>2020003630087</v>
      </c>
      <c r="C98" s="148" t="s">
        <v>595</v>
      </c>
      <c r="D98" s="193">
        <f>SUM('SGTO POAI 2023 NOV-DIC'!BF126)</f>
        <v>282950000</v>
      </c>
      <c r="E98" s="356">
        <f>SUM('SGTO POAI 2023 NOV-DIC'!BG126)</f>
        <v>266771663</v>
      </c>
      <c r="F98" s="196">
        <f t="shared" si="7"/>
        <v>0.94282262943983031</v>
      </c>
      <c r="G98" s="350">
        <f>SUM('SGTO POAI 2023 NOV-DIC'!BH126)</f>
        <v>266771663</v>
      </c>
      <c r="H98" s="196">
        <f t="shared" si="8"/>
        <v>0.94282262943983031</v>
      </c>
    </row>
    <row r="99" spans="1:8" ht="66" customHeight="1">
      <c r="A99" s="165">
        <f t="shared" si="9"/>
        <v>74</v>
      </c>
      <c r="B99" s="145">
        <v>2020003630029</v>
      </c>
      <c r="C99" s="148" t="s">
        <v>603</v>
      </c>
      <c r="D99" s="193">
        <f>'SGTO POAI 2023 NOV-DIC'!BF127</f>
        <v>173700000</v>
      </c>
      <c r="E99" s="356">
        <f>'SGTO POAI 2023 NOV-DIC'!BG127</f>
        <v>163916667</v>
      </c>
      <c r="F99" s="196">
        <f t="shared" si="7"/>
        <v>0.94367683937823832</v>
      </c>
      <c r="G99" s="350">
        <f>'SGTO POAI 2023 NOV-DIC'!BH127</f>
        <v>163916667</v>
      </c>
      <c r="H99" s="196">
        <f t="shared" si="8"/>
        <v>0.94367683937823832</v>
      </c>
    </row>
    <row r="100" spans="1:8" ht="66" customHeight="1">
      <c r="A100" s="165">
        <f t="shared" si="9"/>
        <v>75</v>
      </c>
      <c r="B100" s="145">
        <v>2020003630030</v>
      </c>
      <c r="C100" s="148" t="s">
        <v>609</v>
      </c>
      <c r="D100" s="193">
        <f>SUM('SGTO POAI 2023 NOV-DIC'!BF128:BF130)</f>
        <v>66529007.329999998</v>
      </c>
      <c r="E100" s="356">
        <f>SUM('SGTO POAI 2023 NOV-DIC'!BG128:BG130)</f>
        <v>66328333</v>
      </c>
      <c r="F100" s="196">
        <f t="shared" si="7"/>
        <v>0.99698365663259325</v>
      </c>
      <c r="G100" s="350">
        <f>SUM('SGTO POAI 2023 NOV-DIC'!BH128:BH130)</f>
        <v>66328333</v>
      </c>
      <c r="H100" s="196">
        <f t="shared" si="8"/>
        <v>0.99698365663259325</v>
      </c>
    </row>
    <row r="101" spans="1:8" ht="66" customHeight="1" thickBot="1">
      <c r="A101" s="167">
        <f t="shared" si="9"/>
        <v>76</v>
      </c>
      <c r="B101" s="149">
        <v>2020003630088</v>
      </c>
      <c r="C101" s="151" t="s">
        <v>622</v>
      </c>
      <c r="D101" s="215">
        <f>SUM('SGTO POAI 2023 NOV-DIC'!BF131:BF133)</f>
        <v>189004574</v>
      </c>
      <c r="E101" s="357">
        <f>SUM('SGTO POAI 2023 NOV-DIC'!BG131:BG133)</f>
        <v>187288332</v>
      </c>
      <c r="F101" s="219">
        <f t="shared" si="7"/>
        <v>0.99091957425326649</v>
      </c>
      <c r="G101" s="350">
        <f>SUM('SGTO POAI 2023 NOV-DIC'!BH131:BH133)</f>
        <v>187288332</v>
      </c>
      <c r="H101" s="219">
        <f t="shared" si="8"/>
        <v>0.99091957425326649</v>
      </c>
    </row>
    <row r="102" spans="1:8" ht="30" customHeight="1" thickBot="1">
      <c r="A102" s="519" t="s">
        <v>1419</v>
      </c>
      <c r="B102" s="520"/>
      <c r="C102" s="521"/>
      <c r="D102" s="213">
        <f>D103</f>
        <v>4558243430</v>
      </c>
      <c r="E102" s="212">
        <f>E103</f>
        <v>4415822827.6700001</v>
      </c>
      <c r="F102" s="197">
        <f t="shared" si="7"/>
        <v>0.96875537594314043</v>
      </c>
      <c r="G102" s="347">
        <f>G103</f>
        <v>4415822827.6700001</v>
      </c>
      <c r="H102" s="197">
        <f t="shared" si="8"/>
        <v>0.96875537594314043</v>
      </c>
    </row>
    <row r="103" spans="1:8" ht="30" customHeight="1">
      <c r="A103" s="168">
        <v>4</v>
      </c>
      <c r="B103" s="516" t="s">
        <v>1460</v>
      </c>
      <c r="C103" s="516"/>
      <c r="D103" s="209">
        <f>SUM(D104:D107)</f>
        <v>4558243430</v>
      </c>
      <c r="E103" s="352">
        <f>SUM(E104:E107)</f>
        <v>4415822827.6700001</v>
      </c>
      <c r="F103" s="218">
        <f t="shared" si="7"/>
        <v>0.96875537594314043</v>
      </c>
      <c r="G103" s="349">
        <f>SUM(G104:G107)</f>
        <v>4415822827.6700001</v>
      </c>
      <c r="H103" s="218">
        <f t="shared" si="8"/>
        <v>0.96875537594314043</v>
      </c>
    </row>
    <row r="104" spans="1:8" ht="89.25" customHeight="1">
      <c r="A104" s="164">
        <f>A101+1</f>
        <v>77</v>
      </c>
      <c r="B104" s="152">
        <v>2021003630005</v>
      </c>
      <c r="C104" s="154" t="s">
        <v>634</v>
      </c>
      <c r="D104" s="201">
        <f>'SGTO POAI 2023 NOV-DIC'!BF134</f>
        <v>737243430</v>
      </c>
      <c r="E104" s="339">
        <f>'SGTO POAI 2023 NOV-DIC'!BG134</f>
        <v>724774930</v>
      </c>
      <c r="F104" s="196">
        <f t="shared" si="7"/>
        <v>0.98308767566772348</v>
      </c>
      <c r="G104" s="344">
        <f>'SGTO POAI 2023 NOV-DIC'!BH134</f>
        <v>724774930</v>
      </c>
      <c r="H104" s="196">
        <f t="shared" si="8"/>
        <v>0.98308767566772348</v>
      </c>
    </row>
    <row r="105" spans="1:8" ht="66" customHeight="1">
      <c r="A105" s="165">
        <f>A104+1</f>
        <v>78</v>
      </c>
      <c r="B105" s="145">
        <v>2020003630090</v>
      </c>
      <c r="C105" s="147" t="s">
        <v>638</v>
      </c>
      <c r="D105" s="201">
        <f>'SGTO POAI 2023 NOV-DIC'!BF135</f>
        <v>2559000000</v>
      </c>
      <c r="E105" s="339">
        <f>'SGTO POAI 2023 NOV-DIC'!BG135</f>
        <v>2518090827.6700001</v>
      </c>
      <c r="F105" s="196">
        <f t="shared" si="7"/>
        <v>0.98401360987495123</v>
      </c>
      <c r="G105" s="344">
        <f>'SGTO POAI 2023 NOV-DIC'!BH135</f>
        <v>2518090827.6700001</v>
      </c>
      <c r="H105" s="196">
        <f t="shared" si="8"/>
        <v>0.98401360987495123</v>
      </c>
    </row>
    <row r="106" spans="1:8" ht="66" customHeight="1">
      <c r="A106" s="167">
        <f>A105+1</f>
        <v>79</v>
      </c>
      <c r="B106" s="149">
        <v>2020003630031</v>
      </c>
      <c r="C106" s="151" t="s">
        <v>642</v>
      </c>
      <c r="D106" s="201">
        <f>'SGTO POAI 2023 NOV-DIC'!BF136</f>
        <v>862000000</v>
      </c>
      <c r="E106" s="339">
        <f>'SGTO POAI 2023 NOV-DIC'!BG136</f>
        <v>844394070</v>
      </c>
      <c r="F106" s="196">
        <f t="shared" si="7"/>
        <v>0.97957548723897914</v>
      </c>
      <c r="G106" s="274">
        <f>'SGTO POAI 2023 NOV-DIC'!BH136</f>
        <v>844394070</v>
      </c>
      <c r="H106" s="196">
        <f t="shared" si="8"/>
        <v>0.97957548723897914</v>
      </c>
    </row>
    <row r="107" spans="1:8" ht="66" customHeight="1" thickBot="1">
      <c r="A107" s="167">
        <f>A106+1</f>
        <v>80</v>
      </c>
      <c r="B107" s="149">
        <v>2022003630012</v>
      </c>
      <c r="C107" s="159" t="s">
        <v>1457</v>
      </c>
      <c r="D107" s="211">
        <f>'SGTO POAI 2023 NOV-DIC'!BF137</f>
        <v>400000000</v>
      </c>
      <c r="E107" s="340">
        <f>'SGTO POAI 2023 NOV-DIC'!BG137</f>
        <v>328563000</v>
      </c>
      <c r="F107" s="219">
        <f t="shared" si="7"/>
        <v>0.82140749999999996</v>
      </c>
      <c r="G107" s="351">
        <f>'SGTO POAI 2023 NOV-DIC'!BH137</f>
        <v>328563000</v>
      </c>
      <c r="H107" s="219">
        <f t="shared" si="8"/>
        <v>0.82140749999999996</v>
      </c>
    </row>
    <row r="108" spans="1:8" ht="30" customHeight="1" thickBot="1">
      <c r="A108" s="519" t="s">
        <v>1372</v>
      </c>
      <c r="B108" s="520"/>
      <c r="C108" s="521"/>
      <c r="D108" s="213">
        <f>D109+D118</f>
        <v>219871058805.07001</v>
      </c>
      <c r="E108" s="212">
        <f>E109+E118</f>
        <v>176032396599.18997</v>
      </c>
      <c r="F108" s="197">
        <f t="shared" si="7"/>
        <v>0.8006164956673727</v>
      </c>
      <c r="G108" s="347">
        <f>G109+G118</f>
        <v>172370680441.91</v>
      </c>
      <c r="H108" s="197">
        <f t="shared" si="8"/>
        <v>0.78396257051150975</v>
      </c>
    </row>
    <row r="109" spans="1:8" ht="26.25" customHeight="1">
      <c r="A109" s="163">
        <v>1</v>
      </c>
      <c r="B109" s="517" t="s">
        <v>148</v>
      </c>
      <c r="C109" s="518"/>
      <c r="D109" s="207">
        <f>SUM(D110:D117)</f>
        <v>219808544127.07001</v>
      </c>
      <c r="E109" s="352">
        <f>SUM(E110:E117)</f>
        <v>175969886099.18997</v>
      </c>
      <c r="F109" s="218">
        <f t="shared" si="7"/>
        <v>0.8005598089829612</v>
      </c>
      <c r="G109" s="343">
        <f>SUM(G110:G117)</f>
        <v>172308169941.91</v>
      </c>
      <c r="H109" s="218">
        <f t="shared" si="8"/>
        <v>0.78390114736531658</v>
      </c>
    </row>
    <row r="110" spans="1:8" ht="66" customHeight="1">
      <c r="A110" s="164">
        <f>A107+1</f>
        <v>81</v>
      </c>
      <c r="B110" s="152">
        <v>2020003630091</v>
      </c>
      <c r="C110" s="153" t="s">
        <v>648</v>
      </c>
      <c r="D110" s="193">
        <f>SUM('SGTO POAI 2023 NOV-DIC'!BF138:BF147)</f>
        <v>25377506884.32</v>
      </c>
      <c r="E110" s="356">
        <f>SUM('SGTO POAI 2023 NOV-DIC'!BG138:BG147)</f>
        <v>20994883842.790001</v>
      </c>
      <c r="F110" s="196">
        <f t="shared" si="7"/>
        <v>0.82730285281735494</v>
      </c>
      <c r="G110" s="350">
        <f>SUM('SGTO POAI 2023 NOV-DIC'!BH138:BH147)</f>
        <v>19880352228.440002</v>
      </c>
      <c r="H110" s="196">
        <f t="shared" ref="H110:H141" si="10">G110/D110</f>
        <v>0.78338476348610409</v>
      </c>
    </row>
    <row r="111" spans="1:8" ht="66" customHeight="1">
      <c r="A111" s="165">
        <f>A110+1</f>
        <v>82</v>
      </c>
      <c r="B111" s="145">
        <v>2020003630092</v>
      </c>
      <c r="C111" s="147" t="s">
        <v>676</v>
      </c>
      <c r="D111" s="193">
        <f>SUM('SGTO POAI 2023 NOV-DIC'!BF148:BF149)</f>
        <v>24000000</v>
      </c>
      <c r="E111" s="356">
        <f>SUM('SGTO POAI 2023 NOV-DIC'!BG148:BG149)</f>
        <v>23055000</v>
      </c>
      <c r="F111" s="196">
        <f t="shared" si="7"/>
        <v>0.96062499999999995</v>
      </c>
      <c r="G111" s="350">
        <f>SUM('SGTO POAI 2023 NOV-DIC'!BH148:BH149)</f>
        <v>23055000</v>
      </c>
      <c r="H111" s="196">
        <f t="shared" si="10"/>
        <v>0.96062499999999995</v>
      </c>
    </row>
    <row r="112" spans="1:8" ht="66" customHeight="1">
      <c r="A112" s="165">
        <f t="shared" ref="A112:A117" si="11">A111+1</f>
        <v>83</v>
      </c>
      <c r="B112" s="145">
        <v>2020003630093</v>
      </c>
      <c r="C112" s="147" t="s">
        <v>684</v>
      </c>
      <c r="D112" s="193">
        <f>SUM('SGTO POAI 2023 NOV-DIC'!BF150:BF159)</f>
        <v>508527157</v>
      </c>
      <c r="E112" s="356">
        <f>SUM('SGTO POAI 2023 NOV-DIC'!BG150:BG159)</f>
        <v>188970181</v>
      </c>
      <c r="F112" s="196">
        <f t="shared" si="7"/>
        <v>0.37160292896609254</v>
      </c>
      <c r="G112" s="350">
        <f>SUM('SGTO POAI 2023 NOV-DIC'!BH150:BH159)</f>
        <v>143720181</v>
      </c>
      <c r="H112" s="196">
        <f t="shared" si="10"/>
        <v>0.28262046386639683</v>
      </c>
    </row>
    <row r="113" spans="1:8" ht="66" customHeight="1">
      <c r="A113" s="165">
        <f t="shared" si="11"/>
        <v>84</v>
      </c>
      <c r="B113" s="145">
        <v>2020003630016</v>
      </c>
      <c r="C113" s="147" t="s">
        <v>710</v>
      </c>
      <c r="D113" s="193">
        <f>SUM('SGTO POAI 2023 NOV-DIC'!BF160:BF163)</f>
        <v>192975267948.75</v>
      </c>
      <c r="E113" s="356">
        <f>SUM('SGTO POAI 2023 NOV-DIC'!BG160:BG163)</f>
        <v>153918849394.46997</v>
      </c>
      <c r="F113" s="196">
        <f t="shared" si="7"/>
        <v>0.79760920158611959</v>
      </c>
      <c r="G113" s="350">
        <f>SUM('SGTO POAI 2023 NOV-DIC'!BH160:BH163)</f>
        <v>151763887720.47</v>
      </c>
      <c r="H113" s="196">
        <f t="shared" si="10"/>
        <v>0.78644216605402073</v>
      </c>
    </row>
    <row r="114" spans="1:8" ht="66" customHeight="1">
      <c r="A114" s="165">
        <f t="shared" si="11"/>
        <v>85</v>
      </c>
      <c r="B114" s="145">
        <v>2020003630094</v>
      </c>
      <c r="C114" s="147" t="s">
        <v>720</v>
      </c>
      <c r="D114" s="193">
        <f>SUM('SGTO POAI 2023 NOV-DIC'!BF164:BF166)</f>
        <v>630824680</v>
      </c>
      <c r="E114" s="356">
        <f>SUM('SGTO POAI 2023 NOV-DIC'!BG164:BG166)</f>
        <v>562071070.92999995</v>
      </c>
      <c r="F114" s="196">
        <f t="shared" si="7"/>
        <v>0.89100995688691187</v>
      </c>
      <c r="G114" s="350">
        <f>SUM('SGTO POAI 2023 NOV-DIC'!BH164:BH166)</f>
        <v>215098202</v>
      </c>
      <c r="H114" s="196">
        <f t="shared" si="10"/>
        <v>0.34097937005254775</v>
      </c>
    </row>
    <row r="115" spans="1:8" ht="66" customHeight="1">
      <c r="A115" s="165">
        <f t="shared" si="11"/>
        <v>86</v>
      </c>
      <c r="B115" s="145">
        <v>2020003630015</v>
      </c>
      <c r="C115" s="147" t="s">
        <v>729</v>
      </c>
      <c r="D115" s="193">
        <f>SUM('SGTO POAI 2023 NOV-DIC'!BF167:BF169)</f>
        <v>25000000</v>
      </c>
      <c r="E115" s="356">
        <f>SUM('SGTO POAI 2023 NOV-DIC'!BG167:BG169)</f>
        <v>25000000</v>
      </c>
      <c r="F115" s="196">
        <f t="shared" si="7"/>
        <v>1</v>
      </c>
      <c r="G115" s="350">
        <f>SUM('SGTO POAI 2023 NOV-DIC'!BH167:BH169)</f>
        <v>25000000</v>
      </c>
      <c r="H115" s="196">
        <f t="shared" si="10"/>
        <v>1</v>
      </c>
    </row>
    <row r="116" spans="1:8" ht="66" customHeight="1">
      <c r="A116" s="165">
        <f t="shared" si="11"/>
        <v>87</v>
      </c>
      <c r="B116" s="145">
        <v>2020003630095</v>
      </c>
      <c r="C116" s="147" t="s">
        <v>735</v>
      </c>
      <c r="D116" s="193">
        <f>SUM('SGTO POAI 2023 NOV-DIC'!BF170:BF171)</f>
        <v>50684457</v>
      </c>
      <c r="E116" s="356">
        <f>SUM('SGTO POAI 2023 NOV-DIC'!BG170:BG171)</f>
        <v>50666665</v>
      </c>
      <c r="F116" s="196">
        <f t="shared" si="7"/>
        <v>0.9996489653623003</v>
      </c>
      <c r="G116" s="350">
        <f>SUM('SGTO POAI 2023 NOV-DIC'!BH170:BH171)</f>
        <v>50666665</v>
      </c>
      <c r="H116" s="196">
        <f t="shared" si="10"/>
        <v>0.9996489653623003</v>
      </c>
    </row>
    <row r="117" spans="1:8" ht="66" customHeight="1">
      <c r="A117" s="165">
        <f t="shared" si="11"/>
        <v>88</v>
      </c>
      <c r="B117" s="145">
        <v>2020003630096</v>
      </c>
      <c r="C117" s="148" t="s">
        <v>744</v>
      </c>
      <c r="D117" s="193">
        <f>'SGTO POAI 2023 NOV-DIC'!BF172</f>
        <v>216733000</v>
      </c>
      <c r="E117" s="356">
        <f>'SGTO POAI 2023 NOV-DIC'!BG172</f>
        <v>206389945</v>
      </c>
      <c r="F117" s="196">
        <f t="shared" si="7"/>
        <v>0.95227743352419802</v>
      </c>
      <c r="G117" s="350">
        <f>'SGTO POAI 2023 NOV-DIC'!BH172</f>
        <v>206389945</v>
      </c>
      <c r="H117" s="196">
        <f t="shared" si="10"/>
        <v>0.95227743352419802</v>
      </c>
    </row>
    <row r="118" spans="1:8" ht="32.25" customHeight="1">
      <c r="A118" s="168">
        <v>2</v>
      </c>
      <c r="B118" s="516" t="s">
        <v>200</v>
      </c>
      <c r="C118" s="516"/>
      <c r="D118" s="202">
        <f>D119</f>
        <v>62514678</v>
      </c>
      <c r="E118" s="348">
        <f>E119</f>
        <v>62510500</v>
      </c>
      <c r="F118" s="196">
        <f t="shared" si="7"/>
        <v>0.99993316769543306</v>
      </c>
      <c r="G118" s="349">
        <f>G119</f>
        <v>62510500</v>
      </c>
      <c r="H118" s="196">
        <f t="shared" si="10"/>
        <v>0.99993316769543306</v>
      </c>
    </row>
    <row r="119" spans="1:8" ht="66" customHeight="1" thickBot="1">
      <c r="A119" s="167">
        <f>A117+1</f>
        <v>89</v>
      </c>
      <c r="B119" s="149">
        <v>2020003630097</v>
      </c>
      <c r="C119" s="150" t="s">
        <v>753</v>
      </c>
      <c r="D119" s="215">
        <f>'SGTO POAI 2023 NOV-DIC'!BF173</f>
        <v>62514678</v>
      </c>
      <c r="E119" s="357">
        <f>'SGTO POAI 2023 NOV-DIC'!BG173</f>
        <v>62510500</v>
      </c>
      <c r="F119" s="219">
        <f t="shared" si="7"/>
        <v>0.99993316769543306</v>
      </c>
      <c r="G119" s="350">
        <f>'SGTO POAI 2023 NOV-DIC'!BH173</f>
        <v>62510500</v>
      </c>
      <c r="H119" s="219">
        <f t="shared" si="10"/>
        <v>0.99993316769543306</v>
      </c>
    </row>
    <row r="120" spans="1:8" ht="30" customHeight="1" thickBot="1">
      <c r="A120" s="522" t="s">
        <v>1301</v>
      </c>
      <c r="B120" s="523"/>
      <c r="C120" s="524"/>
      <c r="D120" s="213">
        <f>D121+D140+D143</f>
        <v>13775731819.380001</v>
      </c>
      <c r="E120" s="212">
        <f>E121+E140+E143</f>
        <v>8515498770.8099995</v>
      </c>
      <c r="F120" s="197">
        <f t="shared" si="7"/>
        <v>0.61815218838901964</v>
      </c>
      <c r="G120" s="347">
        <f>G121+G140+G143</f>
        <v>8511098769.8099995</v>
      </c>
      <c r="H120" s="197">
        <f t="shared" si="10"/>
        <v>0.61783278604744607</v>
      </c>
    </row>
    <row r="121" spans="1:8" ht="30" customHeight="1">
      <c r="A121" s="163">
        <v>1</v>
      </c>
      <c r="B121" s="517" t="s">
        <v>148</v>
      </c>
      <c r="C121" s="518"/>
      <c r="D121" s="207">
        <f>SUM(D122:D139)</f>
        <v>13133282409.380001</v>
      </c>
      <c r="E121" s="352">
        <f>SUM(E122:E139)</f>
        <v>7903064110.8099995</v>
      </c>
      <c r="F121" s="218">
        <f t="shared" si="7"/>
        <v>0.60175848386276265</v>
      </c>
      <c r="G121" s="343">
        <f>SUM(G122:G139)</f>
        <v>7898664109.8099995</v>
      </c>
      <c r="H121" s="218">
        <f t="shared" si="10"/>
        <v>0.60142345710685752</v>
      </c>
    </row>
    <row r="122" spans="1:8" ht="66" customHeight="1">
      <c r="A122" s="164">
        <f>A119+1</f>
        <v>90</v>
      </c>
      <c r="B122" s="139">
        <v>2020003630011</v>
      </c>
      <c r="C122" s="131" t="s">
        <v>1373</v>
      </c>
      <c r="D122" s="203">
        <f>SUM('SGTO POAI 2023 NOV-DIC'!BF174:BF175)</f>
        <v>236289640</v>
      </c>
      <c r="E122" s="356">
        <f>SUM('SGTO POAI 2023 NOV-DIC'!BG174:BG175)</f>
        <v>236266663</v>
      </c>
      <c r="F122" s="196">
        <f t="shared" si="7"/>
        <v>0.99990275917302174</v>
      </c>
      <c r="G122" s="350">
        <f>SUM('SGTO POAI 2023 NOV-DIC'!BH174:BH175)</f>
        <v>236266663</v>
      </c>
      <c r="H122" s="196">
        <f t="shared" si="10"/>
        <v>0.99990275917302174</v>
      </c>
    </row>
    <row r="123" spans="1:8" ht="66" customHeight="1">
      <c r="A123" s="165">
        <f>A122+1</f>
        <v>91</v>
      </c>
      <c r="B123" s="140">
        <v>2020003630098</v>
      </c>
      <c r="C123" s="126" t="s">
        <v>1374</v>
      </c>
      <c r="D123" s="203">
        <f>SUM('SGTO POAI 2023 NOV-DIC'!BF176)</f>
        <v>31700000</v>
      </c>
      <c r="E123" s="356">
        <f>SUM('SGTO POAI 2023 NOV-DIC'!BG176)</f>
        <v>31528333</v>
      </c>
      <c r="F123" s="196">
        <f t="shared" si="7"/>
        <v>0.99458463722397472</v>
      </c>
      <c r="G123" s="350">
        <f>SUM('SGTO POAI 2023 NOV-DIC'!BH176)</f>
        <v>31528333</v>
      </c>
      <c r="H123" s="196">
        <f t="shared" si="10"/>
        <v>0.99458463722397472</v>
      </c>
    </row>
    <row r="124" spans="1:8" ht="66" customHeight="1">
      <c r="A124" s="165">
        <f t="shared" ref="A124:A148" si="12">A123+1</f>
        <v>92</v>
      </c>
      <c r="B124" s="140">
        <v>2020003630099</v>
      </c>
      <c r="C124" s="126" t="s">
        <v>1375</v>
      </c>
      <c r="D124" s="203">
        <f>SUM('SGTO POAI 2023 NOV-DIC'!BF177:BF178)</f>
        <v>79600000</v>
      </c>
      <c r="E124" s="356">
        <f>SUM('SGTO POAI 2023 NOV-DIC'!BG177:BG178)</f>
        <v>79280000</v>
      </c>
      <c r="F124" s="196">
        <f t="shared" si="7"/>
        <v>0.99597989949748744</v>
      </c>
      <c r="G124" s="350">
        <f>SUM('SGTO POAI 2023 NOV-DIC'!BH177:BH178)</f>
        <v>79280000</v>
      </c>
      <c r="H124" s="196">
        <f t="shared" si="10"/>
        <v>0.99597989949748744</v>
      </c>
    </row>
    <row r="125" spans="1:8" ht="66" customHeight="1">
      <c r="A125" s="165">
        <f t="shared" si="12"/>
        <v>93</v>
      </c>
      <c r="B125" s="140">
        <v>2020003630100</v>
      </c>
      <c r="C125" s="126" t="s">
        <v>1376</v>
      </c>
      <c r="D125" s="203">
        <f>SUM('SGTO POAI 2023 NOV-DIC'!BF179)</f>
        <v>205510039</v>
      </c>
      <c r="E125" s="356">
        <f>SUM('SGTO POAI 2023 NOV-DIC'!BG179)</f>
        <v>204576666</v>
      </c>
      <c r="F125" s="196">
        <f t="shared" si="7"/>
        <v>0.99545826080058308</v>
      </c>
      <c r="G125" s="350">
        <f>SUM('SGTO POAI 2023 NOV-DIC'!BH179)</f>
        <v>204576666</v>
      </c>
      <c r="H125" s="196">
        <f t="shared" si="10"/>
        <v>0.99545826080058308</v>
      </c>
    </row>
    <row r="126" spans="1:8" ht="66" customHeight="1">
      <c r="A126" s="165">
        <f t="shared" si="12"/>
        <v>94</v>
      </c>
      <c r="B126" s="140">
        <v>2020003630101</v>
      </c>
      <c r="C126" s="126" t="s">
        <v>799</v>
      </c>
      <c r="D126" s="203">
        <f>'SGTO POAI 2023 NOV-DIC'!BF180</f>
        <v>793396665</v>
      </c>
      <c r="E126" s="356">
        <f>'SGTO POAI 2023 NOV-DIC'!BG180</f>
        <v>486779497</v>
      </c>
      <c r="F126" s="196">
        <f t="shared" si="7"/>
        <v>0.61353862257537972</v>
      </c>
      <c r="G126" s="350">
        <f>'SGTO POAI 2023 NOV-DIC'!BH180</f>
        <v>486779497</v>
      </c>
      <c r="H126" s="196">
        <f t="shared" si="10"/>
        <v>0.61353862257537972</v>
      </c>
    </row>
    <row r="127" spans="1:8" ht="66" customHeight="1">
      <c r="A127" s="165">
        <f t="shared" si="12"/>
        <v>95</v>
      </c>
      <c r="B127" s="140">
        <v>2020003630102</v>
      </c>
      <c r="C127" s="126" t="s">
        <v>806</v>
      </c>
      <c r="D127" s="203">
        <f>'SGTO POAI 2023 NOV-DIC'!BF181</f>
        <v>418818056</v>
      </c>
      <c r="E127" s="356">
        <f>'SGTO POAI 2023 NOV-DIC'!BG181</f>
        <v>401779056</v>
      </c>
      <c r="F127" s="196">
        <f t="shared" si="7"/>
        <v>0.9593164627076155</v>
      </c>
      <c r="G127" s="350">
        <f>'SGTO POAI 2023 NOV-DIC'!BH181</f>
        <v>397379056</v>
      </c>
      <c r="H127" s="196">
        <f t="shared" si="10"/>
        <v>0.94881070743521145</v>
      </c>
    </row>
    <row r="128" spans="1:8" ht="66" customHeight="1">
      <c r="A128" s="165">
        <f t="shared" si="12"/>
        <v>96</v>
      </c>
      <c r="B128" s="140">
        <v>2021003630010</v>
      </c>
      <c r="C128" s="126" t="s">
        <v>1377</v>
      </c>
      <c r="D128" s="203">
        <f>'SGTO POAI 2023 NOV-DIC'!BF182</f>
        <v>43800000</v>
      </c>
      <c r="E128" s="356">
        <f>'SGTO POAI 2023 NOV-DIC'!BG182</f>
        <v>43799999</v>
      </c>
      <c r="F128" s="196">
        <f t="shared" si="7"/>
        <v>0.99999997716894973</v>
      </c>
      <c r="G128" s="350">
        <f>'SGTO POAI 2023 NOV-DIC'!BH182</f>
        <v>43799999</v>
      </c>
      <c r="H128" s="196">
        <f t="shared" si="10"/>
        <v>0.99999997716894973</v>
      </c>
    </row>
    <row r="129" spans="1:8" ht="66" customHeight="1">
      <c r="A129" s="165">
        <f t="shared" si="12"/>
        <v>97</v>
      </c>
      <c r="B129" s="140">
        <v>2020003630033</v>
      </c>
      <c r="C129" s="126" t="s">
        <v>1378</v>
      </c>
      <c r="D129" s="203">
        <f>SUM('SGTO POAI 2023 NOV-DIC'!BF183:BF184)</f>
        <v>88000000</v>
      </c>
      <c r="E129" s="356">
        <f>SUM('SGTO POAI 2023 NOV-DIC'!BG183:BG184)</f>
        <v>79455015</v>
      </c>
      <c r="F129" s="196">
        <f t="shared" si="7"/>
        <v>0.90289789772727269</v>
      </c>
      <c r="G129" s="350">
        <f>SUM('SGTO POAI 2023 NOV-DIC'!BH183:BH184)</f>
        <v>79455015</v>
      </c>
      <c r="H129" s="196">
        <f t="shared" si="10"/>
        <v>0.90289789772727269</v>
      </c>
    </row>
    <row r="130" spans="1:8" ht="66" customHeight="1">
      <c r="A130" s="165">
        <f t="shared" si="12"/>
        <v>98</v>
      </c>
      <c r="B130" s="140">
        <v>2020003630034</v>
      </c>
      <c r="C130" s="125" t="s">
        <v>1379</v>
      </c>
      <c r="D130" s="203">
        <f>'SGTO POAI 2023 NOV-DIC'!BF185</f>
        <v>67601667</v>
      </c>
      <c r="E130" s="356">
        <f>'SGTO POAI 2023 NOV-DIC'!BG185</f>
        <v>67601667</v>
      </c>
      <c r="F130" s="196">
        <f t="shared" si="7"/>
        <v>1</v>
      </c>
      <c r="G130" s="350">
        <f>'SGTO POAI 2023 NOV-DIC'!BH185</f>
        <v>67601667</v>
      </c>
      <c r="H130" s="196">
        <f t="shared" si="10"/>
        <v>1</v>
      </c>
    </row>
    <row r="131" spans="1:8" ht="66" customHeight="1">
      <c r="A131" s="165">
        <f t="shared" si="12"/>
        <v>99</v>
      </c>
      <c r="B131" s="140">
        <v>2020003630103</v>
      </c>
      <c r="C131" s="125" t="s">
        <v>835</v>
      </c>
      <c r="D131" s="203">
        <f>'SGTO POAI 2023 NOV-DIC'!BF186</f>
        <v>70661667</v>
      </c>
      <c r="E131" s="356">
        <f>'SGTO POAI 2023 NOV-DIC'!BG186</f>
        <v>68661667</v>
      </c>
      <c r="F131" s="196">
        <f t="shared" si="7"/>
        <v>0.97169611070737971</v>
      </c>
      <c r="G131" s="350">
        <f>'SGTO POAI 2023 NOV-DIC'!BH186</f>
        <v>68661667</v>
      </c>
      <c r="H131" s="196">
        <f t="shared" si="10"/>
        <v>0.97169611070737971</v>
      </c>
    </row>
    <row r="132" spans="1:8" ht="66" customHeight="1">
      <c r="A132" s="165">
        <f t="shared" si="12"/>
        <v>100</v>
      </c>
      <c r="B132" s="140">
        <v>2020003630104</v>
      </c>
      <c r="C132" s="125" t="s">
        <v>1380</v>
      </c>
      <c r="D132" s="203">
        <f>'SGTO POAI 2023 NOV-DIC'!BF187</f>
        <v>68556666</v>
      </c>
      <c r="E132" s="356">
        <f>'SGTO POAI 2023 NOV-DIC'!BG187</f>
        <v>68031666</v>
      </c>
      <c r="F132" s="196">
        <f t="shared" ref="F132:F195" si="13">E132/D132</f>
        <v>0.99234210135014445</v>
      </c>
      <c r="G132" s="350">
        <f>'SGTO POAI 2023 NOV-DIC'!BH187</f>
        <v>68031666</v>
      </c>
      <c r="H132" s="196">
        <f t="shared" si="10"/>
        <v>0.99234210135014445</v>
      </c>
    </row>
    <row r="133" spans="1:8" ht="66" customHeight="1">
      <c r="A133" s="165">
        <f t="shared" si="12"/>
        <v>101</v>
      </c>
      <c r="B133" s="140">
        <v>2020003630105</v>
      </c>
      <c r="C133" s="125" t="s">
        <v>844</v>
      </c>
      <c r="D133" s="203">
        <f>'SGTO POAI 2023 NOV-DIC'!BF188</f>
        <v>35790000</v>
      </c>
      <c r="E133" s="356">
        <f>'SGTO POAI 2023 NOV-DIC'!BG188</f>
        <v>35790000</v>
      </c>
      <c r="F133" s="196">
        <f t="shared" si="13"/>
        <v>1</v>
      </c>
      <c r="G133" s="350">
        <f>'SGTO POAI 2023 NOV-DIC'!BH188</f>
        <v>35790000</v>
      </c>
      <c r="H133" s="196">
        <f t="shared" si="10"/>
        <v>1</v>
      </c>
    </row>
    <row r="134" spans="1:8" ht="66" customHeight="1">
      <c r="A134" s="165">
        <f t="shared" si="12"/>
        <v>102</v>
      </c>
      <c r="B134" s="140">
        <v>2020003630106</v>
      </c>
      <c r="C134" s="125" t="s">
        <v>1381</v>
      </c>
      <c r="D134" s="203">
        <f>'SGTO POAI 2023 NOV-DIC'!BF189</f>
        <v>61090000</v>
      </c>
      <c r="E134" s="356">
        <f>'SGTO POAI 2023 NOV-DIC'!BG189</f>
        <v>61090000</v>
      </c>
      <c r="F134" s="196">
        <f t="shared" si="13"/>
        <v>1</v>
      </c>
      <c r="G134" s="350">
        <f>'SGTO POAI 2023 NOV-DIC'!BH189</f>
        <v>61090000</v>
      </c>
      <c r="H134" s="196">
        <f t="shared" si="10"/>
        <v>1</v>
      </c>
    </row>
    <row r="135" spans="1:8" ht="66" customHeight="1">
      <c r="A135" s="165">
        <f t="shared" si="12"/>
        <v>103</v>
      </c>
      <c r="B135" s="140">
        <v>2020003630036</v>
      </c>
      <c r="C135" s="126" t="s">
        <v>1382</v>
      </c>
      <c r="D135" s="203">
        <f>SUM('SGTO POAI 2023 NOV-DIC'!BF190:BF191)</f>
        <v>100000000</v>
      </c>
      <c r="E135" s="356">
        <f>SUM('SGTO POAI 2023 NOV-DIC'!BG190:BG191)</f>
        <v>99718400</v>
      </c>
      <c r="F135" s="196">
        <f t="shared" si="13"/>
        <v>0.99718399999999996</v>
      </c>
      <c r="G135" s="350">
        <f>SUM('SGTO POAI 2023 NOV-DIC'!BH190:BH191)</f>
        <v>99718400</v>
      </c>
      <c r="H135" s="196">
        <f t="shared" si="10"/>
        <v>0.99718399999999996</v>
      </c>
    </row>
    <row r="136" spans="1:8" ht="66" customHeight="1">
      <c r="A136" s="165">
        <f t="shared" si="12"/>
        <v>104</v>
      </c>
      <c r="B136" s="140">
        <v>2020003630037</v>
      </c>
      <c r="C136" s="126" t="s">
        <v>864</v>
      </c>
      <c r="D136" s="203">
        <f>SUM('SGTO POAI 2023 NOV-DIC'!BF192)</f>
        <v>55013333</v>
      </c>
      <c r="E136" s="356">
        <f>SUM('SGTO POAI 2023 NOV-DIC'!BG192)</f>
        <v>35013333</v>
      </c>
      <c r="F136" s="196">
        <f t="shared" si="13"/>
        <v>0.63645176706526763</v>
      </c>
      <c r="G136" s="350">
        <f>SUM('SGTO POAI 2023 NOV-DIC'!BH192)</f>
        <v>35013333</v>
      </c>
      <c r="H136" s="196">
        <f t="shared" si="10"/>
        <v>0.63645176706526763</v>
      </c>
    </row>
    <row r="137" spans="1:8" ht="66" customHeight="1">
      <c r="A137" s="165">
        <f t="shared" si="12"/>
        <v>105</v>
      </c>
      <c r="B137" s="140">
        <v>2020003630035</v>
      </c>
      <c r="C137" s="125" t="s">
        <v>872</v>
      </c>
      <c r="D137" s="203">
        <f>SUM('SGTO POAI 2023 NOV-DIC'!BF193:BF194)</f>
        <v>375333331</v>
      </c>
      <c r="E137" s="356">
        <f>SUM('SGTO POAI 2023 NOV-DIC'!BG193:BG194)</f>
        <v>361833331</v>
      </c>
      <c r="F137" s="196">
        <f t="shared" si="13"/>
        <v>0.96403197135721475</v>
      </c>
      <c r="G137" s="350">
        <f>SUM('SGTO POAI 2023 NOV-DIC'!BH193:BH194)</f>
        <v>361833331</v>
      </c>
      <c r="H137" s="196">
        <f t="shared" si="10"/>
        <v>0.96403197135721475</v>
      </c>
    </row>
    <row r="138" spans="1:8" ht="66" customHeight="1">
      <c r="A138" s="165">
        <f t="shared" si="12"/>
        <v>106</v>
      </c>
      <c r="B138" s="140">
        <v>2020003630012</v>
      </c>
      <c r="C138" s="126" t="s">
        <v>881</v>
      </c>
      <c r="D138" s="203">
        <f>'SGTO POAI 2023 NOV-DIC'!BF195</f>
        <v>165400000</v>
      </c>
      <c r="E138" s="356">
        <f>'SGTO POAI 2023 NOV-DIC'!BG195</f>
        <v>142606666</v>
      </c>
      <c r="F138" s="196">
        <f t="shared" si="13"/>
        <v>0.86219266021765417</v>
      </c>
      <c r="G138" s="350">
        <f>'SGTO POAI 2023 NOV-DIC'!BH195</f>
        <v>142606665</v>
      </c>
      <c r="H138" s="196">
        <f t="shared" si="10"/>
        <v>0.86219265417170499</v>
      </c>
    </row>
    <row r="139" spans="1:8" ht="66" customHeight="1">
      <c r="A139" s="165">
        <f t="shared" si="12"/>
        <v>107</v>
      </c>
      <c r="B139" s="140">
        <v>2020003630109</v>
      </c>
      <c r="C139" s="126" t="s">
        <v>1383</v>
      </c>
      <c r="D139" s="203">
        <f>SUM('SGTO POAI 2023 NOV-DIC'!BF196:BF197)</f>
        <v>10236721345.380001</v>
      </c>
      <c r="E139" s="356">
        <f>SUM('SGTO POAI 2023 NOV-DIC'!BG196:BG197)</f>
        <v>5399252151.8099995</v>
      </c>
      <c r="F139" s="196">
        <f t="shared" si="13"/>
        <v>0.52743959414766817</v>
      </c>
      <c r="G139" s="350">
        <f>SUM('SGTO POAI 2023 NOV-DIC'!BH196:BH197)</f>
        <v>5399252151.8099995</v>
      </c>
      <c r="H139" s="196">
        <f t="shared" si="10"/>
        <v>0.52743959414766817</v>
      </c>
    </row>
    <row r="140" spans="1:8" ht="25.5" customHeight="1">
      <c r="A140" s="168">
        <v>2</v>
      </c>
      <c r="B140" s="516" t="s">
        <v>200</v>
      </c>
      <c r="C140" s="516"/>
      <c r="D140" s="202">
        <f>SUM(D141:D142)</f>
        <v>61260000</v>
      </c>
      <c r="E140" s="348">
        <f>SUM(E141:E142)</f>
        <v>61260000</v>
      </c>
      <c r="F140" s="196">
        <f t="shared" si="13"/>
        <v>1</v>
      </c>
      <c r="G140" s="349">
        <f>SUM(G141:G142)</f>
        <v>61260000</v>
      </c>
      <c r="H140" s="196">
        <f t="shared" si="10"/>
        <v>1</v>
      </c>
    </row>
    <row r="141" spans="1:8" ht="66" customHeight="1">
      <c r="A141" s="165">
        <f>A139+1</f>
        <v>108</v>
      </c>
      <c r="B141" s="140">
        <v>2020003630113</v>
      </c>
      <c r="C141" s="126" t="s">
        <v>1384</v>
      </c>
      <c r="D141" s="204">
        <f>'SGTO POAI 2023 NOV-DIC'!BF198</f>
        <v>42260000</v>
      </c>
      <c r="E141" s="339">
        <f>'SGTO POAI 2023 NOV-DIC'!BG198</f>
        <v>42260000</v>
      </c>
      <c r="F141" s="196">
        <f t="shared" si="13"/>
        <v>1</v>
      </c>
      <c r="G141" s="344">
        <f>'SGTO POAI 2023 NOV-DIC'!BH198</f>
        <v>42260000</v>
      </c>
      <c r="H141" s="196">
        <f t="shared" si="10"/>
        <v>1</v>
      </c>
    </row>
    <row r="142" spans="1:8" ht="66" customHeight="1" thickBot="1">
      <c r="A142" s="165">
        <f t="shared" si="12"/>
        <v>109</v>
      </c>
      <c r="B142" s="140">
        <v>2020003630114</v>
      </c>
      <c r="C142" s="126" t="s">
        <v>905</v>
      </c>
      <c r="D142" s="204">
        <f>'SGTO POAI 2023 NOV-DIC'!BF199</f>
        <v>19000000</v>
      </c>
      <c r="E142" s="339">
        <f>'SGTO POAI 2023 NOV-DIC'!BG199</f>
        <v>19000000</v>
      </c>
      <c r="F142" s="219">
        <f t="shared" si="13"/>
        <v>1</v>
      </c>
      <c r="G142" s="344">
        <f>'SGTO POAI 2023 NOV-DIC'!BH199</f>
        <v>19000000</v>
      </c>
      <c r="H142" s="219">
        <f t="shared" ref="H142:H173" si="14">G142/D142</f>
        <v>1</v>
      </c>
    </row>
    <row r="143" spans="1:8" ht="25.5" customHeight="1" thickBot="1">
      <c r="A143" s="168">
        <v>4</v>
      </c>
      <c r="B143" s="516" t="s">
        <v>1460</v>
      </c>
      <c r="C143" s="516"/>
      <c r="D143" s="202">
        <f>SUM(D144:D148)</f>
        <v>581189410</v>
      </c>
      <c r="E143" s="348">
        <f>SUM(E144:E148)</f>
        <v>551174660</v>
      </c>
      <c r="F143" s="197">
        <f t="shared" si="13"/>
        <v>0.94835633705025701</v>
      </c>
      <c r="G143" s="349">
        <f>SUM(G144:G148)</f>
        <v>551174660</v>
      </c>
      <c r="H143" s="197">
        <f t="shared" si="14"/>
        <v>0.94835633705025701</v>
      </c>
    </row>
    <row r="144" spans="1:8" ht="66" customHeight="1">
      <c r="A144" s="165">
        <f>A142+1</f>
        <v>110</v>
      </c>
      <c r="B144" s="140">
        <v>2020003630115</v>
      </c>
      <c r="C144" s="126" t="s">
        <v>1385</v>
      </c>
      <c r="D144" s="204">
        <f>'SGTO POAI 2023 NOV-DIC'!BF200</f>
        <v>6400000</v>
      </c>
      <c r="E144" s="339">
        <f>'SGTO POAI 2023 NOV-DIC'!BG200</f>
        <v>6400000</v>
      </c>
      <c r="F144" s="218">
        <f t="shared" si="13"/>
        <v>1</v>
      </c>
      <c r="G144" s="344">
        <f>'SGTO POAI 2023 NOV-DIC'!BH200</f>
        <v>6400000</v>
      </c>
      <c r="H144" s="218">
        <f t="shared" si="14"/>
        <v>1</v>
      </c>
    </row>
    <row r="145" spans="1:8" ht="66" customHeight="1">
      <c r="A145" s="165">
        <f t="shared" si="12"/>
        <v>111</v>
      </c>
      <c r="B145" s="140">
        <v>2021003630008</v>
      </c>
      <c r="C145" s="125" t="s">
        <v>1386</v>
      </c>
      <c r="D145" s="204">
        <f>'SGTO POAI 2023 NOV-DIC'!BF201</f>
        <v>226150972</v>
      </c>
      <c r="E145" s="339">
        <f>'SGTO POAI 2023 NOV-DIC'!BG201</f>
        <v>224438972</v>
      </c>
      <c r="F145" s="196">
        <f t="shared" si="13"/>
        <v>0.9924298357647563</v>
      </c>
      <c r="G145" s="344">
        <f>'SGTO POAI 2023 NOV-DIC'!BH201</f>
        <v>224438972</v>
      </c>
      <c r="H145" s="196">
        <f t="shared" si="14"/>
        <v>0.9924298357647563</v>
      </c>
    </row>
    <row r="146" spans="1:8" ht="66" customHeight="1">
      <c r="A146" s="165">
        <f t="shared" si="12"/>
        <v>112</v>
      </c>
      <c r="B146" s="140">
        <v>2021003630007</v>
      </c>
      <c r="C146" s="125" t="s">
        <v>1387</v>
      </c>
      <c r="D146" s="204">
        <f>'SGTO POAI 2023 NOV-DIC'!BF202</f>
        <v>164191257</v>
      </c>
      <c r="E146" s="339">
        <f>'SGTO POAI 2023 NOV-DIC'!BG202</f>
        <v>152775140</v>
      </c>
      <c r="F146" s="196">
        <f t="shared" si="13"/>
        <v>0.93047061574052026</v>
      </c>
      <c r="G146" s="344">
        <f>'SGTO POAI 2023 NOV-DIC'!BH202</f>
        <v>152775140</v>
      </c>
      <c r="H146" s="196">
        <f t="shared" si="14"/>
        <v>0.93047061574052026</v>
      </c>
    </row>
    <row r="147" spans="1:8" ht="66" customHeight="1">
      <c r="A147" s="165">
        <f t="shared" si="12"/>
        <v>113</v>
      </c>
      <c r="B147" s="140">
        <v>2020003630111</v>
      </c>
      <c r="C147" s="125" t="s">
        <v>1388</v>
      </c>
      <c r="D147" s="204">
        <f>'SGTO POAI 2023 NOV-DIC'!BF203</f>
        <v>122172215</v>
      </c>
      <c r="E147" s="339">
        <f>'SGTO POAI 2023 NOV-DIC'!BG203</f>
        <v>119560548</v>
      </c>
      <c r="F147" s="196">
        <f t="shared" si="13"/>
        <v>0.97862306908326091</v>
      </c>
      <c r="G147" s="344">
        <f>'SGTO POAI 2023 NOV-DIC'!BH203</f>
        <v>119560548</v>
      </c>
      <c r="H147" s="196">
        <f t="shared" si="14"/>
        <v>0.97862306908326091</v>
      </c>
    </row>
    <row r="148" spans="1:8" ht="66" customHeight="1" thickBot="1">
      <c r="A148" s="167">
        <f t="shared" si="12"/>
        <v>114</v>
      </c>
      <c r="B148" s="138">
        <v>2020003630112</v>
      </c>
      <c r="C148" s="130" t="s">
        <v>931</v>
      </c>
      <c r="D148" s="216">
        <f>'SGTO POAI 2023 NOV-DIC'!BF204</f>
        <v>62274966</v>
      </c>
      <c r="E148" s="340">
        <f>'SGTO POAI 2023 NOV-DIC'!BG204</f>
        <v>48000000</v>
      </c>
      <c r="F148" s="219">
        <f t="shared" si="13"/>
        <v>0.77077521005792282</v>
      </c>
      <c r="G148" s="344">
        <f>'SGTO POAI 2023 NOV-DIC'!BH204</f>
        <v>48000000</v>
      </c>
      <c r="H148" s="219">
        <f t="shared" si="14"/>
        <v>0.77077521005792282</v>
      </c>
    </row>
    <row r="149" spans="1:8" ht="30" customHeight="1" thickBot="1">
      <c r="A149" s="522" t="s">
        <v>1389</v>
      </c>
      <c r="B149" s="523"/>
      <c r="C149" s="524"/>
      <c r="D149" s="213">
        <f>SUM(D151:D173)</f>
        <v>64458455258.419998</v>
      </c>
      <c r="E149" s="212">
        <f>SUM(E151:E173)</f>
        <v>53494902390.01001</v>
      </c>
      <c r="F149" s="197">
        <f t="shared" si="13"/>
        <v>0.82991288226725146</v>
      </c>
      <c r="G149" s="346">
        <f>SUM(G151:G173)</f>
        <v>52937416837.630013</v>
      </c>
      <c r="H149" s="197">
        <f t="shared" si="14"/>
        <v>0.82126412470480314</v>
      </c>
    </row>
    <row r="150" spans="1:8" ht="24" customHeight="1">
      <c r="A150" s="163">
        <v>1</v>
      </c>
      <c r="B150" s="517" t="s">
        <v>148</v>
      </c>
      <c r="C150" s="518"/>
      <c r="D150" s="207">
        <f>SUM(D151:D173)</f>
        <v>64458455258.419998</v>
      </c>
      <c r="E150" s="352">
        <f>SUM(E151:E173)</f>
        <v>53494902390.01001</v>
      </c>
      <c r="F150" s="218">
        <f t="shared" si="13"/>
        <v>0.82991288226725146</v>
      </c>
      <c r="G150" s="343">
        <f>SUM(G151:G173)</f>
        <v>52937416837.630013</v>
      </c>
      <c r="H150" s="218">
        <f t="shared" si="14"/>
        <v>0.82126412470480314</v>
      </c>
    </row>
    <row r="151" spans="1:8" ht="66" customHeight="1">
      <c r="A151" s="164">
        <f>A148+1</f>
        <v>115</v>
      </c>
      <c r="B151" s="139">
        <v>2020003630116</v>
      </c>
      <c r="C151" s="129" t="s">
        <v>941</v>
      </c>
      <c r="D151" s="204">
        <f>SUM('SGTO POAI 2023 NOV-DIC'!BF205:BF212)</f>
        <v>1665766298.6500001</v>
      </c>
      <c r="E151" s="204">
        <f>SUM('SGTO POAI 2023 NOV-DIC'!BG205:BG212)</f>
        <v>836715492</v>
      </c>
      <c r="F151" s="196">
        <f t="shared" si="13"/>
        <v>0.50230064846317624</v>
      </c>
      <c r="G151" s="360">
        <f>SUM('SGTO POAI 2023 NOV-DIC'!BH205:BH212)</f>
        <v>832098226</v>
      </c>
      <c r="H151" s="196">
        <f t="shared" si="14"/>
        <v>0.49952879144833451</v>
      </c>
    </row>
    <row r="152" spans="1:8" ht="66" customHeight="1">
      <c r="A152" s="165">
        <f>A151+1</f>
        <v>116</v>
      </c>
      <c r="B152" s="140">
        <v>2020003630117</v>
      </c>
      <c r="C152" s="126" t="s">
        <v>968</v>
      </c>
      <c r="D152" s="204">
        <f>'SGTO POAI 2023 NOV-DIC'!BF213+'SGTO POAI 2023 NOV-DIC'!BF256</f>
        <v>336500000</v>
      </c>
      <c r="E152" s="204">
        <f>'SGTO POAI 2023 NOV-DIC'!BG213+'SGTO POAI 2023 NOV-DIC'!BG256</f>
        <v>315862646</v>
      </c>
      <c r="F152" s="196">
        <f t="shared" si="13"/>
        <v>0.9386705676077266</v>
      </c>
      <c r="G152" s="360">
        <f>'SGTO POAI 2023 NOV-DIC'!BH213+'SGTO POAI 2023 NOV-DIC'!BH256</f>
        <v>315862646</v>
      </c>
      <c r="H152" s="196">
        <f t="shared" si="14"/>
        <v>0.9386705676077266</v>
      </c>
    </row>
    <row r="153" spans="1:8" ht="66" customHeight="1">
      <c r="A153" s="165">
        <f t="shared" ref="A153:A173" si="15">A152+1</f>
        <v>117</v>
      </c>
      <c r="B153" s="140">
        <v>2020003630118</v>
      </c>
      <c r="C153" s="126" t="s">
        <v>973</v>
      </c>
      <c r="D153" s="204">
        <f>'SGTO POAI 2023 NOV-DIC'!BF214+'SGTO POAI 2023 NOV-DIC'!BF215+'SGTO POAI 2023 NOV-DIC'!BF216</f>
        <v>1427478796</v>
      </c>
      <c r="E153" s="204">
        <f>'SGTO POAI 2023 NOV-DIC'!BG214+'SGTO POAI 2023 NOV-DIC'!BG215+'SGTO POAI 2023 NOV-DIC'!BG216</f>
        <v>1217491588.96</v>
      </c>
      <c r="F153" s="196">
        <f t="shared" si="13"/>
        <v>0.85289644397632092</v>
      </c>
      <c r="G153" s="360">
        <f>'SGTO POAI 2023 NOV-DIC'!BH214+'SGTO POAI 2023 NOV-DIC'!BH215+'SGTO POAI 2023 NOV-DIC'!BH216</f>
        <v>1210141588</v>
      </c>
      <c r="H153" s="196">
        <f t="shared" si="14"/>
        <v>0.84774750517555153</v>
      </c>
    </row>
    <row r="154" spans="1:8" ht="66" customHeight="1">
      <c r="A154" s="165">
        <f t="shared" si="15"/>
        <v>118</v>
      </c>
      <c r="B154" s="140">
        <v>2020003630119</v>
      </c>
      <c r="C154" s="126" t="s">
        <v>981</v>
      </c>
      <c r="D154" s="204">
        <f>'SGTO POAI 2023 NOV-DIC'!BF217</f>
        <v>92585478</v>
      </c>
      <c r="E154" s="204">
        <f>'SGTO POAI 2023 NOV-DIC'!BG217</f>
        <v>92399997</v>
      </c>
      <c r="F154" s="196">
        <f t="shared" si="13"/>
        <v>0.99799665126749149</v>
      </c>
      <c r="G154" s="360">
        <f>'SGTO POAI 2023 NOV-DIC'!BH217</f>
        <v>92399997</v>
      </c>
      <c r="H154" s="196">
        <f t="shared" si="14"/>
        <v>0.99799665126749149</v>
      </c>
    </row>
    <row r="155" spans="1:8" ht="66" customHeight="1">
      <c r="A155" s="165">
        <f t="shared" si="15"/>
        <v>119</v>
      </c>
      <c r="B155" s="140">
        <v>2020003630120</v>
      </c>
      <c r="C155" s="126" t="s">
        <v>986</v>
      </c>
      <c r="D155" s="204">
        <f>'SGTO POAI 2023 NOV-DIC'!BF218+'SGTO POAI 2023 NOV-DIC'!BF219+'SGTO POAI 2023 NOV-DIC'!BF220+'SGTO POAI 2023 NOV-DIC'!BF221</f>
        <v>114100000</v>
      </c>
      <c r="E155" s="204">
        <f>'SGTO POAI 2023 NOV-DIC'!BG218+'SGTO POAI 2023 NOV-DIC'!BG219+'SGTO POAI 2023 NOV-DIC'!BG220+'SGTO POAI 2023 NOV-DIC'!BG221</f>
        <v>108076333</v>
      </c>
      <c r="F155" s="196">
        <f t="shared" si="13"/>
        <v>0.94720712532865903</v>
      </c>
      <c r="G155" s="360">
        <f>'SGTO POAI 2023 NOV-DIC'!BH218+'SGTO POAI 2023 NOV-DIC'!BH219+'SGTO POAI 2023 NOV-DIC'!BH220+'SGTO POAI 2023 NOV-DIC'!BH221</f>
        <v>108076333</v>
      </c>
      <c r="H155" s="196">
        <f t="shared" si="14"/>
        <v>0.94720712532865903</v>
      </c>
    </row>
    <row r="156" spans="1:8" ht="66" customHeight="1">
      <c r="A156" s="165">
        <f t="shared" si="15"/>
        <v>120</v>
      </c>
      <c r="B156" s="140">
        <v>2020003630121</v>
      </c>
      <c r="C156" s="126" t="s">
        <v>1390</v>
      </c>
      <c r="D156" s="204">
        <f>SUM('SGTO POAI 2023 NOV-DIC'!BF222:BF225)</f>
        <v>223235000</v>
      </c>
      <c r="E156" s="204">
        <f>SUM('SGTO POAI 2023 NOV-DIC'!BG222:BG225)</f>
        <v>221808333</v>
      </c>
      <c r="F156" s="196">
        <f t="shared" si="13"/>
        <v>0.99360912491320807</v>
      </c>
      <c r="G156" s="360">
        <f>SUM('SGTO POAI 2023 NOV-DIC'!BH222:BH225)</f>
        <v>221808333</v>
      </c>
      <c r="H156" s="196">
        <f t="shared" si="14"/>
        <v>0.99360912491320807</v>
      </c>
    </row>
    <row r="157" spans="1:8" ht="66" customHeight="1">
      <c r="A157" s="165">
        <f t="shared" si="15"/>
        <v>121</v>
      </c>
      <c r="B157" s="140">
        <v>2020003630122</v>
      </c>
      <c r="C157" s="126" t="s">
        <v>1391</v>
      </c>
      <c r="D157" s="204">
        <f>'SGTO POAI 2023 NOV-DIC'!BF226+'SGTO POAI 2023 NOV-DIC'!BF229</f>
        <v>191891929</v>
      </c>
      <c r="E157" s="204">
        <f>'SGTO POAI 2023 NOV-DIC'!BG226+'SGTO POAI 2023 NOV-DIC'!BG229</f>
        <v>188634997</v>
      </c>
      <c r="F157" s="196">
        <f t="shared" si="13"/>
        <v>0.9830272590568413</v>
      </c>
      <c r="G157" s="360">
        <f>'SGTO POAI 2023 NOV-DIC'!BH226+'SGTO POAI 2023 NOV-DIC'!BH229</f>
        <v>188634997</v>
      </c>
      <c r="H157" s="196">
        <f t="shared" si="14"/>
        <v>0.9830272590568413</v>
      </c>
    </row>
    <row r="158" spans="1:8" ht="66" customHeight="1">
      <c r="A158" s="165">
        <f t="shared" si="15"/>
        <v>122</v>
      </c>
      <c r="B158" s="140">
        <v>2020003630123</v>
      </c>
      <c r="C158" s="126" t="s">
        <v>1014</v>
      </c>
      <c r="D158" s="204">
        <f>SUM('SGTO POAI 2023 NOV-DIC'!BF230:BF236)</f>
        <v>273400000</v>
      </c>
      <c r="E158" s="204">
        <f>SUM('SGTO POAI 2023 NOV-DIC'!BG230:BG236)</f>
        <v>240339999</v>
      </c>
      <c r="F158" s="196">
        <f t="shared" si="13"/>
        <v>0.87907826993416238</v>
      </c>
      <c r="G158" s="360">
        <f>SUM('SGTO POAI 2023 NOV-DIC'!BH230:BH236)</f>
        <v>240339999</v>
      </c>
      <c r="H158" s="196">
        <f t="shared" si="14"/>
        <v>0.87907826993416238</v>
      </c>
    </row>
    <row r="159" spans="1:8" ht="66" customHeight="1">
      <c r="A159" s="165">
        <f t="shared" si="15"/>
        <v>123</v>
      </c>
      <c r="B159" s="140">
        <v>2020003630124</v>
      </c>
      <c r="C159" s="126" t="s">
        <v>1036</v>
      </c>
      <c r="D159" s="204">
        <f>'SGTO POAI 2023 NOV-DIC'!BF237+'SGTO POAI 2023 NOV-DIC'!BF238</f>
        <v>240000000</v>
      </c>
      <c r="E159" s="204">
        <f>'SGTO POAI 2023 NOV-DIC'!BG237+'SGTO POAI 2023 NOV-DIC'!BG238</f>
        <v>232319995</v>
      </c>
      <c r="F159" s="196">
        <f t="shared" si="13"/>
        <v>0.96799997916666669</v>
      </c>
      <c r="G159" s="360">
        <f>'SGTO POAI 2023 NOV-DIC'!BH237+'SGTO POAI 2023 NOV-DIC'!BH238</f>
        <v>207415906</v>
      </c>
      <c r="H159" s="196">
        <f t="shared" si="14"/>
        <v>0.86423294166666664</v>
      </c>
    </row>
    <row r="160" spans="1:8" ht="66" customHeight="1">
      <c r="A160" s="165">
        <f t="shared" si="15"/>
        <v>124</v>
      </c>
      <c r="B160" s="140">
        <v>2020003630125</v>
      </c>
      <c r="C160" s="126" t="s">
        <v>1043</v>
      </c>
      <c r="D160" s="204">
        <f>'SGTO POAI 2023 NOV-DIC'!BF239+'SGTO POAI 2023 NOV-DIC'!BF240+'SGTO POAI 2023 NOV-DIC'!BF257</f>
        <v>247413133</v>
      </c>
      <c r="E160" s="204">
        <f>'SGTO POAI 2023 NOV-DIC'!BG239+'SGTO POAI 2023 NOV-DIC'!BG240+'SGTO POAI 2023 NOV-DIC'!BG257</f>
        <v>241753000</v>
      </c>
      <c r="F160" s="196">
        <f t="shared" si="13"/>
        <v>0.97712274634992802</v>
      </c>
      <c r="G160" s="360">
        <f>'SGTO POAI 2023 NOV-DIC'!BH239+'SGTO POAI 2023 NOV-DIC'!BH240+'SGTO POAI 2023 NOV-DIC'!BH257</f>
        <v>241753000</v>
      </c>
      <c r="H160" s="196">
        <f t="shared" si="14"/>
        <v>0.97712274634992802</v>
      </c>
    </row>
    <row r="161" spans="1:8" ht="66" customHeight="1">
      <c r="A161" s="165">
        <f t="shared" si="15"/>
        <v>125</v>
      </c>
      <c r="B161" s="140">
        <v>2020003630126</v>
      </c>
      <c r="C161" s="126" t="s">
        <v>1045</v>
      </c>
      <c r="D161" s="204">
        <f>'SGTO POAI 2023 NOV-DIC'!BF227+'SGTO POAI 2023 NOV-DIC'!BF258</f>
        <v>246896123</v>
      </c>
      <c r="E161" s="204">
        <f>'SGTO POAI 2023 NOV-DIC'!BG227+'SGTO POAI 2023 NOV-DIC'!BG258</f>
        <v>226899998</v>
      </c>
      <c r="F161" s="196">
        <f t="shared" si="13"/>
        <v>0.91900996760487808</v>
      </c>
      <c r="G161" s="360">
        <f>'SGTO POAI 2023 NOV-DIC'!BH227+'SGTO POAI 2023 NOV-DIC'!BH258</f>
        <v>226899998</v>
      </c>
      <c r="H161" s="196">
        <f t="shared" si="14"/>
        <v>0.91900996760487808</v>
      </c>
    </row>
    <row r="162" spans="1:8" ht="66" customHeight="1">
      <c r="A162" s="165">
        <f t="shared" si="15"/>
        <v>126</v>
      </c>
      <c r="B162" s="140">
        <v>2020003630127</v>
      </c>
      <c r="C162" s="126" t="s">
        <v>1049</v>
      </c>
      <c r="D162" s="204">
        <f>'SGTO POAI 2023 NOV-DIC'!BF241+'SGTO POAI 2023 NOV-DIC'!BF242+'SGTO POAI 2023 NOV-DIC'!BF243</f>
        <v>370786050</v>
      </c>
      <c r="E162" s="204">
        <f>'SGTO POAI 2023 NOV-DIC'!BG241+'SGTO POAI 2023 NOV-DIC'!BG242+'SGTO POAI 2023 NOV-DIC'!BG243</f>
        <v>266113333</v>
      </c>
      <c r="F162" s="196">
        <f t="shared" si="13"/>
        <v>0.71770049871077946</v>
      </c>
      <c r="G162" s="360">
        <f>'SGTO POAI 2023 NOV-DIC'!BH241+'SGTO POAI 2023 NOV-DIC'!BH242+'SGTO POAI 2023 NOV-DIC'!BH243</f>
        <v>266113333</v>
      </c>
      <c r="H162" s="196">
        <f t="shared" si="14"/>
        <v>0.71770049871077946</v>
      </c>
    </row>
    <row r="163" spans="1:8" ht="66" customHeight="1">
      <c r="A163" s="165">
        <f t="shared" si="15"/>
        <v>127</v>
      </c>
      <c r="B163" s="140">
        <v>2020003630128</v>
      </c>
      <c r="C163" s="126" t="s">
        <v>1058</v>
      </c>
      <c r="D163" s="204">
        <f>'SGTO POAI 2023 NOV-DIC'!BF244+'SGTO POAI 2023 NOV-DIC'!BF259</f>
        <v>514119486</v>
      </c>
      <c r="E163" s="204">
        <f>'SGTO POAI 2023 NOV-DIC'!BG244+'SGTO POAI 2023 NOV-DIC'!BG259</f>
        <v>409971289</v>
      </c>
      <c r="F163" s="196">
        <f t="shared" si="13"/>
        <v>0.79742414003736084</v>
      </c>
      <c r="G163" s="360">
        <f>'SGTO POAI 2023 NOV-DIC'!BH244+'SGTO POAI 2023 NOV-DIC'!BH259</f>
        <v>409971289</v>
      </c>
      <c r="H163" s="196">
        <f t="shared" si="14"/>
        <v>0.79742414003736084</v>
      </c>
    </row>
    <row r="164" spans="1:8" ht="66" customHeight="1">
      <c r="A164" s="165">
        <f t="shared" si="15"/>
        <v>128</v>
      </c>
      <c r="B164" s="140">
        <v>2020003630129</v>
      </c>
      <c r="C164" s="126" t="s">
        <v>1392</v>
      </c>
      <c r="D164" s="204">
        <f>'SGTO POAI 2023 NOV-DIC'!BF245+'SGTO POAI 2023 NOV-DIC'!BF260</f>
        <v>421072796.28999996</v>
      </c>
      <c r="E164" s="204">
        <f>'SGTO POAI 2023 NOV-DIC'!BG245+'SGTO POAI 2023 NOV-DIC'!BG260</f>
        <v>156796667</v>
      </c>
      <c r="F164" s="196">
        <f t="shared" si="13"/>
        <v>0.37237425067947511</v>
      </c>
      <c r="G164" s="360">
        <f>'SGTO POAI 2023 NOV-DIC'!BH245+'SGTO POAI 2023 NOV-DIC'!BH260</f>
        <v>156796667</v>
      </c>
      <c r="H164" s="196">
        <f t="shared" si="14"/>
        <v>0.37237425067947511</v>
      </c>
    </row>
    <row r="165" spans="1:8" ht="66" customHeight="1">
      <c r="A165" s="165">
        <f t="shared" si="15"/>
        <v>129</v>
      </c>
      <c r="B165" s="140">
        <v>2020003630130</v>
      </c>
      <c r="C165" s="126" t="s">
        <v>1115</v>
      </c>
      <c r="D165" s="204">
        <f>'SGTO POAI 2023 NOV-DIC'!BF261</f>
        <v>50000000</v>
      </c>
      <c r="E165" s="204">
        <f>'SGTO POAI 2023 NOV-DIC'!BG261</f>
        <v>47895000</v>
      </c>
      <c r="F165" s="196">
        <f t="shared" si="13"/>
        <v>0.95789999999999997</v>
      </c>
      <c r="G165" s="360">
        <f>'SGTO POAI 2023 NOV-DIC'!BH261</f>
        <v>47895000</v>
      </c>
      <c r="H165" s="196">
        <f t="shared" si="14"/>
        <v>0.95789999999999997</v>
      </c>
    </row>
    <row r="166" spans="1:8" ht="66" customHeight="1">
      <c r="A166" s="165">
        <f t="shared" si="15"/>
        <v>130</v>
      </c>
      <c r="B166" s="140">
        <v>2020003630131</v>
      </c>
      <c r="C166" s="126" t="s">
        <v>1120</v>
      </c>
      <c r="D166" s="204">
        <f>'SGTO POAI 2023 NOV-DIC'!BF262</f>
        <v>44500000</v>
      </c>
      <c r="E166" s="204">
        <f>'SGTO POAI 2023 NOV-DIC'!BG262</f>
        <v>44500000</v>
      </c>
      <c r="F166" s="196">
        <f t="shared" si="13"/>
        <v>1</v>
      </c>
      <c r="G166" s="360">
        <f>'SGTO POAI 2023 NOV-DIC'!BH262</f>
        <v>35966667</v>
      </c>
      <c r="H166" s="196">
        <f t="shared" si="14"/>
        <v>0.80823970786516852</v>
      </c>
    </row>
    <row r="167" spans="1:8" ht="66" customHeight="1">
      <c r="A167" s="165">
        <f t="shared" si="15"/>
        <v>131</v>
      </c>
      <c r="B167" s="140">
        <v>2020003630132</v>
      </c>
      <c r="C167" s="126" t="s">
        <v>1393</v>
      </c>
      <c r="D167" s="204">
        <f>'SGTO POAI 2023 NOV-DIC'!BF263</f>
        <v>116500000</v>
      </c>
      <c r="E167" s="204">
        <f>'SGTO POAI 2023 NOV-DIC'!BG263</f>
        <v>96664998</v>
      </c>
      <c r="F167" s="196">
        <f t="shared" si="13"/>
        <v>0.82974247210300434</v>
      </c>
      <c r="G167" s="360">
        <f>'SGTO POAI 2023 NOV-DIC'!BH263</f>
        <v>96664998</v>
      </c>
      <c r="H167" s="196">
        <f t="shared" si="14"/>
        <v>0.82974247210300434</v>
      </c>
    </row>
    <row r="168" spans="1:8" ht="66" customHeight="1">
      <c r="A168" s="165">
        <f t="shared" si="15"/>
        <v>132</v>
      </c>
      <c r="B168" s="140">
        <v>2020003630133</v>
      </c>
      <c r="C168" s="126" t="s">
        <v>1394</v>
      </c>
      <c r="D168" s="204">
        <f>'SGTO POAI 2023 NOV-DIC'!BF246</f>
        <v>600000000</v>
      </c>
      <c r="E168" s="204">
        <f>'SGTO POAI 2023 NOV-DIC'!BG246</f>
        <v>509510328</v>
      </c>
      <c r="F168" s="196">
        <f t="shared" si="13"/>
        <v>0.84918388</v>
      </c>
      <c r="G168" s="360">
        <f>'SGTO POAI 2023 NOV-DIC'!BH246</f>
        <v>509510328</v>
      </c>
      <c r="H168" s="196">
        <f t="shared" si="14"/>
        <v>0.84918388</v>
      </c>
    </row>
    <row r="169" spans="1:8" ht="66" customHeight="1">
      <c r="A169" s="165">
        <f t="shared" si="15"/>
        <v>133</v>
      </c>
      <c r="B169" s="140">
        <v>2020003630134</v>
      </c>
      <c r="C169" s="126" t="s">
        <v>1070</v>
      </c>
      <c r="D169" s="204">
        <f>'SGTO POAI 2023 NOV-DIC'!BF247</f>
        <v>345000000</v>
      </c>
      <c r="E169" s="204">
        <f>'SGTO POAI 2023 NOV-DIC'!BG247</f>
        <v>323681666</v>
      </c>
      <c r="F169" s="196">
        <f t="shared" si="13"/>
        <v>0.93820772753623194</v>
      </c>
      <c r="G169" s="360">
        <f>'SGTO POAI 2023 NOV-DIC'!BH247</f>
        <v>323681666</v>
      </c>
      <c r="H169" s="196">
        <f t="shared" si="14"/>
        <v>0.93820772753623194</v>
      </c>
    </row>
    <row r="170" spans="1:8" ht="66" customHeight="1">
      <c r="A170" s="165">
        <f t="shared" si="15"/>
        <v>134</v>
      </c>
      <c r="B170" s="140">
        <v>2020003630135</v>
      </c>
      <c r="C170" s="126" t="s">
        <v>1395</v>
      </c>
      <c r="D170" s="204">
        <f>'SGTO POAI 2023 NOV-DIC'!BF228</f>
        <v>1852478796</v>
      </c>
      <c r="E170" s="204">
        <f>'SGTO POAI 2023 NOV-DIC'!BG228</f>
        <v>1807180664</v>
      </c>
      <c r="F170" s="196">
        <f t="shared" si="13"/>
        <v>0.97554728718201211</v>
      </c>
      <c r="G170" s="360">
        <f>'SGTO POAI 2023 NOV-DIC'!BH228</f>
        <v>1553314513</v>
      </c>
      <c r="H170" s="196">
        <f t="shared" si="14"/>
        <v>0.83850596096107755</v>
      </c>
    </row>
    <row r="171" spans="1:8" ht="66" customHeight="1">
      <c r="A171" s="165">
        <f t="shared" si="15"/>
        <v>135</v>
      </c>
      <c r="B171" s="140">
        <v>2020003630136</v>
      </c>
      <c r="C171" s="126" t="s">
        <v>1081</v>
      </c>
      <c r="D171" s="204">
        <f>'SGTO POAI 2023 NOV-DIC'!BF248</f>
        <v>41342402178.509995</v>
      </c>
      <c r="E171" s="204">
        <f>'SGTO POAI 2023 NOV-DIC'!BG248</f>
        <v>39430209927.630013</v>
      </c>
      <c r="F171" s="196">
        <f t="shared" si="13"/>
        <v>0.95374743241518878</v>
      </c>
      <c r="G171" s="360">
        <f>'SGTO POAI 2023 NOV-DIC'!BH248</f>
        <v>39430209927.630013</v>
      </c>
      <c r="H171" s="196">
        <f t="shared" si="14"/>
        <v>0.95374743241518878</v>
      </c>
    </row>
    <row r="172" spans="1:8" ht="66" customHeight="1">
      <c r="A172" s="165">
        <f t="shared" si="15"/>
        <v>136</v>
      </c>
      <c r="B172" s="140">
        <v>2020003630137</v>
      </c>
      <c r="C172" s="126" t="s">
        <v>1086</v>
      </c>
      <c r="D172" s="204">
        <f>SUM('SGTO POAI 2023 NOV-DIC'!BF249:BF251)</f>
        <v>12123989229.970001</v>
      </c>
      <c r="E172" s="204">
        <f>SUM('SGTO POAI 2023 NOV-DIC'!BG249:BG251)</f>
        <v>5877605345.1000004</v>
      </c>
      <c r="F172" s="196">
        <f t="shared" si="13"/>
        <v>0.48479136970616921</v>
      </c>
      <c r="G172" s="360">
        <f>SUM('SGTO POAI 2023 NOV-DIC'!BH249:BH251)</f>
        <v>5619390633</v>
      </c>
      <c r="H172" s="196">
        <f t="shared" si="14"/>
        <v>0.46349353553606748</v>
      </c>
    </row>
    <row r="173" spans="1:8" ht="66" customHeight="1" thickBot="1">
      <c r="A173" s="167">
        <f t="shared" si="15"/>
        <v>137</v>
      </c>
      <c r="B173" s="138">
        <v>2020003630138</v>
      </c>
      <c r="C173" s="127" t="s">
        <v>1097</v>
      </c>
      <c r="D173" s="216">
        <f>SUM('SGTO POAI 2023 NOV-DIC'!BF252:BF255)</f>
        <v>1618339964</v>
      </c>
      <c r="E173" s="216">
        <f>SUM('SGTO POAI 2023 NOV-DIC'!BG252:BG255)</f>
        <v>602470793.31999993</v>
      </c>
      <c r="F173" s="219">
        <f t="shared" si="13"/>
        <v>0.37227702875908214</v>
      </c>
      <c r="G173" s="351">
        <f>SUM('SGTO POAI 2023 NOV-DIC'!BH252:BH255)</f>
        <v>602470793</v>
      </c>
      <c r="H173" s="219">
        <f t="shared" si="14"/>
        <v>0.3722770285613487</v>
      </c>
    </row>
    <row r="174" spans="1:8" ht="30" customHeight="1" thickBot="1">
      <c r="A174" s="522" t="s">
        <v>1396</v>
      </c>
      <c r="B174" s="523"/>
      <c r="C174" s="524"/>
      <c r="D174" s="213">
        <f>D175+D179+D182</f>
        <v>2328894018</v>
      </c>
      <c r="E174" s="212">
        <f>E175+E179+E182</f>
        <v>2261362995</v>
      </c>
      <c r="F174" s="197">
        <f t="shared" si="13"/>
        <v>0.97100296429204014</v>
      </c>
      <c r="G174" s="347">
        <f>G175+G179+G182</f>
        <v>2261362995</v>
      </c>
      <c r="H174" s="197">
        <f t="shared" ref="H174:H195" si="16">G174/D174</f>
        <v>0.97100296429204014</v>
      </c>
    </row>
    <row r="175" spans="1:8" ht="30" customHeight="1">
      <c r="A175" s="163">
        <v>1</v>
      </c>
      <c r="B175" s="517" t="s">
        <v>148</v>
      </c>
      <c r="C175" s="518"/>
      <c r="D175" s="207">
        <f>SUM(D176:D178)</f>
        <v>1746906166</v>
      </c>
      <c r="E175" s="352">
        <f>SUM(E176:E178)</f>
        <v>1694362483</v>
      </c>
      <c r="F175" s="218">
        <f t="shared" si="13"/>
        <v>0.96992186299261141</v>
      </c>
      <c r="G175" s="343">
        <f>SUM(G176:G178)</f>
        <v>1694362483</v>
      </c>
      <c r="H175" s="218">
        <f t="shared" si="16"/>
        <v>0.96992186299261141</v>
      </c>
    </row>
    <row r="176" spans="1:8" ht="66" customHeight="1">
      <c r="A176" s="164">
        <f>A173+1</f>
        <v>138</v>
      </c>
      <c r="B176" s="139">
        <v>2020003630038</v>
      </c>
      <c r="C176" s="129" t="s">
        <v>1397</v>
      </c>
      <c r="D176" s="204">
        <f>SUM('SGTO POAI 2023 NOV-DIC'!BF264:BF267)</f>
        <v>382950833</v>
      </c>
      <c r="E176" s="339">
        <f>SUM('SGTO POAI 2023 NOV-DIC'!BG264:BG267)</f>
        <v>349867000</v>
      </c>
      <c r="F176" s="196">
        <f t="shared" si="13"/>
        <v>0.91360814457348372</v>
      </c>
      <c r="G176" s="344">
        <f>SUM('SGTO POAI 2023 NOV-DIC'!BH264:BH267)</f>
        <v>349867000</v>
      </c>
      <c r="H176" s="196">
        <f t="shared" si="16"/>
        <v>0.91360814457348372</v>
      </c>
    </row>
    <row r="177" spans="1:8" ht="66" customHeight="1">
      <c r="A177" s="165">
        <f>A176+1</f>
        <v>139</v>
      </c>
      <c r="B177" s="140">
        <v>2020003630139</v>
      </c>
      <c r="C177" s="126" t="s">
        <v>1398</v>
      </c>
      <c r="D177" s="204">
        <f>SUM('SGTO POAI 2023 NOV-DIC'!BF268:BF272)</f>
        <v>939167002</v>
      </c>
      <c r="E177" s="339">
        <f>SUM('SGTO POAI 2023 NOV-DIC'!BG268:BG272)</f>
        <v>920867152</v>
      </c>
      <c r="F177" s="196">
        <f t="shared" si="13"/>
        <v>0.98051480731219298</v>
      </c>
      <c r="G177" s="344">
        <f>SUM('SGTO POAI 2023 NOV-DIC'!BH268:BH272)</f>
        <v>920867152</v>
      </c>
      <c r="H177" s="196">
        <f t="shared" si="16"/>
        <v>0.98051480731219298</v>
      </c>
    </row>
    <row r="178" spans="1:8" ht="66" customHeight="1">
      <c r="A178" s="165">
        <f>A177+1</f>
        <v>140</v>
      </c>
      <c r="B178" s="140">
        <v>2020003630039</v>
      </c>
      <c r="C178" s="126" t="s">
        <v>1399</v>
      </c>
      <c r="D178" s="204">
        <f>SUM('SGTO POAI 2023 NOV-DIC'!BF273:BF277)</f>
        <v>424788331</v>
      </c>
      <c r="E178" s="339">
        <f>SUM('SGTO POAI 2023 NOV-DIC'!BG273:BG277)</f>
        <v>423628331</v>
      </c>
      <c r="F178" s="196">
        <f t="shared" si="13"/>
        <v>0.99726922818885055</v>
      </c>
      <c r="G178" s="344">
        <f>SUM('SGTO POAI 2023 NOV-DIC'!BH273:BH277)</f>
        <v>423628331</v>
      </c>
      <c r="H178" s="196">
        <f t="shared" si="16"/>
        <v>0.99726922818885055</v>
      </c>
    </row>
    <row r="179" spans="1:8" ht="30" customHeight="1">
      <c r="A179" s="168">
        <v>2</v>
      </c>
      <c r="B179" s="516" t="s">
        <v>200</v>
      </c>
      <c r="C179" s="516"/>
      <c r="D179" s="202">
        <f>SUM(D180:D181)</f>
        <v>128119518</v>
      </c>
      <c r="E179" s="348">
        <f>SUM(E180:E181)</f>
        <v>114633013</v>
      </c>
      <c r="F179" s="196">
        <f t="shared" si="13"/>
        <v>0.89473496926518248</v>
      </c>
      <c r="G179" s="349">
        <f>SUM(G180:G181)</f>
        <v>114633013</v>
      </c>
      <c r="H179" s="196">
        <f t="shared" si="16"/>
        <v>0.89473496926518248</v>
      </c>
    </row>
    <row r="180" spans="1:8" ht="66" customHeight="1">
      <c r="A180" s="165">
        <f>A178+1</f>
        <v>141</v>
      </c>
      <c r="B180" s="140">
        <v>2020003630140</v>
      </c>
      <c r="C180" s="126" t="s">
        <v>1400</v>
      </c>
      <c r="D180" s="204">
        <f>SUM('SGTO POAI 2023 NOV-DIC'!BF278:BF280)</f>
        <v>71719518</v>
      </c>
      <c r="E180" s="339">
        <f>SUM('SGTO POAI 2023 NOV-DIC'!BG278:BG280)</f>
        <v>64013013</v>
      </c>
      <c r="F180" s="196">
        <f t="shared" si="13"/>
        <v>0.89254661471651275</v>
      </c>
      <c r="G180" s="344">
        <f>SUM('SGTO POAI 2023 NOV-DIC'!BH278:BH280)</f>
        <v>64013013</v>
      </c>
      <c r="H180" s="196">
        <f t="shared" si="16"/>
        <v>0.89254661471651275</v>
      </c>
    </row>
    <row r="181" spans="1:8" ht="66" customHeight="1">
      <c r="A181" s="165">
        <f>A180+1</f>
        <v>142</v>
      </c>
      <c r="B181" s="140">
        <v>2020003630040</v>
      </c>
      <c r="C181" s="126" t="s">
        <v>1401</v>
      </c>
      <c r="D181" s="204">
        <f>'SGTO POAI 2023 NOV-DIC'!BF281</f>
        <v>56400000</v>
      </c>
      <c r="E181" s="339">
        <f>'SGTO POAI 2023 NOV-DIC'!BG281</f>
        <v>50620000</v>
      </c>
      <c r="F181" s="196">
        <f t="shared" si="13"/>
        <v>0.89751773049645389</v>
      </c>
      <c r="G181" s="344">
        <f>'SGTO POAI 2023 NOV-DIC'!BH281</f>
        <v>50620000</v>
      </c>
      <c r="H181" s="196">
        <f t="shared" si="16"/>
        <v>0.89751773049645389</v>
      </c>
    </row>
    <row r="182" spans="1:8" ht="32.25" customHeight="1">
      <c r="A182" s="168">
        <v>4</v>
      </c>
      <c r="B182" s="516" t="s">
        <v>1460</v>
      </c>
      <c r="C182" s="516"/>
      <c r="D182" s="202">
        <f>D183</f>
        <v>453868334</v>
      </c>
      <c r="E182" s="348">
        <f>E183</f>
        <v>452367499</v>
      </c>
      <c r="F182" s="196">
        <f t="shared" si="13"/>
        <v>0.99669323703027934</v>
      </c>
      <c r="G182" s="349">
        <f>G183</f>
        <v>452367499</v>
      </c>
      <c r="H182" s="196">
        <f t="shared" si="16"/>
        <v>0.99669323703027934</v>
      </c>
    </row>
    <row r="183" spans="1:8" ht="66" customHeight="1" thickBot="1">
      <c r="A183" s="167">
        <f>A181+1</f>
        <v>143</v>
      </c>
      <c r="B183" s="138">
        <v>2020003630141</v>
      </c>
      <c r="C183" s="127" t="s">
        <v>1402</v>
      </c>
      <c r="D183" s="216">
        <f>SUM('SGTO POAI 2023 NOV-DIC'!BF282:BF287)</f>
        <v>453868334</v>
      </c>
      <c r="E183" s="340">
        <f>SUM('SGTO POAI 2023 NOV-DIC'!BG282:BG287)</f>
        <v>452367499</v>
      </c>
      <c r="F183" s="219">
        <f t="shared" si="13"/>
        <v>0.99669323703027934</v>
      </c>
      <c r="G183" s="344">
        <f>SUM('SGTO POAI 2023 NOV-DIC'!BH282:BH287)</f>
        <v>452367499</v>
      </c>
      <c r="H183" s="219">
        <f t="shared" si="16"/>
        <v>0.99669323703027934</v>
      </c>
    </row>
    <row r="184" spans="1:8" ht="30" customHeight="1" thickBot="1">
      <c r="A184" s="519" t="s">
        <v>1403</v>
      </c>
      <c r="B184" s="520"/>
      <c r="C184" s="521"/>
      <c r="D184" s="213">
        <f>D185</f>
        <v>10324433912.389999</v>
      </c>
      <c r="E184" s="212">
        <f>E185</f>
        <v>8284289857.0400009</v>
      </c>
      <c r="F184" s="197">
        <f t="shared" si="13"/>
        <v>0.8023965214304204</v>
      </c>
      <c r="G184" s="347">
        <f>G185</f>
        <v>8284289857.0400009</v>
      </c>
      <c r="H184" s="197">
        <f t="shared" si="16"/>
        <v>0.8023965214304204</v>
      </c>
    </row>
    <row r="185" spans="1:8" ht="30" customHeight="1">
      <c r="A185" s="163">
        <v>1</v>
      </c>
      <c r="B185" s="517" t="s">
        <v>148</v>
      </c>
      <c r="C185" s="518"/>
      <c r="D185" s="207">
        <f>SUM(D186:D188)</f>
        <v>10324433912.389999</v>
      </c>
      <c r="E185" s="352">
        <f>SUM(E186:E188)</f>
        <v>8284289857.0400009</v>
      </c>
      <c r="F185" s="218">
        <f t="shared" si="13"/>
        <v>0.8023965214304204</v>
      </c>
      <c r="G185" s="343">
        <f>SUM(G186:G188)</f>
        <v>8284289857.0400009</v>
      </c>
      <c r="H185" s="218">
        <f t="shared" si="16"/>
        <v>0.8023965214304204</v>
      </c>
    </row>
    <row r="186" spans="1:8" ht="66" customHeight="1">
      <c r="A186" s="166">
        <f>A183+1</f>
        <v>144</v>
      </c>
      <c r="B186" s="139">
        <v>2020003630009</v>
      </c>
      <c r="C186" s="129" t="s">
        <v>1202</v>
      </c>
      <c r="D186" s="204">
        <f>SUM('SGTO POAI 2023 NOV-DIC'!BF288:BF291)</f>
        <v>3566923682.8499999</v>
      </c>
      <c r="E186" s="339">
        <f>SUM('SGTO POAI 2023 NOV-DIC'!BG288:BG291)</f>
        <v>2911926829.4200001</v>
      </c>
      <c r="F186" s="196">
        <f t="shared" si="13"/>
        <v>0.81636925494670176</v>
      </c>
      <c r="G186" s="344">
        <f>SUM('SGTO POAI 2023 NOV-DIC'!BH288:BH291)</f>
        <v>2911926829.4200001</v>
      </c>
      <c r="H186" s="196">
        <f t="shared" si="16"/>
        <v>0.81636925494670176</v>
      </c>
    </row>
    <row r="187" spans="1:8" ht="66" customHeight="1">
      <c r="A187" s="165">
        <f>A186+1</f>
        <v>145</v>
      </c>
      <c r="B187" s="140">
        <v>2020003630010</v>
      </c>
      <c r="C187" s="126" t="s">
        <v>1217</v>
      </c>
      <c r="D187" s="204">
        <f>'SGTO POAI 2023 NOV-DIC'!BF292</f>
        <v>4310592397.54</v>
      </c>
      <c r="E187" s="339">
        <f>'SGTO POAI 2023 NOV-DIC'!BG292</f>
        <v>3614473954.5999999</v>
      </c>
      <c r="F187" s="196">
        <f t="shared" si="13"/>
        <v>0.83850979662626746</v>
      </c>
      <c r="G187" s="344">
        <f>'SGTO POAI 2023 NOV-DIC'!BH292</f>
        <v>3614473954.5999999</v>
      </c>
      <c r="H187" s="196">
        <f t="shared" si="16"/>
        <v>0.83850979662626746</v>
      </c>
    </row>
    <row r="188" spans="1:8" ht="66" customHeight="1" thickBot="1">
      <c r="A188" s="169">
        <f>A187+1</f>
        <v>146</v>
      </c>
      <c r="B188" s="138">
        <v>2020003630013</v>
      </c>
      <c r="C188" s="127" t="s">
        <v>1222</v>
      </c>
      <c r="D188" s="216">
        <f>'SGTO POAI 2023 NOV-DIC'!BF293</f>
        <v>2446917832</v>
      </c>
      <c r="E188" s="353">
        <f>'SGTO POAI 2023 NOV-DIC'!BG293</f>
        <v>1757889073.02</v>
      </c>
      <c r="F188" s="219">
        <f t="shared" si="13"/>
        <v>0.71840952320952312</v>
      </c>
      <c r="G188" s="344">
        <f>'SGTO POAI 2023 NOV-DIC'!BH293</f>
        <v>1757889073.02</v>
      </c>
      <c r="H188" s="219">
        <f t="shared" si="16"/>
        <v>0.71840952320952312</v>
      </c>
    </row>
    <row r="189" spans="1:8" ht="30" customHeight="1" thickBot="1">
      <c r="A189" s="522" t="s">
        <v>1308</v>
      </c>
      <c r="B189" s="523"/>
      <c r="C189" s="524"/>
      <c r="D189" s="213">
        <f>D190+D193+D197</f>
        <v>4712923248</v>
      </c>
      <c r="E189" s="212">
        <f>E190+E193+E197</f>
        <v>4617403274.6999998</v>
      </c>
      <c r="F189" s="197">
        <f t="shared" si="13"/>
        <v>0.97973232996303605</v>
      </c>
      <c r="G189" s="347">
        <f>G190+G193+G197</f>
        <v>4617403274.6999998</v>
      </c>
      <c r="H189" s="197">
        <f t="shared" si="16"/>
        <v>0.97973232996303605</v>
      </c>
    </row>
    <row r="190" spans="1:8" ht="30" customHeight="1">
      <c r="A190" s="163">
        <v>1</v>
      </c>
      <c r="B190" s="517" t="s">
        <v>148</v>
      </c>
      <c r="C190" s="518"/>
      <c r="D190" s="207">
        <f>SUM(D191:D192)</f>
        <v>2658311172</v>
      </c>
      <c r="E190" s="352">
        <f>SUM(E191:E192)</f>
        <v>2651419279.6999998</v>
      </c>
      <c r="F190" s="218">
        <f t="shared" si="13"/>
        <v>0.99740741702002667</v>
      </c>
      <c r="G190" s="343">
        <f>SUM(G191:G192)</f>
        <v>2651419279.6999998</v>
      </c>
      <c r="H190" s="218">
        <f t="shared" si="16"/>
        <v>0.99740741702002667</v>
      </c>
    </row>
    <row r="191" spans="1:8" ht="66" customHeight="1">
      <c r="A191" s="166">
        <f>A188+1</f>
        <v>147</v>
      </c>
      <c r="B191" s="141">
        <v>2020003630142</v>
      </c>
      <c r="C191" s="129" t="s">
        <v>1227</v>
      </c>
      <c r="D191" s="204">
        <f>'SGTO POAI 2023 NOV-DIC'!BF294</f>
        <v>1462000000</v>
      </c>
      <c r="E191" s="339">
        <f>'SGTO POAI 2023 NOV-DIC'!BG294</f>
        <v>1460880415.7</v>
      </c>
      <c r="F191" s="196">
        <f t="shared" si="13"/>
        <v>0.99923421046511629</v>
      </c>
      <c r="G191" s="344">
        <f>'SGTO POAI 2023 NOV-DIC'!BH294</f>
        <v>1460880415.7</v>
      </c>
      <c r="H191" s="196">
        <f t="shared" si="16"/>
        <v>0.99923421046511629</v>
      </c>
    </row>
    <row r="192" spans="1:8" ht="66" customHeight="1">
      <c r="A192" s="165">
        <f>A191+1</f>
        <v>148</v>
      </c>
      <c r="B192" s="145">
        <v>2020003630143</v>
      </c>
      <c r="C192" s="144" t="s">
        <v>1229</v>
      </c>
      <c r="D192" s="204">
        <f>'SGTO POAI 2023 NOV-DIC'!BF295</f>
        <v>1196311172</v>
      </c>
      <c r="E192" s="339">
        <f>'SGTO POAI 2023 NOV-DIC'!BG295</f>
        <v>1190538864</v>
      </c>
      <c r="F192" s="196">
        <f t="shared" si="13"/>
        <v>0.99517491089684484</v>
      </c>
      <c r="G192" s="344">
        <f>'SGTO POAI 2023 NOV-DIC'!BH295</f>
        <v>1190538864</v>
      </c>
      <c r="H192" s="196">
        <f t="shared" si="16"/>
        <v>0.99517491089684484</v>
      </c>
    </row>
    <row r="193" spans="1:11" ht="28.5" customHeight="1">
      <c r="A193" s="168">
        <v>3</v>
      </c>
      <c r="B193" s="516" t="s">
        <v>212</v>
      </c>
      <c r="C193" s="516"/>
      <c r="D193" s="202">
        <f>SUM(D194:D196)</f>
        <v>1510612076</v>
      </c>
      <c r="E193" s="348">
        <f>SUM(E194:E196)</f>
        <v>1425202285</v>
      </c>
      <c r="F193" s="196">
        <f t="shared" si="13"/>
        <v>0.94346014284080171</v>
      </c>
      <c r="G193" s="349">
        <f>SUM(G194:G196)</f>
        <v>1425202285</v>
      </c>
      <c r="H193" s="196">
        <f t="shared" si="16"/>
        <v>0.94346014284080171</v>
      </c>
    </row>
    <row r="194" spans="1:11" ht="45.75" customHeight="1">
      <c r="A194" s="165">
        <f>A192+1</f>
        <v>149</v>
      </c>
      <c r="B194" s="145">
        <v>2020003630144</v>
      </c>
      <c r="C194" s="144" t="s">
        <v>1404</v>
      </c>
      <c r="D194" s="204">
        <f>'SGTO POAI 2023 NOV-DIC'!BF296</f>
        <v>440356768</v>
      </c>
      <c r="E194" s="339">
        <f>'SGTO POAI 2023 NOV-DIC'!BG296</f>
        <v>421335509</v>
      </c>
      <c r="F194" s="196">
        <f t="shared" si="13"/>
        <v>0.9568048900749494</v>
      </c>
      <c r="G194" s="344">
        <f>'SGTO POAI 2023 NOV-DIC'!BH296</f>
        <v>421335509</v>
      </c>
      <c r="H194" s="196">
        <f t="shared" si="16"/>
        <v>0.9568048900749494</v>
      </c>
    </row>
    <row r="195" spans="1:11" ht="66" customHeight="1">
      <c r="A195" s="272">
        <f>A194+1</f>
        <v>150</v>
      </c>
      <c r="B195" s="141">
        <v>2020003630145</v>
      </c>
      <c r="C195" s="127" t="s">
        <v>1405</v>
      </c>
      <c r="D195" s="216">
        <f>'SGTO POAI 2023 NOV-DIC'!BF297+'SGTO POAI 2023 NOV-DIC'!BF298+'SGTO POAI 2023 NOV-DIC'!BF299+'SGTO POAI 2023 NOV-DIC'!BF300+'SGTO POAI 2023 NOV-DIC'!BF301+'SGTO POAI 2023 NOV-DIC'!BF302+'SGTO POAI 2023 NOV-DIC'!BF303</f>
        <v>920255308</v>
      </c>
      <c r="E195" s="353">
        <f>'SGTO POAI 2023 NOV-DIC'!BG297+'SGTO POAI 2023 NOV-DIC'!BG298+'SGTO POAI 2023 NOV-DIC'!BG299+'SGTO POAI 2023 NOV-DIC'!BG300+'SGTO POAI 2023 NOV-DIC'!BG301+'SGTO POAI 2023 NOV-DIC'!BG302+'SGTO POAI 2023 NOV-DIC'!BG303</f>
        <v>857866776</v>
      </c>
      <c r="F195" s="196">
        <f t="shared" si="13"/>
        <v>0.93220519190963469</v>
      </c>
      <c r="G195" s="344">
        <f>'SGTO POAI 2023 NOV-DIC'!BH297+'SGTO POAI 2023 NOV-DIC'!BH298+'SGTO POAI 2023 NOV-DIC'!BH299+'SGTO POAI 2023 NOV-DIC'!BH300+'SGTO POAI 2023 NOV-DIC'!BH301+'SGTO POAI 2023 NOV-DIC'!BH302+'SGTO POAI 2023 NOV-DIC'!BH303</f>
        <v>857866776</v>
      </c>
      <c r="H195" s="196">
        <f t="shared" si="16"/>
        <v>0.93220519190963469</v>
      </c>
    </row>
    <row r="196" spans="1:11" ht="66" customHeight="1">
      <c r="A196" s="272">
        <f>A195+1</f>
        <v>151</v>
      </c>
      <c r="B196" s="145">
        <v>2023003630001</v>
      </c>
      <c r="C196" s="148" t="s">
        <v>1506</v>
      </c>
      <c r="D196" s="210">
        <f>'SGTO POAI 2023 NOV-DIC'!BF304</f>
        <v>150000000</v>
      </c>
      <c r="E196" s="339">
        <f>'SGTO POAI 2023 NOV-DIC'!BG304</f>
        <v>146000000</v>
      </c>
      <c r="F196" s="196">
        <f t="shared" ref="F196:F202" si="17">E196/D196</f>
        <v>0.97333333333333338</v>
      </c>
      <c r="G196" s="274">
        <f>'SGTO POAI 2023 NOV-DIC'!BH304</f>
        <v>146000000</v>
      </c>
      <c r="H196" s="196"/>
    </row>
    <row r="197" spans="1:11" ht="28.5" customHeight="1">
      <c r="A197" s="168">
        <v>4</v>
      </c>
      <c r="B197" s="516" t="s">
        <v>1460</v>
      </c>
      <c r="C197" s="516"/>
      <c r="D197" s="202">
        <f>SUM(D198:D198)</f>
        <v>544000000</v>
      </c>
      <c r="E197" s="348">
        <f>SUM(E198:E198)</f>
        <v>540781710</v>
      </c>
      <c r="F197" s="196">
        <f t="shared" si="17"/>
        <v>0.99408402573529409</v>
      </c>
      <c r="G197" s="349">
        <f>SUM(G198:G198)</f>
        <v>540781710</v>
      </c>
      <c r="H197" s="196">
        <f t="shared" ref="H197:H202" si="18">G197/D197</f>
        <v>0.99408402573529409</v>
      </c>
    </row>
    <row r="198" spans="1:11" ht="66" customHeight="1" thickBot="1">
      <c r="A198" s="167">
        <f>A196+1</f>
        <v>152</v>
      </c>
      <c r="B198" s="149">
        <v>2022003630006</v>
      </c>
      <c r="C198" s="175" t="s">
        <v>1255</v>
      </c>
      <c r="D198" s="216">
        <f>'SGTO POAI 2023 NOV-DIC'!BF305</f>
        <v>544000000</v>
      </c>
      <c r="E198" s="216">
        <f>'SGTO POAI 2023 NOV-DIC'!BG305</f>
        <v>540781710</v>
      </c>
      <c r="F198" s="219">
        <f t="shared" si="17"/>
        <v>0.99408402573529409</v>
      </c>
      <c r="G198" s="274">
        <f>'SGTO POAI 2023 NOV-DIC'!BH305</f>
        <v>540781710</v>
      </c>
      <c r="H198" s="219">
        <f t="shared" si="18"/>
        <v>0.99408402573529409</v>
      </c>
    </row>
    <row r="199" spans="1:11" ht="30" customHeight="1" thickBot="1">
      <c r="A199" s="522" t="s">
        <v>1406</v>
      </c>
      <c r="B199" s="523"/>
      <c r="C199" s="524"/>
      <c r="D199" s="213">
        <f>SUM(D201)</f>
        <v>168932650</v>
      </c>
      <c r="E199" s="212">
        <f>SUM(E201)</f>
        <v>168932650</v>
      </c>
      <c r="F199" s="197">
        <f t="shared" si="17"/>
        <v>1</v>
      </c>
      <c r="G199" s="346">
        <f>SUM(G201)</f>
        <v>168932650</v>
      </c>
      <c r="H199" s="197">
        <f t="shared" si="18"/>
        <v>1</v>
      </c>
    </row>
    <row r="200" spans="1:11" ht="30" customHeight="1">
      <c r="A200" s="176">
        <v>3</v>
      </c>
      <c r="B200" s="528" t="s">
        <v>212</v>
      </c>
      <c r="C200" s="528"/>
      <c r="D200" s="209">
        <f>D201</f>
        <v>168932650</v>
      </c>
      <c r="E200" s="352">
        <f>E201</f>
        <v>168932650</v>
      </c>
      <c r="F200" s="218">
        <f t="shared" si="17"/>
        <v>1</v>
      </c>
      <c r="G200" s="343">
        <f>G201</f>
        <v>168932650</v>
      </c>
      <c r="H200" s="218">
        <f t="shared" si="18"/>
        <v>1</v>
      </c>
    </row>
    <row r="201" spans="1:11" ht="66" customHeight="1" thickBot="1">
      <c r="A201" s="169">
        <f>A198+1</f>
        <v>153</v>
      </c>
      <c r="B201" s="141">
        <v>2020003630149</v>
      </c>
      <c r="C201" s="128" t="s">
        <v>1264</v>
      </c>
      <c r="D201" s="205">
        <f>SUM('SGTO POAI 2023 NOV-DIC'!BF306:BF309)</f>
        <v>168932650</v>
      </c>
      <c r="E201" s="358">
        <f>SUM('SGTO POAI 2023 NOV-DIC'!BG306:BG309)</f>
        <v>168932650</v>
      </c>
      <c r="F201" s="196">
        <f t="shared" si="17"/>
        <v>1</v>
      </c>
      <c r="G201" s="274">
        <f>SUM('SGTO POAI 2023 NOV-DIC'!BH306:BH309)</f>
        <v>168932650</v>
      </c>
      <c r="H201" s="196">
        <f t="shared" si="18"/>
        <v>1</v>
      </c>
    </row>
    <row r="202" spans="1:11" ht="30" customHeight="1" thickBot="1">
      <c r="A202" s="531" t="s">
        <v>1407</v>
      </c>
      <c r="B202" s="532"/>
      <c r="C202" s="533"/>
      <c r="D202" s="142">
        <f>SUM(D3,D9,D18,D22,D50,D66,D72,D80,D102,D108,D120,D149,D174,D184,D189,D199)</f>
        <v>461494525650.14996</v>
      </c>
      <c r="E202" s="359">
        <f>SUM(E3,E9,E18,E22,E50,E66,E72,E80,E102,E108,E120,E149,E174,E184,E189,E199)</f>
        <v>361702650805.85999</v>
      </c>
      <c r="F202" s="196">
        <f t="shared" si="17"/>
        <v>0.78376368667926466</v>
      </c>
      <c r="G202" s="208">
        <f>SUM(G3,G9,G18,G22,G50,G66,G72,G80,G102,G108,G120,G149,G174,G184,G189,G199)</f>
        <v>308455072348</v>
      </c>
      <c r="H202" s="341">
        <f t="shared" si="18"/>
        <v>0.66838294975103085</v>
      </c>
    </row>
    <row r="203" spans="1:11">
      <c r="B203" s="132"/>
      <c r="C203" s="132"/>
      <c r="D203" s="132"/>
      <c r="E203" s="132"/>
      <c r="F203" s="132"/>
      <c r="G203" s="132"/>
      <c r="H203" s="132"/>
      <c r="I203" s="132"/>
      <c r="J203" s="132"/>
      <c r="K203" s="132"/>
    </row>
    <row r="204" spans="1:11">
      <c r="B204" s="132"/>
      <c r="C204" s="217"/>
      <c r="D204" s="177"/>
      <c r="E204" s="177"/>
      <c r="F204" s="177"/>
      <c r="G204" s="177"/>
      <c r="H204" s="132"/>
      <c r="I204" s="132"/>
      <c r="J204" s="132"/>
      <c r="K204" s="132"/>
    </row>
    <row r="205" spans="1:11">
      <c r="B205" s="132"/>
      <c r="C205" s="217"/>
      <c r="D205" s="178"/>
      <c r="E205" s="178"/>
      <c r="F205" s="178"/>
      <c r="G205" s="178"/>
      <c r="H205" s="132"/>
      <c r="I205" s="132"/>
      <c r="J205" s="132"/>
      <c r="K205" s="132"/>
    </row>
    <row r="206" spans="1:11">
      <c r="B206" s="132"/>
      <c r="C206" s="217"/>
      <c r="D206" s="178"/>
      <c r="E206" s="178"/>
      <c r="F206" s="178"/>
      <c r="G206" s="178"/>
      <c r="H206" s="132"/>
      <c r="I206" s="132"/>
      <c r="J206" s="132"/>
      <c r="K206" s="132"/>
    </row>
    <row r="207" spans="1:11">
      <c r="C207" s="217"/>
      <c r="D207" s="179"/>
      <c r="E207" s="179"/>
      <c r="F207" s="179"/>
      <c r="G207" s="179"/>
    </row>
    <row r="208" spans="1:11">
      <c r="C208" s="217"/>
      <c r="D208" s="179"/>
      <c r="E208" s="179"/>
      <c r="F208" s="179"/>
      <c r="G208" s="179"/>
    </row>
    <row r="209" spans="2:11">
      <c r="B209" s="133"/>
      <c r="C209" s="137" t="s">
        <v>1408</v>
      </c>
      <c r="D209" s="180"/>
      <c r="E209" s="180"/>
      <c r="F209" s="180"/>
      <c r="G209" s="180"/>
      <c r="H209" s="132"/>
      <c r="I209" s="132"/>
      <c r="J209" s="132"/>
      <c r="K209" s="132"/>
    </row>
    <row r="210" spans="2:11" ht="12.75" customHeight="1">
      <c r="B210" s="527" t="s">
        <v>1409</v>
      </c>
      <c r="C210" s="527"/>
      <c r="D210" s="527"/>
      <c r="E210" s="132"/>
      <c r="F210" s="132"/>
      <c r="G210" s="132"/>
      <c r="H210" s="132"/>
      <c r="I210" s="132"/>
      <c r="J210" s="132"/>
      <c r="K210" s="134"/>
    </row>
    <row r="212" spans="2:11" ht="12.75" customHeight="1">
      <c r="B212" s="527"/>
      <c r="C212" s="527"/>
      <c r="D212" s="527"/>
      <c r="E212" s="132"/>
      <c r="F212" s="132"/>
      <c r="G212" s="132"/>
      <c r="H212" s="132"/>
      <c r="I212" s="132"/>
      <c r="J212" s="132"/>
      <c r="K212" s="132"/>
    </row>
    <row r="213" spans="2:11" ht="22.5" customHeight="1">
      <c r="B213" s="534"/>
      <c r="C213" s="530"/>
      <c r="D213" s="530"/>
      <c r="E213" s="132"/>
      <c r="F213" s="132"/>
      <c r="G213" s="132"/>
      <c r="H213" s="132"/>
      <c r="I213" s="132"/>
      <c r="J213" s="132"/>
      <c r="K213" s="132"/>
    </row>
    <row r="214" spans="2:11" ht="24.75" customHeight="1">
      <c r="B214" s="534"/>
      <c r="C214" s="530"/>
      <c r="D214" s="530"/>
      <c r="E214" s="132"/>
      <c r="F214" s="132"/>
      <c r="G214" s="132"/>
      <c r="H214" s="132"/>
      <c r="I214" s="132"/>
      <c r="J214" s="132"/>
      <c r="K214" s="132"/>
    </row>
    <row r="215" spans="2:11" ht="21.75" customHeight="1">
      <c r="B215" s="529"/>
      <c r="C215" s="530"/>
      <c r="D215" s="530"/>
      <c r="E215" s="132"/>
      <c r="F215" s="132"/>
      <c r="G215" s="132"/>
      <c r="H215" s="132"/>
      <c r="I215" s="132"/>
      <c r="J215" s="132"/>
      <c r="K215" s="132"/>
    </row>
    <row r="216" spans="2:11" ht="13.5" thickBot="1"/>
    <row r="217" spans="2:11" ht="15.75">
      <c r="D217" s="498" t="s">
        <v>1500</v>
      </c>
      <c r="E217" s="499"/>
      <c r="F217" s="276"/>
    </row>
    <row r="218" spans="2:11" ht="15.75">
      <c r="D218" s="500" t="s">
        <v>1492</v>
      </c>
      <c r="E218" s="501"/>
      <c r="F218" s="276"/>
    </row>
    <row r="219" spans="2:11" ht="15.75">
      <c r="D219" s="502" t="s">
        <v>1494</v>
      </c>
      <c r="E219" s="503"/>
      <c r="F219" s="276"/>
    </row>
    <row r="220" spans="2:11" ht="15.75">
      <c r="D220" s="488" t="s">
        <v>1496</v>
      </c>
      <c r="E220" s="489"/>
      <c r="F220" s="276"/>
    </row>
    <row r="221" spans="2:11" ht="15.75">
      <c r="D221" s="490" t="s">
        <v>1498</v>
      </c>
      <c r="E221" s="491"/>
      <c r="F221" s="276"/>
    </row>
    <row r="222" spans="2:11" ht="15.75">
      <c r="D222" s="492" t="s">
        <v>1499</v>
      </c>
      <c r="E222" s="493"/>
      <c r="F222" s="276"/>
    </row>
  </sheetData>
  <mergeCells count="58">
    <mergeCell ref="A1:H1"/>
    <mergeCell ref="D218:E218"/>
    <mergeCell ref="D219:E219"/>
    <mergeCell ref="D220:E220"/>
    <mergeCell ref="D221:E221"/>
    <mergeCell ref="A189:C189"/>
    <mergeCell ref="A108:C108"/>
    <mergeCell ref="A120:C120"/>
    <mergeCell ref="A149:C149"/>
    <mergeCell ref="A174:C174"/>
    <mergeCell ref="A184:C184"/>
    <mergeCell ref="B140:C140"/>
    <mergeCell ref="B143:C143"/>
    <mergeCell ref="B150:C150"/>
    <mergeCell ref="B175:C175"/>
    <mergeCell ref="B179:C179"/>
    <mergeCell ref="D222:E222"/>
    <mergeCell ref="B193:C193"/>
    <mergeCell ref="B197:C197"/>
    <mergeCell ref="B200:C200"/>
    <mergeCell ref="B215:D215"/>
    <mergeCell ref="D217:E217"/>
    <mergeCell ref="A199:C199"/>
    <mergeCell ref="A202:C202"/>
    <mergeCell ref="B213:D213"/>
    <mergeCell ref="B214:D214"/>
    <mergeCell ref="B182:C182"/>
    <mergeCell ref="B185:C185"/>
    <mergeCell ref="B190:C190"/>
    <mergeCell ref="B210:D210"/>
    <mergeCell ref="B212:D212"/>
    <mergeCell ref="A3:C3"/>
    <mergeCell ref="A9:C9"/>
    <mergeCell ref="A18:C18"/>
    <mergeCell ref="A22:C22"/>
    <mergeCell ref="B4:C4"/>
    <mergeCell ref="B10:C10"/>
    <mergeCell ref="B19:C19"/>
    <mergeCell ref="B23:C23"/>
    <mergeCell ref="B32:C32"/>
    <mergeCell ref="B36:C36"/>
    <mergeCell ref="B46:C46"/>
    <mergeCell ref="A50:C50"/>
    <mergeCell ref="B103:C103"/>
    <mergeCell ref="B118:C118"/>
    <mergeCell ref="B109:C109"/>
    <mergeCell ref="B121:C121"/>
    <mergeCell ref="B51:C51"/>
    <mergeCell ref="B60:C60"/>
    <mergeCell ref="B63:C63"/>
    <mergeCell ref="B67:C67"/>
    <mergeCell ref="B73:C73"/>
    <mergeCell ref="A66:C66"/>
    <mergeCell ref="A72:C72"/>
    <mergeCell ref="A80:C80"/>
    <mergeCell ref="A102:C102"/>
    <mergeCell ref="B81:C81"/>
    <mergeCell ref="B94:C94"/>
  </mergeCells>
  <conditionalFormatting sqref="F3:F29 F31:F202">
    <cfRule type="cellIs" dxfId="49" priority="1" operator="between">
      <formula>0</formula>
      <formula>0.3999</formula>
    </cfRule>
    <cfRule type="cellIs" dxfId="48" priority="2" operator="between">
      <formula>0.3955</formula>
      <formula>0.5949</formula>
    </cfRule>
    <cfRule type="cellIs" dxfId="47" priority="3" operator="between">
      <formula>0.595</formula>
      <formula>0.6949</formula>
    </cfRule>
    <cfRule type="cellIs" dxfId="46" priority="4" operator="between">
      <formula>0.695</formula>
      <formula>0.7949</formula>
    </cfRule>
    <cfRule type="cellIs" dxfId="45" priority="5" operator="between">
      <formula>0.795</formula>
      <formula>1</formula>
    </cfRule>
  </conditionalFormatting>
  <conditionalFormatting sqref="H3:H29">
    <cfRule type="cellIs" dxfId="44" priority="11" operator="between">
      <formula>0</formula>
      <formula>0.3999</formula>
    </cfRule>
    <cfRule type="cellIs" dxfId="43" priority="12" operator="between">
      <formula>0.3955</formula>
      <formula>0.5949</formula>
    </cfRule>
    <cfRule type="cellIs" dxfId="42" priority="13" operator="between">
      <formula>0.595</formula>
      <formula>0.6949</formula>
    </cfRule>
    <cfRule type="cellIs" dxfId="41" priority="14" operator="between">
      <formula>0.695</formula>
      <formula>0.7949</formula>
    </cfRule>
    <cfRule type="cellIs" dxfId="40" priority="15" operator="between">
      <formula>0.795</formula>
      <formula>1</formula>
    </cfRule>
  </conditionalFormatting>
  <conditionalFormatting sqref="H31:H202">
    <cfRule type="cellIs" dxfId="39" priority="21" operator="between">
      <formula>0</formula>
      <formula>0.3999</formula>
    </cfRule>
    <cfRule type="cellIs" dxfId="38" priority="22" operator="between">
      <formula>0.3955</formula>
      <formula>0.5949</formula>
    </cfRule>
    <cfRule type="cellIs" dxfId="37" priority="23" operator="between">
      <formula>0.595</formula>
      <formula>0.6949</formula>
    </cfRule>
    <cfRule type="cellIs" dxfId="36" priority="24" operator="between">
      <formula>0.695</formula>
      <formula>0.7949</formula>
    </cfRule>
    <cfRule type="cellIs" dxfId="35" priority="25" operator="between">
      <formula>0.795</formula>
      <formula>1</formula>
    </cfRule>
  </conditionalFormatting>
  <pageMargins left="0.7" right="0.7" top="0.75" bottom="0.75" header="0.3" footer="0.3"/>
  <pageSetup orientation="portrait"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002060"/>
  </sheetPr>
  <dimension ref="A1:P78"/>
  <sheetViews>
    <sheetView showGridLines="0" topLeftCell="A2" zoomScale="90" zoomScaleNormal="90" workbookViewId="0">
      <selection activeCell="B25" sqref="B25"/>
    </sheetView>
  </sheetViews>
  <sheetFormatPr baseColWidth="10" defaultRowHeight="12.75"/>
  <cols>
    <col min="1" max="1" width="32.140625" style="240" customWidth="1"/>
    <col min="2" max="2" width="21.85546875" style="238" customWidth="1"/>
    <col min="3" max="3" width="10.140625" style="238" customWidth="1"/>
    <col min="4" max="4" width="22.140625" style="238" customWidth="1"/>
    <col min="5" max="5" width="14" style="238" customWidth="1"/>
    <col min="6" max="6" width="21.28515625" style="238" customWidth="1"/>
    <col min="7" max="7" width="12.5703125" style="238" customWidth="1"/>
    <col min="8" max="8" width="21.42578125" style="238" customWidth="1"/>
    <col min="9" max="9" width="15.7109375" style="238" customWidth="1"/>
    <col min="10" max="10" width="22.85546875" style="238" customWidth="1"/>
    <col min="11" max="11" width="11.7109375" style="238" customWidth="1"/>
    <col min="12" max="12" width="23.140625" style="238" customWidth="1"/>
    <col min="13" max="13" width="13.5703125" style="220" customWidth="1"/>
    <col min="14" max="255" width="11.42578125" style="220"/>
    <col min="256" max="256" width="13.28515625" style="220" customWidth="1"/>
    <col min="257" max="257" width="32.140625" style="220" customWidth="1"/>
    <col min="258" max="258" width="20.7109375" style="220" customWidth="1"/>
    <col min="259" max="259" width="10.42578125" style="220" customWidth="1"/>
    <col min="260" max="260" width="18.5703125" style="220" customWidth="1"/>
    <col min="261" max="261" width="11.7109375" style="220" customWidth="1"/>
    <col min="262" max="262" width="19.28515625" style="220" customWidth="1"/>
    <col min="263" max="263" width="10.28515625" style="220" customWidth="1"/>
    <col min="264" max="264" width="19.42578125" style="220" customWidth="1"/>
    <col min="265" max="265" width="10.28515625" style="220" customWidth="1"/>
    <col min="266" max="266" width="19.5703125" style="220" customWidth="1"/>
    <col min="267" max="267" width="10.42578125" style="220" customWidth="1"/>
    <col min="268" max="268" width="21.140625" style="220" customWidth="1"/>
    <col min="269" max="269" width="11.7109375" style="220" customWidth="1"/>
    <col min="270" max="511" width="11.42578125" style="220"/>
    <col min="512" max="512" width="13.28515625" style="220" customWidth="1"/>
    <col min="513" max="513" width="32.140625" style="220" customWidth="1"/>
    <col min="514" max="514" width="20.7109375" style="220" customWidth="1"/>
    <col min="515" max="515" width="10.42578125" style="220" customWidth="1"/>
    <col min="516" max="516" width="18.5703125" style="220" customWidth="1"/>
    <col min="517" max="517" width="11.7109375" style="220" customWidth="1"/>
    <col min="518" max="518" width="19.28515625" style="220" customWidth="1"/>
    <col min="519" max="519" width="10.28515625" style="220" customWidth="1"/>
    <col min="520" max="520" width="19.42578125" style="220" customWidth="1"/>
    <col min="521" max="521" width="10.28515625" style="220" customWidth="1"/>
    <col min="522" max="522" width="19.5703125" style="220" customWidth="1"/>
    <col min="523" max="523" width="10.42578125" style="220" customWidth="1"/>
    <col min="524" max="524" width="21.140625" style="220" customWidth="1"/>
    <col min="525" max="525" width="11.7109375" style="220" customWidth="1"/>
    <col min="526" max="767" width="11.42578125" style="220"/>
    <col min="768" max="768" width="13.28515625" style="220" customWidth="1"/>
    <col min="769" max="769" width="32.140625" style="220" customWidth="1"/>
    <col min="770" max="770" width="20.7109375" style="220" customWidth="1"/>
    <col min="771" max="771" width="10.42578125" style="220" customWidth="1"/>
    <col min="772" max="772" width="18.5703125" style="220" customWidth="1"/>
    <col min="773" max="773" width="11.7109375" style="220" customWidth="1"/>
    <col min="774" max="774" width="19.28515625" style="220" customWidth="1"/>
    <col min="775" max="775" width="10.28515625" style="220" customWidth="1"/>
    <col min="776" max="776" width="19.42578125" style="220" customWidth="1"/>
    <col min="777" max="777" width="10.28515625" style="220" customWidth="1"/>
    <col min="778" max="778" width="19.5703125" style="220" customWidth="1"/>
    <col min="779" max="779" width="10.42578125" style="220" customWidth="1"/>
    <col min="780" max="780" width="21.140625" style="220" customWidth="1"/>
    <col min="781" max="781" width="11.7109375" style="220" customWidth="1"/>
    <col min="782" max="1023" width="11.42578125" style="220"/>
    <col min="1024" max="1024" width="13.28515625" style="220" customWidth="1"/>
    <col min="1025" max="1025" width="32.140625" style="220" customWidth="1"/>
    <col min="1026" max="1026" width="20.7109375" style="220" customWidth="1"/>
    <col min="1027" max="1027" width="10.42578125" style="220" customWidth="1"/>
    <col min="1028" max="1028" width="18.5703125" style="220" customWidth="1"/>
    <col min="1029" max="1029" width="11.7109375" style="220" customWidth="1"/>
    <col min="1030" max="1030" width="19.28515625" style="220" customWidth="1"/>
    <col min="1031" max="1031" width="10.28515625" style="220" customWidth="1"/>
    <col min="1032" max="1032" width="19.42578125" style="220" customWidth="1"/>
    <col min="1033" max="1033" width="10.28515625" style="220" customWidth="1"/>
    <col min="1034" max="1034" width="19.5703125" style="220" customWidth="1"/>
    <col min="1035" max="1035" width="10.42578125" style="220" customWidth="1"/>
    <col min="1036" max="1036" width="21.140625" style="220" customWidth="1"/>
    <col min="1037" max="1037" width="11.7109375" style="220" customWidth="1"/>
    <col min="1038" max="1279" width="11.42578125" style="220"/>
    <col min="1280" max="1280" width="13.28515625" style="220" customWidth="1"/>
    <col min="1281" max="1281" width="32.140625" style="220" customWidth="1"/>
    <col min="1282" max="1282" width="20.7109375" style="220" customWidth="1"/>
    <col min="1283" max="1283" width="10.42578125" style="220" customWidth="1"/>
    <col min="1284" max="1284" width="18.5703125" style="220" customWidth="1"/>
    <col min="1285" max="1285" width="11.7109375" style="220" customWidth="1"/>
    <col min="1286" max="1286" width="19.28515625" style="220" customWidth="1"/>
    <col min="1287" max="1287" width="10.28515625" style="220" customWidth="1"/>
    <col min="1288" max="1288" width="19.42578125" style="220" customWidth="1"/>
    <col min="1289" max="1289" width="10.28515625" style="220" customWidth="1"/>
    <col min="1290" max="1290" width="19.5703125" style="220" customWidth="1"/>
    <col min="1291" max="1291" width="10.42578125" style="220" customWidth="1"/>
    <col min="1292" max="1292" width="21.140625" style="220" customWidth="1"/>
    <col min="1293" max="1293" width="11.7109375" style="220" customWidth="1"/>
    <col min="1294" max="1535" width="11.42578125" style="220"/>
    <col min="1536" max="1536" width="13.28515625" style="220" customWidth="1"/>
    <col min="1537" max="1537" width="32.140625" style="220" customWidth="1"/>
    <col min="1538" max="1538" width="20.7109375" style="220" customWidth="1"/>
    <col min="1539" max="1539" width="10.42578125" style="220" customWidth="1"/>
    <col min="1540" max="1540" width="18.5703125" style="220" customWidth="1"/>
    <col min="1541" max="1541" width="11.7109375" style="220" customWidth="1"/>
    <col min="1542" max="1542" width="19.28515625" style="220" customWidth="1"/>
    <col min="1543" max="1543" width="10.28515625" style="220" customWidth="1"/>
    <col min="1544" max="1544" width="19.42578125" style="220" customWidth="1"/>
    <col min="1545" max="1545" width="10.28515625" style="220" customWidth="1"/>
    <col min="1546" max="1546" width="19.5703125" style="220" customWidth="1"/>
    <col min="1547" max="1547" width="10.42578125" style="220" customWidth="1"/>
    <col min="1548" max="1548" width="21.140625" style="220" customWidth="1"/>
    <col min="1549" max="1549" width="11.7109375" style="220" customWidth="1"/>
    <col min="1550" max="1791" width="11.42578125" style="220"/>
    <col min="1792" max="1792" width="13.28515625" style="220" customWidth="1"/>
    <col min="1793" max="1793" width="32.140625" style="220" customWidth="1"/>
    <col min="1794" max="1794" width="20.7109375" style="220" customWidth="1"/>
    <col min="1795" max="1795" width="10.42578125" style="220" customWidth="1"/>
    <col min="1796" max="1796" width="18.5703125" style="220" customWidth="1"/>
    <col min="1797" max="1797" width="11.7109375" style="220" customWidth="1"/>
    <col min="1798" max="1798" width="19.28515625" style="220" customWidth="1"/>
    <col min="1799" max="1799" width="10.28515625" style="220" customWidth="1"/>
    <col min="1800" max="1800" width="19.42578125" style="220" customWidth="1"/>
    <col min="1801" max="1801" width="10.28515625" style="220" customWidth="1"/>
    <col min="1802" max="1802" width="19.5703125" style="220" customWidth="1"/>
    <col min="1803" max="1803" width="10.42578125" style="220" customWidth="1"/>
    <col min="1804" max="1804" width="21.140625" style="220" customWidth="1"/>
    <col min="1805" max="1805" width="11.7109375" style="220" customWidth="1"/>
    <col min="1806" max="2047" width="11.42578125" style="220"/>
    <col min="2048" max="2048" width="13.28515625" style="220" customWidth="1"/>
    <col min="2049" max="2049" width="32.140625" style="220" customWidth="1"/>
    <col min="2050" max="2050" width="20.7109375" style="220" customWidth="1"/>
    <col min="2051" max="2051" width="10.42578125" style="220" customWidth="1"/>
    <col min="2052" max="2052" width="18.5703125" style="220" customWidth="1"/>
    <col min="2053" max="2053" width="11.7109375" style="220" customWidth="1"/>
    <col min="2054" max="2054" width="19.28515625" style="220" customWidth="1"/>
    <col min="2055" max="2055" width="10.28515625" style="220" customWidth="1"/>
    <col min="2056" max="2056" width="19.42578125" style="220" customWidth="1"/>
    <col min="2057" max="2057" width="10.28515625" style="220" customWidth="1"/>
    <col min="2058" max="2058" width="19.5703125" style="220" customWidth="1"/>
    <col min="2059" max="2059" width="10.42578125" style="220" customWidth="1"/>
    <col min="2060" max="2060" width="21.140625" style="220" customWidth="1"/>
    <col min="2061" max="2061" width="11.7109375" style="220" customWidth="1"/>
    <col min="2062" max="2303" width="11.42578125" style="220"/>
    <col min="2304" max="2304" width="13.28515625" style="220" customWidth="1"/>
    <col min="2305" max="2305" width="32.140625" style="220" customWidth="1"/>
    <col min="2306" max="2306" width="20.7109375" style="220" customWidth="1"/>
    <col min="2307" max="2307" width="10.42578125" style="220" customWidth="1"/>
    <col min="2308" max="2308" width="18.5703125" style="220" customWidth="1"/>
    <col min="2309" max="2309" width="11.7109375" style="220" customWidth="1"/>
    <col min="2310" max="2310" width="19.28515625" style="220" customWidth="1"/>
    <col min="2311" max="2311" width="10.28515625" style="220" customWidth="1"/>
    <col min="2312" max="2312" width="19.42578125" style="220" customWidth="1"/>
    <col min="2313" max="2313" width="10.28515625" style="220" customWidth="1"/>
    <col min="2314" max="2314" width="19.5703125" style="220" customWidth="1"/>
    <col min="2315" max="2315" width="10.42578125" style="220" customWidth="1"/>
    <col min="2316" max="2316" width="21.140625" style="220" customWidth="1"/>
    <col min="2317" max="2317" width="11.7109375" style="220" customWidth="1"/>
    <col min="2318" max="2559" width="11.42578125" style="220"/>
    <col min="2560" max="2560" width="13.28515625" style="220" customWidth="1"/>
    <col min="2561" max="2561" width="32.140625" style="220" customWidth="1"/>
    <col min="2562" max="2562" width="20.7109375" style="220" customWidth="1"/>
    <col min="2563" max="2563" width="10.42578125" style="220" customWidth="1"/>
    <col min="2564" max="2564" width="18.5703125" style="220" customWidth="1"/>
    <col min="2565" max="2565" width="11.7109375" style="220" customWidth="1"/>
    <col min="2566" max="2566" width="19.28515625" style="220" customWidth="1"/>
    <col min="2567" max="2567" width="10.28515625" style="220" customWidth="1"/>
    <col min="2568" max="2568" width="19.42578125" style="220" customWidth="1"/>
    <col min="2569" max="2569" width="10.28515625" style="220" customWidth="1"/>
    <col min="2570" max="2570" width="19.5703125" style="220" customWidth="1"/>
    <col min="2571" max="2571" width="10.42578125" style="220" customWidth="1"/>
    <col min="2572" max="2572" width="21.140625" style="220" customWidth="1"/>
    <col min="2573" max="2573" width="11.7109375" style="220" customWidth="1"/>
    <col min="2574" max="2815" width="11.42578125" style="220"/>
    <col min="2816" max="2816" width="13.28515625" style="220" customWidth="1"/>
    <col min="2817" max="2817" width="32.140625" style="220" customWidth="1"/>
    <col min="2818" max="2818" width="20.7109375" style="220" customWidth="1"/>
    <col min="2819" max="2819" width="10.42578125" style="220" customWidth="1"/>
    <col min="2820" max="2820" width="18.5703125" style="220" customWidth="1"/>
    <col min="2821" max="2821" width="11.7109375" style="220" customWidth="1"/>
    <col min="2822" max="2822" width="19.28515625" style="220" customWidth="1"/>
    <col min="2823" max="2823" width="10.28515625" style="220" customWidth="1"/>
    <col min="2824" max="2824" width="19.42578125" style="220" customWidth="1"/>
    <col min="2825" max="2825" width="10.28515625" style="220" customWidth="1"/>
    <col min="2826" max="2826" width="19.5703125" style="220" customWidth="1"/>
    <col min="2827" max="2827" width="10.42578125" style="220" customWidth="1"/>
    <col min="2828" max="2828" width="21.140625" style="220" customWidth="1"/>
    <col min="2829" max="2829" width="11.7109375" style="220" customWidth="1"/>
    <col min="2830" max="3071" width="11.42578125" style="220"/>
    <col min="3072" max="3072" width="13.28515625" style="220" customWidth="1"/>
    <col min="3073" max="3073" width="32.140625" style="220" customWidth="1"/>
    <col min="3074" max="3074" width="20.7109375" style="220" customWidth="1"/>
    <col min="3075" max="3075" width="10.42578125" style="220" customWidth="1"/>
    <col min="3076" max="3076" width="18.5703125" style="220" customWidth="1"/>
    <col min="3077" max="3077" width="11.7109375" style="220" customWidth="1"/>
    <col min="3078" max="3078" width="19.28515625" style="220" customWidth="1"/>
    <col min="3079" max="3079" width="10.28515625" style="220" customWidth="1"/>
    <col min="3080" max="3080" width="19.42578125" style="220" customWidth="1"/>
    <col min="3081" max="3081" width="10.28515625" style="220" customWidth="1"/>
    <col min="3082" max="3082" width="19.5703125" style="220" customWidth="1"/>
    <col min="3083" max="3083" width="10.42578125" style="220" customWidth="1"/>
    <col min="3084" max="3084" width="21.140625" style="220" customWidth="1"/>
    <col min="3085" max="3085" width="11.7109375" style="220" customWidth="1"/>
    <col min="3086" max="3327" width="11.42578125" style="220"/>
    <col min="3328" max="3328" width="13.28515625" style="220" customWidth="1"/>
    <col min="3329" max="3329" width="32.140625" style="220" customWidth="1"/>
    <col min="3330" max="3330" width="20.7109375" style="220" customWidth="1"/>
    <col min="3331" max="3331" width="10.42578125" style="220" customWidth="1"/>
    <col min="3332" max="3332" width="18.5703125" style="220" customWidth="1"/>
    <col min="3333" max="3333" width="11.7109375" style="220" customWidth="1"/>
    <col min="3334" max="3334" width="19.28515625" style="220" customWidth="1"/>
    <col min="3335" max="3335" width="10.28515625" style="220" customWidth="1"/>
    <col min="3336" max="3336" width="19.42578125" style="220" customWidth="1"/>
    <col min="3337" max="3337" width="10.28515625" style="220" customWidth="1"/>
    <col min="3338" max="3338" width="19.5703125" style="220" customWidth="1"/>
    <col min="3339" max="3339" width="10.42578125" style="220" customWidth="1"/>
    <col min="3340" max="3340" width="21.140625" style="220" customWidth="1"/>
    <col min="3341" max="3341" width="11.7109375" style="220" customWidth="1"/>
    <col min="3342" max="3583" width="11.42578125" style="220"/>
    <col min="3584" max="3584" width="13.28515625" style="220" customWidth="1"/>
    <col min="3585" max="3585" width="32.140625" style="220" customWidth="1"/>
    <col min="3586" max="3586" width="20.7109375" style="220" customWidth="1"/>
    <col min="3587" max="3587" width="10.42578125" style="220" customWidth="1"/>
    <col min="3588" max="3588" width="18.5703125" style="220" customWidth="1"/>
    <col min="3589" max="3589" width="11.7109375" style="220" customWidth="1"/>
    <col min="3590" max="3590" width="19.28515625" style="220" customWidth="1"/>
    <col min="3591" max="3591" width="10.28515625" style="220" customWidth="1"/>
    <col min="3592" max="3592" width="19.42578125" style="220" customWidth="1"/>
    <col min="3593" max="3593" width="10.28515625" style="220" customWidth="1"/>
    <col min="3594" max="3594" width="19.5703125" style="220" customWidth="1"/>
    <col min="3595" max="3595" width="10.42578125" style="220" customWidth="1"/>
    <col min="3596" max="3596" width="21.140625" style="220" customWidth="1"/>
    <col min="3597" max="3597" width="11.7109375" style="220" customWidth="1"/>
    <col min="3598" max="3839" width="11.42578125" style="220"/>
    <col min="3840" max="3840" width="13.28515625" style="220" customWidth="1"/>
    <col min="3841" max="3841" width="32.140625" style="220" customWidth="1"/>
    <col min="3842" max="3842" width="20.7109375" style="220" customWidth="1"/>
    <col min="3843" max="3843" width="10.42578125" style="220" customWidth="1"/>
    <col min="3844" max="3844" width="18.5703125" style="220" customWidth="1"/>
    <col min="3845" max="3845" width="11.7109375" style="220" customWidth="1"/>
    <col min="3846" max="3846" width="19.28515625" style="220" customWidth="1"/>
    <col min="3847" max="3847" width="10.28515625" style="220" customWidth="1"/>
    <col min="3848" max="3848" width="19.42578125" style="220" customWidth="1"/>
    <col min="3849" max="3849" width="10.28515625" style="220" customWidth="1"/>
    <col min="3850" max="3850" width="19.5703125" style="220" customWidth="1"/>
    <col min="3851" max="3851" width="10.42578125" style="220" customWidth="1"/>
    <col min="3852" max="3852" width="21.140625" style="220" customWidth="1"/>
    <col min="3853" max="3853" width="11.7109375" style="220" customWidth="1"/>
    <col min="3854" max="4095" width="11.42578125" style="220"/>
    <col min="4096" max="4096" width="13.28515625" style="220" customWidth="1"/>
    <col min="4097" max="4097" width="32.140625" style="220" customWidth="1"/>
    <col min="4098" max="4098" width="20.7109375" style="220" customWidth="1"/>
    <col min="4099" max="4099" width="10.42578125" style="220" customWidth="1"/>
    <col min="4100" max="4100" width="18.5703125" style="220" customWidth="1"/>
    <col min="4101" max="4101" width="11.7109375" style="220" customWidth="1"/>
    <col min="4102" max="4102" width="19.28515625" style="220" customWidth="1"/>
    <col min="4103" max="4103" width="10.28515625" style="220" customWidth="1"/>
    <col min="4104" max="4104" width="19.42578125" style="220" customWidth="1"/>
    <col min="4105" max="4105" width="10.28515625" style="220" customWidth="1"/>
    <col min="4106" max="4106" width="19.5703125" style="220" customWidth="1"/>
    <col min="4107" max="4107" width="10.42578125" style="220" customWidth="1"/>
    <col min="4108" max="4108" width="21.140625" style="220" customWidth="1"/>
    <col min="4109" max="4109" width="11.7109375" style="220" customWidth="1"/>
    <col min="4110" max="4351" width="11.42578125" style="220"/>
    <col min="4352" max="4352" width="13.28515625" style="220" customWidth="1"/>
    <col min="4353" max="4353" width="32.140625" style="220" customWidth="1"/>
    <col min="4354" max="4354" width="20.7109375" style="220" customWidth="1"/>
    <col min="4355" max="4355" width="10.42578125" style="220" customWidth="1"/>
    <col min="4356" max="4356" width="18.5703125" style="220" customWidth="1"/>
    <col min="4357" max="4357" width="11.7109375" style="220" customWidth="1"/>
    <col min="4358" max="4358" width="19.28515625" style="220" customWidth="1"/>
    <col min="4359" max="4359" width="10.28515625" style="220" customWidth="1"/>
    <col min="4360" max="4360" width="19.42578125" style="220" customWidth="1"/>
    <col min="4361" max="4361" width="10.28515625" style="220" customWidth="1"/>
    <col min="4362" max="4362" width="19.5703125" style="220" customWidth="1"/>
    <col min="4363" max="4363" width="10.42578125" style="220" customWidth="1"/>
    <col min="4364" max="4364" width="21.140625" style="220" customWidth="1"/>
    <col min="4365" max="4365" width="11.7109375" style="220" customWidth="1"/>
    <col min="4366" max="4607" width="11.42578125" style="220"/>
    <col min="4608" max="4608" width="13.28515625" style="220" customWidth="1"/>
    <col min="4609" max="4609" width="32.140625" style="220" customWidth="1"/>
    <col min="4610" max="4610" width="20.7109375" style="220" customWidth="1"/>
    <col min="4611" max="4611" width="10.42578125" style="220" customWidth="1"/>
    <col min="4612" max="4612" width="18.5703125" style="220" customWidth="1"/>
    <col min="4613" max="4613" width="11.7109375" style="220" customWidth="1"/>
    <col min="4614" max="4614" width="19.28515625" style="220" customWidth="1"/>
    <col min="4615" max="4615" width="10.28515625" style="220" customWidth="1"/>
    <col min="4616" max="4616" width="19.42578125" style="220" customWidth="1"/>
    <col min="4617" max="4617" width="10.28515625" style="220" customWidth="1"/>
    <col min="4618" max="4618" width="19.5703125" style="220" customWidth="1"/>
    <col min="4619" max="4619" width="10.42578125" style="220" customWidth="1"/>
    <col min="4620" max="4620" width="21.140625" style="220" customWidth="1"/>
    <col min="4621" max="4621" width="11.7109375" style="220" customWidth="1"/>
    <col min="4622" max="4863" width="11.42578125" style="220"/>
    <col min="4864" max="4864" width="13.28515625" style="220" customWidth="1"/>
    <col min="4865" max="4865" width="32.140625" style="220" customWidth="1"/>
    <col min="4866" max="4866" width="20.7109375" style="220" customWidth="1"/>
    <col min="4867" max="4867" width="10.42578125" style="220" customWidth="1"/>
    <col min="4868" max="4868" width="18.5703125" style="220" customWidth="1"/>
    <col min="4869" max="4869" width="11.7109375" style="220" customWidth="1"/>
    <col min="4870" max="4870" width="19.28515625" style="220" customWidth="1"/>
    <col min="4871" max="4871" width="10.28515625" style="220" customWidth="1"/>
    <col min="4872" max="4872" width="19.42578125" style="220" customWidth="1"/>
    <col min="4873" max="4873" width="10.28515625" style="220" customWidth="1"/>
    <col min="4874" max="4874" width="19.5703125" style="220" customWidth="1"/>
    <col min="4875" max="4875" width="10.42578125" style="220" customWidth="1"/>
    <col min="4876" max="4876" width="21.140625" style="220" customWidth="1"/>
    <col min="4877" max="4877" width="11.7109375" style="220" customWidth="1"/>
    <col min="4878" max="5119" width="11.42578125" style="220"/>
    <col min="5120" max="5120" width="13.28515625" style="220" customWidth="1"/>
    <col min="5121" max="5121" width="32.140625" style="220" customWidth="1"/>
    <col min="5122" max="5122" width="20.7109375" style="220" customWidth="1"/>
    <col min="5123" max="5123" width="10.42578125" style="220" customWidth="1"/>
    <col min="5124" max="5124" width="18.5703125" style="220" customWidth="1"/>
    <col min="5125" max="5125" width="11.7109375" style="220" customWidth="1"/>
    <col min="5126" max="5126" width="19.28515625" style="220" customWidth="1"/>
    <col min="5127" max="5127" width="10.28515625" style="220" customWidth="1"/>
    <col min="5128" max="5128" width="19.42578125" style="220" customWidth="1"/>
    <col min="5129" max="5129" width="10.28515625" style="220" customWidth="1"/>
    <col min="5130" max="5130" width="19.5703125" style="220" customWidth="1"/>
    <col min="5131" max="5131" width="10.42578125" style="220" customWidth="1"/>
    <col min="5132" max="5132" width="21.140625" style="220" customWidth="1"/>
    <col min="5133" max="5133" width="11.7109375" style="220" customWidth="1"/>
    <col min="5134" max="5375" width="11.42578125" style="220"/>
    <col min="5376" max="5376" width="13.28515625" style="220" customWidth="1"/>
    <col min="5377" max="5377" width="32.140625" style="220" customWidth="1"/>
    <col min="5378" max="5378" width="20.7109375" style="220" customWidth="1"/>
    <col min="5379" max="5379" width="10.42578125" style="220" customWidth="1"/>
    <col min="5380" max="5380" width="18.5703125" style="220" customWidth="1"/>
    <col min="5381" max="5381" width="11.7109375" style="220" customWidth="1"/>
    <col min="5382" max="5382" width="19.28515625" style="220" customWidth="1"/>
    <col min="5383" max="5383" width="10.28515625" style="220" customWidth="1"/>
    <col min="5384" max="5384" width="19.42578125" style="220" customWidth="1"/>
    <col min="5385" max="5385" width="10.28515625" style="220" customWidth="1"/>
    <col min="5386" max="5386" width="19.5703125" style="220" customWidth="1"/>
    <col min="5387" max="5387" width="10.42578125" style="220" customWidth="1"/>
    <col min="5388" max="5388" width="21.140625" style="220" customWidth="1"/>
    <col min="5389" max="5389" width="11.7109375" style="220" customWidth="1"/>
    <col min="5390" max="5631" width="11.42578125" style="220"/>
    <col min="5632" max="5632" width="13.28515625" style="220" customWidth="1"/>
    <col min="5633" max="5633" width="32.140625" style="220" customWidth="1"/>
    <col min="5634" max="5634" width="20.7109375" style="220" customWidth="1"/>
    <col min="5635" max="5635" width="10.42578125" style="220" customWidth="1"/>
    <col min="5636" max="5636" width="18.5703125" style="220" customWidth="1"/>
    <col min="5637" max="5637" width="11.7109375" style="220" customWidth="1"/>
    <col min="5638" max="5638" width="19.28515625" style="220" customWidth="1"/>
    <col min="5639" max="5639" width="10.28515625" style="220" customWidth="1"/>
    <col min="5640" max="5640" width="19.42578125" style="220" customWidth="1"/>
    <col min="5641" max="5641" width="10.28515625" style="220" customWidth="1"/>
    <col min="5642" max="5642" width="19.5703125" style="220" customWidth="1"/>
    <col min="5643" max="5643" width="10.42578125" style="220" customWidth="1"/>
    <col min="5644" max="5644" width="21.140625" style="220" customWidth="1"/>
    <col min="5645" max="5645" width="11.7109375" style="220" customWidth="1"/>
    <col min="5646" max="5887" width="11.42578125" style="220"/>
    <col min="5888" max="5888" width="13.28515625" style="220" customWidth="1"/>
    <col min="5889" max="5889" width="32.140625" style="220" customWidth="1"/>
    <col min="5890" max="5890" width="20.7109375" style="220" customWidth="1"/>
    <col min="5891" max="5891" width="10.42578125" style="220" customWidth="1"/>
    <col min="5892" max="5892" width="18.5703125" style="220" customWidth="1"/>
    <col min="5893" max="5893" width="11.7109375" style="220" customWidth="1"/>
    <col min="5894" max="5894" width="19.28515625" style="220" customWidth="1"/>
    <col min="5895" max="5895" width="10.28515625" style="220" customWidth="1"/>
    <col min="5896" max="5896" width="19.42578125" style="220" customWidth="1"/>
    <col min="5897" max="5897" width="10.28515625" style="220" customWidth="1"/>
    <col min="5898" max="5898" width="19.5703125" style="220" customWidth="1"/>
    <col min="5899" max="5899" width="10.42578125" style="220" customWidth="1"/>
    <col min="5900" max="5900" width="21.140625" style="220" customWidth="1"/>
    <col min="5901" max="5901" width="11.7109375" style="220" customWidth="1"/>
    <col min="5902" max="6143" width="11.42578125" style="220"/>
    <col min="6144" max="6144" width="13.28515625" style="220" customWidth="1"/>
    <col min="6145" max="6145" width="32.140625" style="220" customWidth="1"/>
    <col min="6146" max="6146" width="20.7109375" style="220" customWidth="1"/>
    <col min="6147" max="6147" width="10.42578125" style="220" customWidth="1"/>
    <col min="6148" max="6148" width="18.5703125" style="220" customWidth="1"/>
    <col min="6149" max="6149" width="11.7109375" style="220" customWidth="1"/>
    <col min="6150" max="6150" width="19.28515625" style="220" customWidth="1"/>
    <col min="6151" max="6151" width="10.28515625" style="220" customWidth="1"/>
    <col min="6152" max="6152" width="19.42578125" style="220" customWidth="1"/>
    <col min="6153" max="6153" width="10.28515625" style="220" customWidth="1"/>
    <col min="6154" max="6154" width="19.5703125" style="220" customWidth="1"/>
    <col min="6155" max="6155" width="10.42578125" style="220" customWidth="1"/>
    <col min="6156" max="6156" width="21.140625" style="220" customWidth="1"/>
    <col min="6157" max="6157" width="11.7109375" style="220" customWidth="1"/>
    <col min="6158" max="6399" width="11.42578125" style="220"/>
    <col min="6400" max="6400" width="13.28515625" style="220" customWidth="1"/>
    <col min="6401" max="6401" width="32.140625" style="220" customWidth="1"/>
    <col min="6402" max="6402" width="20.7109375" style="220" customWidth="1"/>
    <col min="6403" max="6403" width="10.42578125" style="220" customWidth="1"/>
    <col min="6404" max="6404" width="18.5703125" style="220" customWidth="1"/>
    <col min="6405" max="6405" width="11.7109375" style="220" customWidth="1"/>
    <col min="6406" max="6406" width="19.28515625" style="220" customWidth="1"/>
    <col min="6407" max="6407" width="10.28515625" style="220" customWidth="1"/>
    <col min="6408" max="6408" width="19.42578125" style="220" customWidth="1"/>
    <col min="6409" max="6409" width="10.28515625" style="220" customWidth="1"/>
    <col min="6410" max="6410" width="19.5703125" style="220" customWidth="1"/>
    <col min="6411" max="6411" width="10.42578125" style="220" customWidth="1"/>
    <col min="6412" max="6412" width="21.140625" style="220" customWidth="1"/>
    <col min="6413" max="6413" width="11.7109375" style="220" customWidth="1"/>
    <col min="6414" max="6655" width="11.42578125" style="220"/>
    <col min="6656" max="6656" width="13.28515625" style="220" customWidth="1"/>
    <col min="6657" max="6657" width="32.140625" style="220" customWidth="1"/>
    <col min="6658" max="6658" width="20.7109375" style="220" customWidth="1"/>
    <col min="6659" max="6659" width="10.42578125" style="220" customWidth="1"/>
    <col min="6660" max="6660" width="18.5703125" style="220" customWidth="1"/>
    <col min="6661" max="6661" width="11.7109375" style="220" customWidth="1"/>
    <col min="6662" max="6662" width="19.28515625" style="220" customWidth="1"/>
    <col min="6663" max="6663" width="10.28515625" style="220" customWidth="1"/>
    <col min="6664" max="6664" width="19.42578125" style="220" customWidth="1"/>
    <col min="6665" max="6665" width="10.28515625" style="220" customWidth="1"/>
    <col min="6666" max="6666" width="19.5703125" style="220" customWidth="1"/>
    <col min="6667" max="6667" width="10.42578125" style="220" customWidth="1"/>
    <col min="6668" max="6668" width="21.140625" style="220" customWidth="1"/>
    <col min="6669" max="6669" width="11.7109375" style="220" customWidth="1"/>
    <col min="6670" max="6911" width="11.42578125" style="220"/>
    <col min="6912" max="6912" width="13.28515625" style="220" customWidth="1"/>
    <col min="6913" max="6913" width="32.140625" style="220" customWidth="1"/>
    <col min="6914" max="6914" width="20.7109375" style="220" customWidth="1"/>
    <col min="6915" max="6915" width="10.42578125" style="220" customWidth="1"/>
    <col min="6916" max="6916" width="18.5703125" style="220" customWidth="1"/>
    <col min="6917" max="6917" width="11.7109375" style="220" customWidth="1"/>
    <col min="6918" max="6918" width="19.28515625" style="220" customWidth="1"/>
    <col min="6919" max="6919" width="10.28515625" style="220" customWidth="1"/>
    <col min="6920" max="6920" width="19.42578125" style="220" customWidth="1"/>
    <col min="6921" max="6921" width="10.28515625" style="220" customWidth="1"/>
    <col min="6922" max="6922" width="19.5703125" style="220" customWidth="1"/>
    <col min="6923" max="6923" width="10.42578125" style="220" customWidth="1"/>
    <col min="6924" max="6924" width="21.140625" style="220" customWidth="1"/>
    <col min="6925" max="6925" width="11.7109375" style="220" customWidth="1"/>
    <col min="6926" max="7167" width="11.42578125" style="220"/>
    <col min="7168" max="7168" width="13.28515625" style="220" customWidth="1"/>
    <col min="7169" max="7169" width="32.140625" style="220" customWidth="1"/>
    <col min="7170" max="7170" width="20.7109375" style="220" customWidth="1"/>
    <col min="7171" max="7171" width="10.42578125" style="220" customWidth="1"/>
    <col min="7172" max="7172" width="18.5703125" style="220" customWidth="1"/>
    <col min="7173" max="7173" width="11.7109375" style="220" customWidth="1"/>
    <col min="7174" max="7174" width="19.28515625" style="220" customWidth="1"/>
    <col min="7175" max="7175" width="10.28515625" style="220" customWidth="1"/>
    <col min="7176" max="7176" width="19.42578125" style="220" customWidth="1"/>
    <col min="7177" max="7177" width="10.28515625" style="220" customWidth="1"/>
    <col min="7178" max="7178" width="19.5703125" style="220" customWidth="1"/>
    <col min="7179" max="7179" width="10.42578125" style="220" customWidth="1"/>
    <col min="7180" max="7180" width="21.140625" style="220" customWidth="1"/>
    <col min="7181" max="7181" width="11.7109375" style="220" customWidth="1"/>
    <col min="7182" max="7423" width="11.42578125" style="220"/>
    <col min="7424" max="7424" width="13.28515625" style="220" customWidth="1"/>
    <col min="7425" max="7425" width="32.140625" style="220" customWidth="1"/>
    <col min="7426" max="7426" width="20.7109375" style="220" customWidth="1"/>
    <col min="7427" max="7427" width="10.42578125" style="220" customWidth="1"/>
    <col min="7428" max="7428" width="18.5703125" style="220" customWidth="1"/>
    <col min="7429" max="7429" width="11.7109375" style="220" customWidth="1"/>
    <col min="7430" max="7430" width="19.28515625" style="220" customWidth="1"/>
    <col min="7431" max="7431" width="10.28515625" style="220" customWidth="1"/>
    <col min="7432" max="7432" width="19.42578125" style="220" customWidth="1"/>
    <col min="7433" max="7433" width="10.28515625" style="220" customWidth="1"/>
    <col min="7434" max="7434" width="19.5703125" style="220" customWidth="1"/>
    <col min="7435" max="7435" width="10.42578125" style="220" customWidth="1"/>
    <col min="7436" max="7436" width="21.140625" style="220" customWidth="1"/>
    <col min="7437" max="7437" width="11.7109375" style="220" customWidth="1"/>
    <col min="7438" max="7679" width="11.42578125" style="220"/>
    <col min="7680" max="7680" width="13.28515625" style="220" customWidth="1"/>
    <col min="7681" max="7681" width="32.140625" style="220" customWidth="1"/>
    <col min="7682" max="7682" width="20.7109375" style="220" customWidth="1"/>
    <col min="7683" max="7683" width="10.42578125" style="220" customWidth="1"/>
    <col min="7684" max="7684" width="18.5703125" style="220" customWidth="1"/>
    <col min="7685" max="7685" width="11.7109375" style="220" customWidth="1"/>
    <col min="7686" max="7686" width="19.28515625" style="220" customWidth="1"/>
    <col min="7687" max="7687" width="10.28515625" style="220" customWidth="1"/>
    <col min="7688" max="7688" width="19.42578125" style="220" customWidth="1"/>
    <col min="7689" max="7689" width="10.28515625" style="220" customWidth="1"/>
    <col min="7690" max="7690" width="19.5703125" style="220" customWidth="1"/>
    <col min="7691" max="7691" width="10.42578125" style="220" customWidth="1"/>
    <col min="7692" max="7692" width="21.140625" style="220" customWidth="1"/>
    <col min="7693" max="7693" width="11.7109375" style="220" customWidth="1"/>
    <col min="7694" max="7935" width="11.42578125" style="220"/>
    <col min="7936" max="7936" width="13.28515625" style="220" customWidth="1"/>
    <col min="7937" max="7937" width="32.140625" style="220" customWidth="1"/>
    <col min="7938" max="7938" width="20.7109375" style="220" customWidth="1"/>
    <col min="7939" max="7939" width="10.42578125" style="220" customWidth="1"/>
    <col min="7940" max="7940" width="18.5703125" style="220" customWidth="1"/>
    <col min="7941" max="7941" width="11.7109375" style="220" customWidth="1"/>
    <col min="7942" max="7942" width="19.28515625" style="220" customWidth="1"/>
    <col min="7943" max="7943" width="10.28515625" style="220" customWidth="1"/>
    <col min="7944" max="7944" width="19.42578125" style="220" customWidth="1"/>
    <col min="7945" max="7945" width="10.28515625" style="220" customWidth="1"/>
    <col min="7946" max="7946" width="19.5703125" style="220" customWidth="1"/>
    <col min="7947" max="7947" width="10.42578125" style="220" customWidth="1"/>
    <col min="7948" max="7948" width="21.140625" style="220" customWidth="1"/>
    <col min="7949" max="7949" width="11.7109375" style="220" customWidth="1"/>
    <col min="7950" max="8191" width="11.42578125" style="220"/>
    <col min="8192" max="8192" width="13.28515625" style="220" customWidth="1"/>
    <col min="8193" max="8193" width="32.140625" style="220" customWidth="1"/>
    <col min="8194" max="8194" width="20.7109375" style="220" customWidth="1"/>
    <col min="8195" max="8195" width="10.42578125" style="220" customWidth="1"/>
    <col min="8196" max="8196" width="18.5703125" style="220" customWidth="1"/>
    <col min="8197" max="8197" width="11.7109375" style="220" customWidth="1"/>
    <col min="8198" max="8198" width="19.28515625" style="220" customWidth="1"/>
    <col min="8199" max="8199" width="10.28515625" style="220" customWidth="1"/>
    <col min="8200" max="8200" width="19.42578125" style="220" customWidth="1"/>
    <col min="8201" max="8201" width="10.28515625" style="220" customWidth="1"/>
    <col min="8202" max="8202" width="19.5703125" style="220" customWidth="1"/>
    <col min="8203" max="8203" width="10.42578125" style="220" customWidth="1"/>
    <col min="8204" max="8204" width="21.140625" style="220" customWidth="1"/>
    <col min="8205" max="8205" width="11.7109375" style="220" customWidth="1"/>
    <col min="8206" max="8447" width="11.42578125" style="220"/>
    <col min="8448" max="8448" width="13.28515625" style="220" customWidth="1"/>
    <col min="8449" max="8449" width="32.140625" style="220" customWidth="1"/>
    <col min="8450" max="8450" width="20.7109375" style="220" customWidth="1"/>
    <col min="8451" max="8451" width="10.42578125" style="220" customWidth="1"/>
    <col min="8452" max="8452" width="18.5703125" style="220" customWidth="1"/>
    <col min="8453" max="8453" width="11.7109375" style="220" customWidth="1"/>
    <col min="8454" max="8454" width="19.28515625" style="220" customWidth="1"/>
    <col min="8455" max="8455" width="10.28515625" style="220" customWidth="1"/>
    <col min="8456" max="8456" width="19.42578125" style="220" customWidth="1"/>
    <col min="8457" max="8457" width="10.28515625" style="220" customWidth="1"/>
    <col min="8458" max="8458" width="19.5703125" style="220" customWidth="1"/>
    <col min="8459" max="8459" width="10.42578125" style="220" customWidth="1"/>
    <col min="8460" max="8460" width="21.140625" style="220" customWidth="1"/>
    <col min="8461" max="8461" width="11.7109375" style="220" customWidth="1"/>
    <col min="8462" max="8703" width="11.42578125" style="220"/>
    <col min="8704" max="8704" width="13.28515625" style="220" customWidth="1"/>
    <col min="8705" max="8705" width="32.140625" style="220" customWidth="1"/>
    <col min="8706" max="8706" width="20.7109375" style="220" customWidth="1"/>
    <col min="8707" max="8707" width="10.42578125" style="220" customWidth="1"/>
    <col min="8708" max="8708" width="18.5703125" style="220" customWidth="1"/>
    <col min="8709" max="8709" width="11.7109375" style="220" customWidth="1"/>
    <col min="8710" max="8710" width="19.28515625" style="220" customWidth="1"/>
    <col min="8711" max="8711" width="10.28515625" style="220" customWidth="1"/>
    <col min="8712" max="8712" width="19.42578125" style="220" customWidth="1"/>
    <col min="8713" max="8713" width="10.28515625" style="220" customWidth="1"/>
    <col min="8714" max="8714" width="19.5703125" style="220" customWidth="1"/>
    <col min="8715" max="8715" width="10.42578125" style="220" customWidth="1"/>
    <col min="8716" max="8716" width="21.140625" style="220" customWidth="1"/>
    <col min="8717" max="8717" width="11.7109375" style="220" customWidth="1"/>
    <col min="8718" max="8959" width="11.42578125" style="220"/>
    <col min="8960" max="8960" width="13.28515625" style="220" customWidth="1"/>
    <col min="8961" max="8961" width="32.140625" style="220" customWidth="1"/>
    <col min="8962" max="8962" width="20.7109375" style="220" customWidth="1"/>
    <col min="8963" max="8963" width="10.42578125" style="220" customWidth="1"/>
    <col min="8964" max="8964" width="18.5703125" style="220" customWidth="1"/>
    <col min="8965" max="8965" width="11.7109375" style="220" customWidth="1"/>
    <col min="8966" max="8966" width="19.28515625" style="220" customWidth="1"/>
    <col min="8967" max="8967" width="10.28515625" style="220" customWidth="1"/>
    <col min="8968" max="8968" width="19.42578125" style="220" customWidth="1"/>
    <col min="8969" max="8969" width="10.28515625" style="220" customWidth="1"/>
    <col min="8970" max="8970" width="19.5703125" style="220" customWidth="1"/>
    <col min="8971" max="8971" width="10.42578125" style="220" customWidth="1"/>
    <col min="8972" max="8972" width="21.140625" style="220" customWidth="1"/>
    <col min="8973" max="8973" width="11.7109375" style="220" customWidth="1"/>
    <col min="8974" max="9215" width="11.42578125" style="220"/>
    <col min="9216" max="9216" width="13.28515625" style="220" customWidth="1"/>
    <col min="9217" max="9217" width="32.140625" style="220" customWidth="1"/>
    <col min="9218" max="9218" width="20.7109375" style="220" customWidth="1"/>
    <col min="9219" max="9219" width="10.42578125" style="220" customWidth="1"/>
    <col min="9220" max="9220" width="18.5703125" style="220" customWidth="1"/>
    <col min="9221" max="9221" width="11.7109375" style="220" customWidth="1"/>
    <col min="9222" max="9222" width="19.28515625" style="220" customWidth="1"/>
    <col min="9223" max="9223" width="10.28515625" style="220" customWidth="1"/>
    <col min="9224" max="9224" width="19.42578125" style="220" customWidth="1"/>
    <col min="9225" max="9225" width="10.28515625" style="220" customWidth="1"/>
    <col min="9226" max="9226" width="19.5703125" style="220" customWidth="1"/>
    <col min="9227" max="9227" width="10.42578125" style="220" customWidth="1"/>
    <col min="9228" max="9228" width="21.140625" style="220" customWidth="1"/>
    <col min="9229" max="9229" width="11.7109375" style="220" customWidth="1"/>
    <col min="9230" max="9471" width="11.42578125" style="220"/>
    <col min="9472" max="9472" width="13.28515625" style="220" customWidth="1"/>
    <col min="9473" max="9473" width="32.140625" style="220" customWidth="1"/>
    <col min="9474" max="9474" width="20.7109375" style="220" customWidth="1"/>
    <col min="9475" max="9475" width="10.42578125" style="220" customWidth="1"/>
    <col min="9476" max="9476" width="18.5703125" style="220" customWidth="1"/>
    <col min="9477" max="9477" width="11.7109375" style="220" customWidth="1"/>
    <col min="9478" max="9478" width="19.28515625" style="220" customWidth="1"/>
    <col min="9479" max="9479" width="10.28515625" style="220" customWidth="1"/>
    <col min="9480" max="9480" width="19.42578125" style="220" customWidth="1"/>
    <col min="9481" max="9481" width="10.28515625" style="220" customWidth="1"/>
    <col min="9482" max="9482" width="19.5703125" style="220" customWidth="1"/>
    <col min="9483" max="9483" width="10.42578125" style="220" customWidth="1"/>
    <col min="9484" max="9484" width="21.140625" style="220" customWidth="1"/>
    <col min="9485" max="9485" width="11.7109375" style="220" customWidth="1"/>
    <col min="9486" max="9727" width="11.42578125" style="220"/>
    <col min="9728" max="9728" width="13.28515625" style="220" customWidth="1"/>
    <col min="9729" max="9729" width="32.140625" style="220" customWidth="1"/>
    <col min="9730" max="9730" width="20.7109375" style="220" customWidth="1"/>
    <col min="9731" max="9731" width="10.42578125" style="220" customWidth="1"/>
    <col min="9732" max="9732" width="18.5703125" style="220" customWidth="1"/>
    <col min="9733" max="9733" width="11.7109375" style="220" customWidth="1"/>
    <col min="9734" max="9734" width="19.28515625" style="220" customWidth="1"/>
    <col min="9735" max="9735" width="10.28515625" style="220" customWidth="1"/>
    <col min="9736" max="9736" width="19.42578125" style="220" customWidth="1"/>
    <col min="9737" max="9737" width="10.28515625" style="220" customWidth="1"/>
    <col min="9738" max="9738" width="19.5703125" style="220" customWidth="1"/>
    <col min="9739" max="9739" width="10.42578125" style="220" customWidth="1"/>
    <col min="9740" max="9740" width="21.140625" style="220" customWidth="1"/>
    <col min="9741" max="9741" width="11.7109375" style="220" customWidth="1"/>
    <col min="9742" max="9983" width="11.42578125" style="220"/>
    <col min="9984" max="9984" width="13.28515625" style="220" customWidth="1"/>
    <col min="9985" max="9985" width="32.140625" style="220" customWidth="1"/>
    <col min="9986" max="9986" width="20.7109375" style="220" customWidth="1"/>
    <col min="9987" max="9987" width="10.42578125" style="220" customWidth="1"/>
    <col min="9988" max="9988" width="18.5703125" style="220" customWidth="1"/>
    <col min="9989" max="9989" width="11.7109375" style="220" customWidth="1"/>
    <col min="9990" max="9990" width="19.28515625" style="220" customWidth="1"/>
    <col min="9991" max="9991" width="10.28515625" style="220" customWidth="1"/>
    <col min="9992" max="9992" width="19.42578125" style="220" customWidth="1"/>
    <col min="9993" max="9993" width="10.28515625" style="220" customWidth="1"/>
    <col min="9994" max="9994" width="19.5703125" style="220" customWidth="1"/>
    <col min="9995" max="9995" width="10.42578125" style="220" customWidth="1"/>
    <col min="9996" max="9996" width="21.140625" style="220" customWidth="1"/>
    <col min="9997" max="9997" width="11.7109375" style="220" customWidth="1"/>
    <col min="9998" max="10239" width="11.42578125" style="220"/>
    <col min="10240" max="10240" width="13.28515625" style="220" customWidth="1"/>
    <col min="10241" max="10241" width="32.140625" style="220" customWidth="1"/>
    <col min="10242" max="10242" width="20.7109375" style="220" customWidth="1"/>
    <col min="10243" max="10243" width="10.42578125" style="220" customWidth="1"/>
    <col min="10244" max="10244" width="18.5703125" style="220" customWidth="1"/>
    <col min="10245" max="10245" width="11.7109375" style="220" customWidth="1"/>
    <col min="10246" max="10246" width="19.28515625" style="220" customWidth="1"/>
    <col min="10247" max="10247" width="10.28515625" style="220" customWidth="1"/>
    <col min="10248" max="10248" width="19.42578125" style="220" customWidth="1"/>
    <col min="10249" max="10249" width="10.28515625" style="220" customWidth="1"/>
    <col min="10250" max="10250" width="19.5703125" style="220" customWidth="1"/>
    <col min="10251" max="10251" width="10.42578125" style="220" customWidth="1"/>
    <col min="10252" max="10252" width="21.140625" style="220" customWidth="1"/>
    <col min="10253" max="10253" width="11.7109375" style="220" customWidth="1"/>
    <col min="10254" max="10495" width="11.42578125" style="220"/>
    <col min="10496" max="10496" width="13.28515625" style="220" customWidth="1"/>
    <col min="10497" max="10497" width="32.140625" style="220" customWidth="1"/>
    <col min="10498" max="10498" width="20.7109375" style="220" customWidth="1"/>
    <col min="10499" max="10499" width="10.42578125" style="220" customWidth="1"/>
    <col min="10500" max="10500" width="18.5703125" style="220" customWidth="1"/>
    <col min="10501" max="10501" width="11.7109375" style="220" customWidth="1"/>
    <col min="10502" max="10502" width="19.28515625" style="220" customWidth="1"/>
    <col min="10503" max="10503" width="10.28515625" style="220" customWidth="1"/>
    <col min="10504" max="10504" width="19.42578125" style="220" customWidth="1"/>
    <col min="10505" max="10505" width="10.28515625" style="220" customWidth="1"/>
    <col min="10506" max="10506" width="19.5703125" style="220" customWidth="1"/>
    <col min="10507" max="10507" width="10.42578125" style="220" customWidth="1"/>
    <col min="10508" max="10508" width="21.140625" style="220" customWidth="1"/>
    <col min="10509" max="10509" width="11.7109375" style="220" customWidth="1"/>
    <col min="10510" max="10751" width="11.42578125" style="220"/>
    <col min="10752" max="10752" width="13.28515625" style="220" customWidth="1"/>
    <col min="10753" max="10753" width="32.140625" style="220" customWidth="1"/>
    <col min="10754" max="10754" width="20.7109375" style="220" customWidth="1"/>
    <col min="10755" max="10755" width="10.42578125" style="220" customWidth="1"/>
    <col min="10756" max="10756" width="18.5703125" style="220" customWidth="1"/>
    <col min="10757" max="10757" width="11.7109375" style="220" customWidth="1"/>
    <col min="10758" max="10758" width="19.28515625" style="220" customWidth="1"/>
    <col min="10759" max="10759" width="10.28515625" style="220" customWidth="1"/>
    <col min="10760" max="10760" width="19.42578125" style="220" customWidth="1"/>
    <col min="10761" max="10761" width="10.28515625" style="220" customWidth="1"/>
    <col min="10762" max="10762" width="19.5703125" style="220" customWidth="1"/>
    <col min="10763" max="10763" width="10.42578125" style="220" customWidth="1"/>
    <col min="10764" max="10764" width="21.140625" style="220" customWidth="1"/>
    <col min="10765" max="10765" width="11.7109375" style="220" customWidth="1"/>
    <col min="10766" max="11007" width="11.42578125" style="220"/>
    <col min="11008" max="11008" width="13.28515625" style="220" customWidth="1"/>
    <col min="11009" max="11009" width="32.140625" style="220" customWidth="1"/>
    <col min="11010" max="11010" width="20.7109375" style="220" customWidth="1"/>
    <col min="11011" max="11011" width="10.42578125" style="220" customWidth="1"/>
    <col min="11012" max="11012" width="18.5703125" style="220" customWidth="1"/>
    <col min="11013" max="11013" width="11.7109375" style="220" customWidth="1"/>
    <col min="11014" max="11014" width="19.28515625" style="220" customWidth="1"/>
    <col min="11015" max="11015" width="10.28515625" style="220" customWidth="1"/>
    <col min="11016" max="11016" width="19.42578125" style="220" customWidth="1"/>
    <col min="11017" max="11017" width="10.28515625" style="220" customWidth="1"/>
    <col min="11018" max="11018" width="19.5703125" style="220" customWidth="1"/>
    <col min="11019" max="11019" width="10.42578125" style="220" customWidth="1"/>
    <col min="11020" max="11020" width="21.140625" style="220" customWidth="1"/>
    <col min="11021" max="11021" width="11.7109375" style="220" customWidth="1"/>
    <col min="11022" max="11263" width="11.42578125" style="220"/>
    <col min="11264" max="11264" width="13.28515625" style="220" customWidth="1"/>
    <col min="11265" max="11265" width="32.140625" style="220" customWidth="1"/>
    <col min="11266" max="11266" width="20.7109375" style="220" customWidth="1"/>
    <col min="11267" max="11267" width="10.42578125" style="220" customWidth="1"/>
    <col min="11268" max="11268" width="18.5703125" style="220" customWidth="1"/>
    <col min="11269" max="11269" width="11.7109375" style="220" customWidth="1"/>
    <col min="11270" max="11270" width="19.28515625" style="220" customWidth="1"/>
    <col min="11271" max="11271" width="10.28515625" style="220" customWidth="1"/>
    <col min="11272" max="11272" width="19.42578125" style="220" customWidth="1"/>
    <col min="11273" max="11273" width="10.28515625" style="220" customWidth="1"/>
    <col min="11274" max="11274" width="19.5703125" style="220" customWidth="1"/>
    <col min="11275" max="11275" width="10.42578125" style="220" customWidth="1"/>
    <col min="11276" max="11276" width="21.140625" style="220" customWidth="1"/>
    <col min="11277" max="11277" width="11.7109375" style="220" customWidth="1"/>
    <col min="11278" max="11519" width="11.42578125" style="220"/>
    <col min="11520" max="11520" width="13.28515625" style="220" customWidth="1"/>
    <col min="11521" max="11521" width="32.140625" style="220" customWidth="1"/>
    <col min="11522" max="11522" width="20.7109375" style="220" customWidth="1"/>
    <col min="11523" max="11523" width="10.42578125" style="220" customWidth="1"/>
    <col min="11524" max="11524" width="18.5703125" style="220" customWidth="1"/>
    <col min="11525" max="11525" width="11.7109375" style="220" customWidth="1"/>
    <col min="11526" max="11526" width="19.28515625" style="220" customWidth="1"/>
    <col min="11527" max="11527" width="10.28515625" style="220" customWidth="1"/>
    <col min="11528" max="11528" width="19.42578125" style="220" customWidth="1"/>
    <col min="11529" max="11529" width="10.28515625" style="220" customWidth="1"/>
    <col min="11530" max="11530" width="19.5703125" style="220" customWidth="1"/>
    <col min="11531" max="11531" width="10.42578125" style="220" customWidth="1"/>
    <col min="11532" max="11532" width="21.140625" style="220" customWidth="1"/>
    <col min="11533" max="11533" width="11.7109375" style="220" customWidth="1"/>
    <col min="11534" max="11775" width="11.42578125" style="220"/>
    <col min="11776" max="11776" width="13.28515625" style="220" customWidth="1"/>
    <col min="11777" max="11777" width="32.140625" style="220" customWidth="1"/>
    <col min="11778" max="11778" width="20.7109375" style="220" customWidth="1"/>
    <col min="11779" max="11779" width="10.42578125" style="220" customWidth="1"/>
    <col min="11780" max="11780" width="18.5703125" style="220" customWidth="1"/>
    <col min="11781" max="11781" width="11.7109375" style="220" customWidth="1"/>
    <col min="11782" max="11782" width="19.28515625" style="220" customWidth="1"/>
    <col min="11783" max="11783" width="10.28515625" style="220" customWidth="1"/>
    <col min="11784" max="11784" width="19.42578125" style="220" customWidth="1"/>
    <col min="11785" max="11785" width="10.28515625" style="220" customWidth="1"/>
    <col min="11786" max="11786" width="19.5703125" style="220" customWidth="1"/>
    <col min="11787" max="11787" width="10.42578125" style="220" customWidth="1"/>
    <col min="11788" max="11788" width="21.140625" style="220" customWidth="1"/>
    <col min="11789" max="11789" width="11.7109375" style="220" customWidth="1"/>
    <col min="11790" max="12031" width="11.42578125" style="220"/>
    <col min="12032" max="12032" width="13.28515625" style="220" customWidth="1"/>
    <col min="12033" max="12033" width="32.140625" style="220" customWidth="1"/>
    <col min="12034" max="12034" width="20.7109375" style="220" customWidth="1"/>
    <col min="12035" max="12035" width="10.42578125" style="220" customWidth="1"/>
    <col min="12036" max="12036" width="18.5703125" style="220" customWidth="1"/>
    <col min="12037" max="12037" width="11.7109375" style="220" customWidth="1"/>
    <col min="12038" max="12038" width="19.28515625" style="220" customWidth="1"/>
    <col min="12039" max="12039" width="10.28515625" style="220" customWidth="1"/>
    <col min="12040" max="12040" width="19.42578125" style="220" customWidth="1"/>
    <col min="12041" max="12041" width="10.28515625" style="220" customWidth="1"/>
    <col min="12042" max="12042" width="19.5703125" style="220" customWidth="1"/>
    <col min="12043" max="12043" width="10.42578125" style="220" customWidth="1"/>
    <col min="12044" max="12044" width="21.140625" style="220" customWidth="1"/>
    <col min="12045" max="12045" width="11.7109375" style="220" customWidth="1"/>
    <col min="12046" max="12287" width="11.42578125" style="220"/>
    <col min="12288" max="12288" width="13.28515625" style="220" customWidth="1"/>
    <col min="12289" max="12289" width="32.140625" style="220" customWidth="1"/>
    <col min="12290" max="12290" width="20.7109375" style="220" customWidth="1"/>
    <col min="12291" max="12291" width="10.42578125" style="220" customWidth="1"/>
    <col min="12292" max="12292" width="18.5703125" style="220" customWidth="1"/>
    <col min="12293" max="12293" width="11.7109375" style="220" customWidth="1"/>
    <col min="12294" max="12294" width="19.28515625" style="220" customWidth="1"/>
    <col min="12295" max="12295" width="10.28515625" style="220" customWidth="1"/>
    <col min="12296" max="12296" width="19.42578125" style="220" customWidth="1"/>
    <col min="12297" max="12297" width="10.28515625" style="220" customWidth="1"/>
    <col min="12298" max="12298" width="19.5703125" style="220" customWidth="1"/>
    <col min="12299" max="12299" width="10.42578125" style="220" customWidth="1"/>
    <col min="12300" max="12300" width="21.140625" style="220" customWidth="1"/>
    <col min="12301" max="12301" width="11.7109375" style="220" customWidth="1"/>
    <col min="12302" max="12543" width="11.42578125" style="220"/>
    <col min="12544" max="12544" width="13.28515625" style="220" customWidth="1"/>
    <col min="12545" max="12545" width="32.140625" style="220" customWidth="1"/>
    <col min="12546" max="12546" width="20.7109375" style="220" customWidth="1"/>
    <col min="12547" max="12547" width="10.42578125" style="220" customWidth="1"/>
    <col min="12548" max="12548" width="18.5703125" style="220" customWidth="1"/>
    <col min="12549" max="12549" width="11.7109375" style="220" customWidth="1"/>
    <col min="12550" max="12550" width="19.28515625" style="220" customWidth="1"/>
    <col min="12551" max="12551" width="10.28515625" style="220" customWidth="1"/>
    <col min="12552" max="12552" width="19.42578125" style="220" customWidth="1"/>
    <col min="12553" max="12553" width="10.28515625" style="220" customWidth="1"/>
    <col min="12554" max="12554" width="19.5703125" style="220" customWidth="1"/>
    <col min="12555" max="12555" width="10.42578125" style="220" customWidth="1"/>
    <col min="12556" max="12556" width="21.140625" style="220" customWidth="1"/>
    <col min="12557" max="12557" width="11.7109375" style="220" customWidth="1"/>
    <col min="12558" max="12799" width="11.42578125" style="220"/>
    <col min="12800" max="12800" width="13.28515625" style="220" customWidth="1"/>
    <col min="12801" max="12801" width="32.140625" style="220" customWidth="1"/>
    <col min="12802" max="12802" width="20.7109375" style="220" customWidth="1"/>
    <col min="12803" max="12803" width="10.42578125" style="220" customWidth="1"/>
    <col min="12804" max="12804" width="18.5703125" style="220" customWidth="1"/>
    <col min="12805" max="12805" width="11.7109375" style="220" customWidth="1"/>
    <col min="12806" max="12806" width="19.28515625" style="220" customWidth="1"/>
    <col min="12807" max="12807" width="10.28515625" style="220" customWidth="1"/>
    <col min="12808" max="12808" width="19.42578125" style="220" customWidth="1"/>
    <col min="12809" max="12809" width="10.28515625" style="220" customWidth="1"/>
    <col min="12810" max="12810" width="19.5703125" style="220" customWidth="1"/>
    <col min="12811" max="12811" width="10.42578125" style="220" customWidth="1"/>
    <col min="12812" max="12812" width="21.140625" style="220" customWidth="1"/>
    <col min="12813" max="12813" width="11.7109375" style="220" customWidth="1"/>
    <col min="12814" max="13055" width="11.42578125" style="220"/>
    <col min="13056" max="13056" width="13.28515625" style="220" customWidth="1"/>
    <col min="13057" max="13057" width="32.140625" style="220" customWidth="1"/>
    <col min="13058" max="13058" width="20.7109375" style="220" customWidth="1"/>
    <col min="13059" max="13059" width="10.42578125" style="220" customWidth="1"/>
    <col min="13060" max="13060" width="18.5703125" style="220" customWidth="1"/>
    <col min="13061" max="13061" width="11.7109375" style="220" customWidth="1"/>
    <col min="13062" max="13062" width="19.28515625" style="220" customWidth="1"/>
    <col min="13063" max="13063" width="10.28515625" style="220" customWidth="1"/>
    <col min="13064" max="13064" width="19.42578125" style="220" customWidth="1"/>
    <col min="13065" max="13065" width="10.28515625" style="220" customWidth="1"/>
    <col min="13066" max="13066" width="19.5703125" style="220" customWidth="1"/>
    <col min="13067" max="13067" width="10.42578125" style="220" customWidth="1"/>
    <col min="13068" max="13068" width="21.140625" style="220" customWidth="1"/>
    <col min="13069" max="13069" width="11.7109375" style="220" customWidth="1"/>
    <col min="13070" max="13311" width="11.42578125" style="220"/>
    <col min="13312" max="13312" width="13.28515625" style="220" customWidth="1"/>
    <col min="13313" max="13313" width="32.140625" style="220" customWidth="1"/>
    <col min="13314" max="13314" width="20.7109375" style="220" customWidth="1"/>
    <col min="13315" max="13315" width="10.42578125" style="220" customWidth="1"/>
    <col min="13316" max="13316" width="18.5703125" style="220" customWidth="1"/>
    <col min="13317" max="13317" width="11.7109375" style="220" customWidth="1"/>
    <col min="13318" max="13318" width="19.28515625" style="220" customWidth="1"/>
    <col min="13319" max="13319" width="10.28515625" style="220" customWidth="1"/>
    <col min="13320" max="13320" width="19.42578125" style="220" customWidth="1"/>
    <col min="13321" max="13321" width="10.28515625" style="220" customWidth="1"/>
    <col min="13322" max="13322" width="19.5703125" style="220" customWidth="1"/>
    <col min="13323" max="13323" width="10.42578125" style="220" customWidth="1"/>
    <col min="13324" max="13324" width="21.140625" style="220" customWidth="1"/>
    <col min="13325" max="13325" width="11.7109375" style="220" customWidth="1"/>
    <col min="13326" max="13567" width="11.42578125" style="220"/>
    <col min="13568" max="13568" width="13.28515625" style="220" customWidth="1"/>
    <col min="13569" max="13569" width="32.140625" style="220" customWidth="1"/>
    <col min="13570" max="13570" width="20.7109375" style="220" customWidth="1"/>
    <col min="13571" max="13571" width="10.42578125" style="220" customWidth="1"/>
    <col min="13572" max="13572" width="18.5703125" style="220" customWidth="1"/>
    <col min="13573" max="13573" width="11.7109375" style="220" customWidth="1"/>
    <col min="13574" max="13574" width="19.28515625" style="220" customWidth="1"/>
    <col min="13575" max="13575" width="10.28515625" style="220" customWidth="1"/>
    <col min="13576" max="13576" width="19.42578125" style="220" customWidth="1"/>
    <col min="13577" max="13577" width="10.28515625" style="220" customWidth="1"/>
    <col min="13578" max="13578" width="19.5703125" style="220" customWidth="1"/>
    <col min="13579" max="13579" width="10.42578125" style="220" customWidth="1"/>
    <col min="13580" max="13580" width="21.140625" style="220" customWidth="1"/>
    <col min="13581" max="13581" width="11.7109375" style="220" customWidth="1"/>
    <col min="13582" max="13823" width="11.42578125" style="220"/>
    <col min="13824" max="13824" width="13.28515625" style="220" customWidth="1"/>
    <col min="13825" max="13825" width="32.140625" style="220" customWidth="1"/>
    <col min="13826" max="13826" width="20.7109375" style="220" customWidth="1"/>
    <col min="13827" max="13827" width="10.42578125" style="220" customWidth="1"/>
    <col min="13828" max="13828" width="18.5703125" style="220" customWidth="1"/>
    <col min="13829" max="13829" width="11.7109375" style="220" customWidth="1"/>
    <col min="13830" max="13830" width="19.28515625" style="220" customWidth="1"/>
    <col min="13831" max="13831" width="10.28515625" style="220" customWidth="1"/>
    <col min="13832" max="13832" width="19.42578125" style="220" customWidth="1"/>
    <col min="13833" max="13833" width="10.28515625" style="220" customWidth="1"/>
    <col min="13834" max="13834" width="19.5703125" style="220" customWidth="1"/>
    <col min="13835" max="13835" width="10.42578125" style="220" customWidth="1"/>
    <col min="13836" max="13836" width="21.140625" style="220" customWidth="1"/>
    <col min="13837" max="13837" width="11.7109375" style="220" customWidth="1"/>
    <col min="13838" max="14079" width="11.42578125" style="220"/>
    <col min="14080" max="14080" width="13.28515625" style="220" customWidth="1"/>
    <col min="14081" max="14081" width="32.140625" style="220" customWidth="1"/>
    <col min="14082" max="14082" width="20.7109375" style="220" customWidth="1"/>
    <col min="14083" max="14083" width="10.42578125" style="220" customWidth="1"/>
    <col min="14084" max="14084" width="18.5703125" style="220" customWidth="1"/>
    <col min="14085" max="14085" width="11.7109375" style="220" customWidth="1"/>
    <col min="14086" max="14086" width="19.28515625" style="220" customWidth="1"/>
    <col min="14087" max="14087" width="10.28515625" style="220" customWidth="1"/>
    <col min="14088" max="14088" width="19.42578125" style="220" customWidth="1"/>
    <col min="14089" max="14089" width="10.28515625" style="220" customWidth="1"/>
    <col min="14090" max="14090" width="19.5703125" style="220" customWidth="1"/>
    <col min="14091" max="14091" width="10.42578125" style="220" customWidth="1"/>
    <col min="14092" max="14092" width="21.140625" style="220" customWidth="1"/>
    <col min="14093" max="14093" width="11.7109375" style="220" customWidth="1"/>
    <col min="14094" max="14335" width="11.42578125" style="220"/>
    <col min="14336" max="14336" width="13.28515625" style="220" customWidth="1"/>
    <col min="14337" max="14337" width="32.140625" style="220" customWidth="1"/>
    <col min="14338" max="14338" width="20.7109375" style="220" customWidth="1"/>
    <col min="14339" max="14339" width="10.42578125" style="220" customWidth="1"/>
    <col min="14340" max="14340" width="18.5703125" style="220" customWidth="1"/>
    <col min="14341" max="14341" width="11.7109375" style="220" customWidth="1"/>
    <col min="14342" max="14342" width="19.28515625" style="220" customWidth="1"/>
    <col min="14343" max="14343" width="10.28515625" style="220" customWidth="1"/>
    <col min="14344" max="14344" width="19.42578125" style="220" customWidth="1"/>
    <col min="14345" max="14345" width="10.28515625" style="220" customWidth="1"/>
    <col min="14346" max="14346" width="19.5703125" style="220" customWidth="1"/>
    <col min="14347" max="14347" width="10.42578125" style="220" customWidth="1"/>
    <col min="14348" max="14348" width="21.140625" style="220" customWidth="1"/>
    <col min="14349" max="14349" width="11.7109375" style="220" customWidth="1"/>
    <col min="14350" max="14591" width="11.42578125" style="220"/>
    <col min="14592" max="14592" width="13.28515625" style="220" customWidth="1"/>
    <col min="14593" max="14593" width="32.140625" style="220" customWidth="1"/>
    <col min="14594" max="14594" width="20.7109375" style="220" customWidth="1"/>
    <col min="14595" max="14595" width="10.42578125" style="220" customWidth="1"/>
    <col min="14596" max="14596" width="18.5703125" style="220" customWidth="1"/>
    <col min="14597" max="14597" width="11.7109375" style="220" customWidth="1"/>
    <col min="14598" max="14598" width="19.28515625" style="220" customWidth="1"/>
    <col min="14599" max="14599" width="10.28515625" style="220" customWidth="1"/>
    <col min="14600" max="14600" width="19.42578125" style="220" customWidth="1"/>
    <col min="14601" max="14601" width="10.28515625" style="220" customWidth="1"/>
    <col min="14602" max="14602" width="19.5703125" style="220" customWidth="1"/>
    <col min="14603" max="14603" width="10.42578125" style="220" customWidth="1"/>
    <col min="14604" max="14604" width="21.140625" style="220" customWidth="1"/>
    <col min="14605" max="14605" width="11.7109375" style="220" customWidth="1"/>
    <col min="14606" max="14847" width="11.42578125" style="220"/>
    <col min="14848" max="14848" width="13.28515625" style="220" customWidth="1"/>
    <col min="14849" max="14849" width="32.140625" style="220" customWidth="1"/>
    <col min="14850" max="14850" width="20.7109375" style="220" customWidth="1"/>
    <col min="14851" max="14851" width="10.42578125" style="220" customWidth="1"/>
    <col min="14852" max="14852" width="18.5703125" style="220" customWidth="1"/>
    <col min="14853" max="14853" width="11.7109375" style="220" customWidth="1"/>
    <col min="14854" max="14854" width="19.28515625" style="220" customWidth="1"/>
    <col min="14855" max="14855" width="10.28515625" style="220" customWidth="1"/>
    <col min="14856" max="14856" width="19.42578125" style="220" customWidth="1"/>
    <col min="14857" max="14857" width="10.28515625" style="220" customWidth="1"/>
    <col min="14858" max="14858" width="19.5703125" style="220" customWidth="1"/>
    <col min="14859" max="14859" width="10.42578125" style="220" customWidth="1"/>
    <col min="14860" max="14860" width="21.140625" style="220" customWidth="1"/>
    <col min="14861" max="14861" width="11.7109375" style="220" customWidth="1"/>
    <col min="14862" max="15103" width="11.42578125" style="220"/>
    <col min="15104" max="15104" width="13.28515625" style="220" customWidth="1"/>
    <col min="15105" max="15105" width="32.140625" style="220" customWidth="1"/>
    <col min="15106" max="15106" width="20.7109375" style="220" customWidth="1"/>
    <col min="15107" max="15107" width="10.42578125" style="220" customWidth="1"/>
    <col min="15108" max="15108" width="18.5703125" style="220" customWidth="1"/>
    <col min="15109" max="15109" width="11.7109375" style="220" customWidth="1"/>
    <col min="15110" max="15110" width="19.28515625" style="220" customWidth="1"/>
    <col min="15111" max="15111" width="10.28515625" style="220" customWidth="1"/>
    <col min="15112" max="15112" width="19.42578125" style="220" customWidth="1"/>
    <col min="15113" max="15113" width="10.28515625" style="220" customWidth="1"/>
    <col min="15114" max="15114" width="19.5703125" style="220" customWidth="1"/>
    <col min="15115" max="15115" width="10.42578125" style="220" customWidth="1"/>
    <col min="15116" max="15116" width="21.140625" style="220" customWidth="1"/>
    <col min="15117" max="15117" width="11.7109375" style="220" customWidth="1"/>
    <col min="15118" max="15359" width="11.42578125" style="220"/>
    <col min="15360" max="15360" width="13.28515625" style="220" customWidth="1"/>
    <col min="15361" max="15361" width="32.140625" style="220" customWidth="1"/>
    <col min="15362" max="15362" width="20.7109375" style="220" customWidth="1"/>
    <col min="15363" max="15363" width="10.42578125" style="220" customWidth="1"/>
    <col min="15364" max="15364" width="18.5703125" style="220" customWidth="1"/>
    <col min="15365" max="15365" width="11.7109375" style="220" customWidth="1"/>
    <col min="15366" max="15366" width="19.28515625" style="220" customWidth="1"/>
    <col min="15367" max="15367" width="10.28515625" style="220" customWidth="1"/>
    <col min="15368" max="15368" width="19.42578125" style="220" customWidth="1"/>
    <col min="15369" max="15369" width="10.28515625" style="220" customWidth="1"/>
    <col min="15370" max="15370" width="19.5703125" style="220" customWidth="1"/>
    <col min="15371" max="15371" width="10.42578125" style="220" customWidth="1"/>
    <col min="15372" max="15372" width="21.140625" style="220" customWidth="1"/>
    <col min="15373" max="15373" width="11.7109375" style="220" customWidth="1"/>
    <col min="15374" max="15615" width="11.42578125" style="220"/>
    <col min="15616" max="15616" width="13.28515625" style="220" customWidth="1"/>
    <col min="15617" max="15617" width="32.140625" style="220" customWidth="1"/>
    <col min="15618" max="15618" width="20.7109375" style="220" customWidth="1"/>
    <col min="15619" max="15619" width="10.42578125" style="220" customWidth="1"/>
    <col min="15620" max="15620" width="18.5703125" style="220" customWidth="1"/>
    <col min="15621" max="15621" width="11.7109375" style="220" customWidth="1"/>
    <col min="15622" max="15622" width="19.28515625" style="220" customWidth="1"/>
    <col min="15623" max="15623" width="10.28515625" style="220" customWidth="1"/>
    <col min="15624" max="15624" width="19.42578125" style="220" customWidth="1"/>
    <col min="15625" max="15625" width="10.28515625" style="220" customWidth="1"/>
    <col min="15626" max="15626" width="19.5703125" style="220" customWidth="1"/>
    <col min="15627" max="15627" width="10.42578125" style="220" customWidth="1"/>
    <col min="15628" max="15628" width="21.140625" style="220" customWidth="1"/>
    <col min="15629" max="15629" width="11.7109375" style="220" customWidth="1"/>
    <col min="15630" max="15871" width="11.42578125" style="220"/>
    <col min="15872" max="15872" width="13.28515625" style="220" customWidth="1"/>
    <col min="15873" max="15873" width="32.140625" style="220" customWidth="1"/>
    <col min="15874" max="15874" width="20.7109375" style="220" customWidth="1"/>
    <col min="15875" max="15875" width="10.42578125" style="220" customWidth="1"/>
    <col min="15876" max="15876" width="18.5703125" style="220" customWidth="1"/>
    <col min="15877" max="15877" width="11.7109375" style="220" customWidth="1"/>
    <col min="15878" max="15878" width="19.28515625" style="220" customWidth="1"/>
    <col min="15879" max="15879" width="10.28515625" style="220" customWidth="1"/>
    <col min="15880" max="15880" width="19.42578125" style="220" customWidth="1"/>
    <col min="15881" max="15881" width="10.28515625" style="220" customWidth="1"/>
    <col min="15882" max="15882" width="19.5703125" style="220" customWidth="1"/>
    <col min="15883" max="15883" width="10.42578125" style="220" customWidth="1"/>
    <col min="15884" max="15884" width="21.140625" style="220" customWidth="1"/>
    <col min="15885" max="15885" width="11.7109375" style="220" customWidth="1"/>
    <col min="15886" max="16127" width="11.42578125" style="220"/>
    <col min="16128" max="16128" width="13.28515625" style="220" customWidth="1"/>
    <col min="16129" max="16129" width="32.140625" style="220" customWidth="1"/>
    <col min="16130" max="16130" width="20.7109375" style="220" customWidth="1"/>
    <col min="16131" max="16131" width="10.42578125" style="220" customWidth="1"/>
    <col min="16132" max="16132" width="18.5703125" style="220" customWidth="1"/>
    <col min="16133" max="16133" width="11.7109375" style="220" customWidth="1"/>
    <col min="16134" max="16134" width="19.28515625" style="220" customWidth="1"/>
    <col min="16135" max="16135" width="10.28515625" style="220" customWidth="1"/>
    <col min="16136" max="16136" width="19.42578125" style="220" customWidth="1"/>
    <col min="16137" max="16137" width="10.28515625" style="220" customWidth="1"/>
    <col min="16138" max="16138" width="19.5703125" style="220" customWidth="1"/>
    <col min="16139" max="16139" width="10.42578125" style="220" customWidth="1"/>
    <col min="16140" max="16140" width="21.140625" style="220" customWidth="1"/>
    <col min="16141" max="16141" width="11.7109375" style="220" customWidth="1"/>
    <col min="16142" max="16384" width="11.42578125" style="220"/>
  </cols>
  <sheetData>
    <row r="1" spans="1:13" ht="67.5" hidden="1" customHeight="1">
      <c r="A1" s="538" t="s">
        <v>1503</v>
      </c>
      <c r="B1" s="538"/>
      <c r="C1" s="538"/>
      <c r="D1" s="538"/>
      <c r="E1" s="538"/>
      <c r="F1" s="538"/>
      <c r="G1" s="538"/>
      <c r="H1" s="538"/>
      <c r="I1" s="538"/>
      <c r="J1" s="538"/>
      <c r="K1" s="538"/>
      <c r="L1" s="538"/>
      <c r="M1" s="539"/>
    </row>
    <row r="2" spans="1:13" ht="44.25" customHeight="1">
      <c r="A2" s="262" t="s">
        <v>22</v>
      </c>
      <c r="B2" s="263" t="s">
        <v>1504</v>
      </c>
      <c r="C2" s="263" t="s">
        <v>1501</v>
      </c>
      <c r="D2" s="263" t="s">
        <v>1470</v>
      </c>
      <c r="E2" s="263" t="s">
        <v>1471</v>
      </c>
      <c r="F2" s="263" t="s">
        <v>1461</v>
      </c>
      <c r="G2" s="263" t="s">
        <v>1472</v>
      </c>
      <c r="H2" s="263" t="s">
        <v>1473</v>
      </c>
      <c r="I2" s="263" t="s">
        <v>1474</v>
      </c>
      <c r="J2" s="263" t="s">
        <v>1475</v>
      </c>
      <c r="K2" s="263" t="s">
        <v>1476</v>
      </c>
      <c r="L2" s="264" t="s">
        <v>1477</v>
      </c>
      <c r="M2" s="263" t="s">
        <v>1478</v>
      </c>
    </row>
    <row r="3" spans="1:13" s="228" customFormat="1">
      <c r="A3" s="221" t="s">
        <v>1479</v>
      </c>
      <c r="B3" s="224">
        <f>'RELACIÓN PROYECTOS'!D3</f>
        <v>14299509202</v>
      </c>
      <c r="C3" s="223">
        <f>B3/B3</f>
        <v>1</v>
      </c>
      <c r="D3" s="224">
        <v>13534645895</v>
      </c>
      <c r="E3" s="325">
        <f>D3/B3</f>
        <v>0.94651121963731299</v>
      </c>
      <c r="F3" s="224">
        <f>'RELACIÓN PROYECTOS'!E3</f>
        <v>9790017963</v>
      </c>
      <c r="G3" s="321">
        <f>F3/B3</f>
        <v>0.68464013867208251</v>
      </c>
      <c r="H3" s="225">
        <f>'RELACIÓN PROYECTOS'!G3</f>
        <v>9790017963</v>
      </c>
      <c r="I3" s="321">
        <f>H3/B3</f>
        <v>0.68464013867208251</v>
      </c>
      <c r="J3" s="226">
        <f t="shared" ref="J3:J10" si="0">H3</f>
        <v>9790017963</v>
      </c>
      <c r="K3" s="331">
        <f>J3/B3</f>
        <v>0.68464013867208251</v>
      </c>
      <c r="L3" s="227">
        <f t="shared" ref="L3:L15" si="1">B3-D3</f>
        <v>764863307</v>
      </c>
      <c r="M3" s="329">
        <f>L3/B3</f>
        <v>5.3488780362687026E-2</v>
      </c>
    </row>
    <row r="4" spans="1:13" s="228" customFormat="1">
      <c r="A4" s="221" t="s">
        <v>1410</v>
      </c>
      <c r="B4" s="224">
        <f>'RELACIÓN PROYECTOS'!D9</f>
        <v>1457064026</v>
      </c>
      <c r="C4" s="223">
        <f t="shared" ref="C4:C22" si="2">B4/B4</f>
        <v>1</v>
      </c>
      <c r="D4" s="224">
        <v>1375445758</v>
      </c>
      <c r="E4" s="325">
        <f t="shared" ref="E4:E15" si="3">D4/B4</f>
        <v>0.9439844327060477</v>
      </c>
      <c r="F4" s="224">
        <f>'RELACIÓN PROYECTOS'!E9</f>
        <v>1280251070</v>
      </c>
      <c r="G4" s="321">
        <f t="shared" ref="G4:G16" si="4">F4/B4</f>
        <v>0.87865121034839133</v>
      </c>
      <c r="H4" s="225">
        <f>'RELACIÓN PROYECTOS'!G9</f>
        <v>1280251070</v>
      </c>
      <c r="I4" s="321">
        <f t="shared" ref="I4:I20" si="5">H4/B4</f>
        <v>0.87865121034839133</v>
      </c>
      <c r="J4" s="226">
        <f t="shared" si="0"/>
        <v>1280251070</v>
      </c>
      <c r="K4" s="331">
        <f t="shared" ref="K4:K20" si="6">J4/B4</f>
        <v>0.87865121034839133</v>
      </c>
      <c r="L4" s="227">
        <f t="shared" si="1"/>
        <v>81618268</v>
      </c>
      <c r="M4" s="329">
        <f t="shared" ref="M4:M15" si="7">L4/B4</f>
        <v>5.6015567293952254E-2</v>
      </c>
    </row>
    <row r="5" spans="1:13" s="228" customFormat="1">
      <c r="A5" s="221" t="s">
        <v>1480</v>
      </c>
      <c r="B5" s="224">
        <f>'RELACIÓN PROYECTOS'!D18</f>
        <v>5228695734</v>
      </c>
      <c r="C5" s="223">
        <f t="shared" si="2"/>
        <v>1</v>
      </c>
      <c r="D5" s="224">
        <v>5109163160</v>
      </c>
      <c r="E5" s="325">
        <f t="shared" si="3"/>
        <v>0.9771391222436735</v>
      </c>
      <c r="F5" s="224">
        <f>'RELACIÓN PROYECTOS'!E18</f>
        <v>5109163160</v>
      </c>
      <c r="G5" s="321">
        <f t="shared" si="4"/>
        <v>0.9771391222436735</v>
      </c>
      <c r="H5" s="225">
        <f>'RELACIÓN PROYECTOS'!G18</f>
        <v>5109163160</v>
      </c>
      <c r="I5" s="321">
        <f t="shared" si="5"/>
        <v>0.9771391222436735</v>
      </c>
      <c r="J5" s="226">
        <f t="shared" si="0"/>
        <v>5109163160</v>
      </c>
      <c r="K5" s="331">
        <f t="shared" si="6"/>
        <v>0.9771391222436735</v>
      </c>
      <c r="L5" s="227">
        <f t="shared" si="1"/>
        <v>119532574</v>
      </c>
      <c r="M5" s="329">
        <f t="shared" si="7"/>
        <v>2.2860877756326527E-2</v>
      </c>
    </row>
    <row r="6" spans="1:13" s="228" customFormat="1">
      <c r="A6" s="221" t="s">
        <v>1411</v>
      </c>
      <c r="B6" s="229">
        <f>'RELACIÓN PROYECTOS'!D22</f>
        <v>95388240819.809998</v>
      </c>
      <c r="C6" s="223">
        <f t="shared" si="2"/>
        <v>1</v>
      </c>
      <c r="D6" s="224">
        <v>81322066560.779999</v>
      </c>
      <c r="E6" s="325">
        <f t="shared" si="3"/>
        <v>0.85253764889530526</v>
      </c>
      <c r="F6" s="229">
        <f>'RELACIÓN PROYECTOS'!E22</f>
        <v>70117585681.610001</v>
      </c>
      <c r="G6" s="321">
        <f t="shared" si="4"/>
        <v>0.73507578165806942</v>
      </c>
      <c r="H6" s="225">
        <f>'RELACIÓN PROYECTOS'!G22</f>
        <v>21331072828.539997</v>
      </c>
      <c r="I6" s="321">
        <f t="shared" si="5"/>
        <v>0.22362371551473262</v>
      </c>
      <c r="J6" s="226">
        <f t="shared" si="0"/>
        <v>21331072828.539997</v>
      </c>
      <c r="K6" s="331">
        <f t="shared" si="6"/>
        <v>0.22362371551473262</v>
      </c>
      <c r="L6" s="227">
        <f t="shared" si="1"/>
        <v>14066174259.029999</v>
      </c>
      <c r="M6" s="329">
        <f t="shared" si="7"/>
        <v>0.14746235110469477</v>
      </c>
    </row>
    <row r="7" spans="1:13" s="228" customFormat="1">
      <c r="A7" s="221" t="s">
        <v>1412</v>
      </c>
      <c r="B7" s="229">
        <f>'RELACIÓN PROYECTOS'!D50</f>
        <v>9959166049.1399994</v>
      </c>
      <c r="C7" s="223">
        <f t="shared" si="2"/>
        <v>1</v>
      </c>
      <c r="D7" s="224">
        <v>9110898217.8500004</v>
      </c>
      <c r="E7" s="325">
        <f t="shared" si="3"/>
        <v>0.91482541539075457</v>
      </c>
      <c r="F7" s="229">
        <f>'RELACIÓN PROYECTOS'!E50</f>
        <v>5606159704.3500004</v>
      </c>
      <c r="G7" s="321">
        <f t="shared" si="4"/>
        <v>0.5629145730363746</v>
      </c>
      <c r="H7" s="225">
        <f>'RELACIÓN PROYECTOS'!G50</f>
        <v>5606159704.3500004</v>
      </c>
      <c r="I7" s="321">
        <f t="shared" si="5"/>
        <v>0.5629145730363746</v>
      </c>
      <c r="J7" s="226">
        <f t="shared" si="0"/>
        <v>5606159704.3500004</v>
      </c>
      <c r="K7" s="331">
        <f t="shared" si="6"/>
        <v>0.5629145730363746</v>
      </c>
      <c r="L7" s="227">
        <f t="shared" si="1"/>
        <v>848267831.28999901</v>
      </c>
      <c r="M7" s="329">
        <f t="shared" si="7"/>
        <v>8.5174584609245388E-2</v>
      </c>
    </row>
    <row r="8" spans="1:13" s="228" customFormat="1">
      <c r="A8" s="221" t="s">
        <v>170</v>
      </c>
      <c r="B8" s="224">
        <f>'RELACIÓN PROYECTOS'!D66</f>
        <v>4901071565.04</v>
      </c>
      <c r="C8" s="223">
        <f t="shared" si="2"/>
        <v>1</v>
      </c>
      <c r="D8" s="224">
        <v>4759019005.6700001</v>
      </c>
      <c r="E8" s="325">
        <f t="shared" si="3"/>
        <v>0.97101602017336786</v>
      </c>
      <c r="F8" s="229">
        <f>'RELACIÓN PROYECTOS'!E66</f>
        <v>4614573853.3000002</v>
      </c>
      <c r="G8" s="321">
        <f t="shared" si="4"/>
        <v>0.94154386281897484</v>
      </c>
      <c r="H8" s="225">
        <f>'RELACIÓN PROYECTOS'!G66</f>
        <v>4539496197.1700001</v>
      </c>
      <c r="I8" s="321">
        <f t="shared" si="5"/>
        <v>0.92622524215945645</v>
      </c>
      <c r="J8" s="226">
        <f t="shared" si="0"/>
        <v>4539496197.1700001</v>
      </c>
      <c r="K8" s="331">
        <f t="shared" si="6"/>
        <v>0.92622524215945645</v>
      </c>
      <c r="L8" s="227">
        <f t="shared" si="1"/>
        <v>142052559.36999989</v>
      </c>
      <c r="M8" s="329">
        <f t="shared" si="7"/>
        <v>2.8983979826632162E-2</v>
      </c>
    </row>
    <row r="9" spans="1:13" s="228" customFormat="1" ht="19.5" customHeight="1">
      <c r="A9" s="230" t="s">
        <v>1413</v>
      </c>
      <c r="B9" s="224">
        <f>'RELACIÓN PROYECTOS'!D72</f>
        <v>4131910173.9000001</v>
      </c>
      <c r="C9" s="223">
        <f t="shared" si="2"/>
        <v>1</v>
      </c>
      <c r="D9" s="224">
        <v>3922837294.3400002</v>
      </c>
      <c r="E9" s="325">
        <f t="shared" si="3"/>
        <v>0.94940042964131977</v>
      </c>
      <c r="F9" s="229">
        <f>'RELACIÓN PROYECTOS'!E72</f>
        <v>3610948837.3400002</v>
      </c>
      <c r="G9" s="321">
        <f t="shared" si="4"/>
        <v>0.87391755516594927</v>
      </c>
      <c r="H9" s="225">
        <f>'RELACIÓN PROYECTOS'!G72</f>
        <v>3448562599.3400002</v>
      </c>
      <c r="I9" s="321">
        <f t="shared" si="5"/>
        <v>0.83461703042905055</v>
      </c>
      <c r="J9" s="226">
        <f t="shared" si="0"/>
        <v>3448562599.3400002</v>
      </c>
      <c r="K9" s="331">
        <f t="shared" si="6"/>
        <v>0.83461703042905055</v>
      </c>
      <c r="L9" s="227">
        <f t="shared" si="1"/>
        <v>209072879.55999994</v>
      </c>
      <c r="M9" s="329">
        <f t="shared" si="7"/>
        <v>5.0599570358680283E-2</v>
      </c>
    </row>
    <row r="10" spans="1:13" s="228" customFormat="1" ht="25.5">
      <c r="A10" s="230" t="s">
        <v>1481</v>
      </c>
      <c r="B10" s="224">
        <f>'RELACIÓN PROYECTOS'!D80</f>
        <v>5930194939</v>
      </c>
      <c r="C10" s="223">
        <f t="shared" si="2"/>
        <v>1</v>
      </c>
      <c r="D10" s="224">
        <v>4155603186.6599998</v>
      </c>
      <c r="E10" s="325">
        <f t="shared" si="3"/>
        <v>0.70075321796432433</v>
      </c>
      <c r="F10" s="229">
        <f>'RELACIÓN PROYECTOS'!E80</f>
        <v>3783341171.8400002</v>
      </c>
      <c r="G10" s="321">
        <f t="shared" si="4"/>
        <v>0.63797922509407079</v>
      </c>
      <c r="H10" s="225">
        <f>'RELACIÓN PROYECTOS'!G80</f>
        <v>3783341171.8400002</v>
      </c>
      <c r="I10" s="321">
        <f t="shared" si="5"/>
        <v>0.63797922509407079</v>
      </c>
      <c r="J10" s="226">
        <f t="shared" si="0"/>
        <v>3783341171.8400002</v>
      </c>
      <c r="K10" s="331">
        <f t="shared" si="6"/>
        <v>0.63797922509407079</v>
      </c>
      <c r="L10" s="227">
        <f t="shared" si="1"/>
        <v>1774591752.3400002</v>
      </c>
      <c r="M10" s="329">
        <f t="shared" si="7"/>
        <v>0.29924678203567567</v>
      </c>
    </row>
    <row r="11" spans="1:13" s="232" customFormat="1">
      <c r="A11" s="221" t="s">
        <v>1420</v>
      </c>
      <c r="B11" s="231">
        <f>'RELACIÓN PROYECTOS'!D102</f>
        <v>4558243430</v>
      </c>
      <c r="C11" s="223">
        <f t="shared" si="2"/>
        <v>1</v>
      </c>
      <c r="D11" s="224">
        <v>4420022827.6700001</v>
      </c>
      <c r="E11" s="325">
        <f t="shared" si="3"/>
        <v>0.96967678351263487</v>
      </c>
      <c r="F11" s="229">
        <f>'RELACIÓN PROYECTOS'!E102</f>
        <v>4415822827.6700001</v>
      </c>
      <c r="G11" s="321">
        <f t="shared" si="4"/>
        <v>0.96875537594314043</v>
      </c>
      <c r="H11" s="225">
        <f>'RELACIÓN PROYECTOS'!G102</f>
        <v>4415822827.6700001</v>
      </c>
      <c r="I11" s="321">
        <f t="shared" si="5"/>
        <v>0.96875537594314043</v>
      </c>
      <c r="J11" s="226">
        <f>H11</f>
        <v>4415822827.6700001</v>
      </c>
      <c r="K11" s="331">
        <f t="shared" si="6"/>
        <v>0.96875537594314043</v>
      </c>
      <c r="L11" s="227">
        <f t="shared" si="1"/>
        <v>138220602.32999992</v>
      </c>
      <c r="M11" s="329">
        <f t="shared" si="7"/>
        <v>3.0323216487365162E-2</v>
      </c>
    </row>
    <row r="12" spans="1:13" s="232" customFormat="1">
      <c r="A12" s="221" t="s">
        <v>160</v>
      </c>
      <c r="B12" s="271">
        <f>'RELACIÓN PROYECTOS'!D108</f>
        <v>219871058805.07001</v>
      </c>
      <c r="C12" s="223">
        <f t="shared" si="2"/>
        <v>1</v>
      </c>
      <c r="D12" s="224">
        <v>177373078085.94998</v>
      </c>
      <c r="E12" s="325">
        <f t="shared" si="3"/>
        <v>0.80671407619500646</v>
      </c>
      <c r="F12" s="229">
        <f>'RELACIÓN PROYECTOS'!E108</f>
        <v>176032396599.18997</v>
      </c>
      <c r="G12" s="321">
        <f t="shared" si="4"/>
        <v>0.8006164956673727</v>
      </c>
      <c r="H12" s="225">
        <f>'RELACIÓN PROYECTOS'!G108</f>
        <v>172370680441.91</v>
      </c>
      <c r="I12" s="321">
        <f t="shared" si="5"/>
        <v>0.78396257051150975</v>
      </c>
      <c r="J12" s="226">
        <f>H12</f>
        <v>172370680441.91</v>
      </c>
      <c r="K12" s="331">
        <f t="shared" si="6"/>
        <v>0.78396257051150975</v>
      </c>
      <c r="L12" s="227">
        <f t="shared" si="1"/>
        <v>42497980719.120026</v>
      </c>
      <c r="M12" s="329">
        <f t="shared" si="7"/>
        <v>0.1932859238049936</v>
      </c>
    </row>
    <row r="13" spans="1:13" s="228" customFormat="1">
      <c r="A13" s="221" t="s">
        <v>1414</v>
      </c>
      <c r="B13" s="231">
        <f>'RELACIÓN PROYECTOS'!D120</f>
        <v>13775731819.380001</v>
      </c>
      <c r="C13" s="223">
        <f t="shared" si="2"/>
        <v>1</v>
      </c>
      <c r="D13" s="224">
        <v>9102022126.8099995</v>
      </c>
      <c r="E13" s="325">
        <f t="shared" si="3"/>
        <v>0.66072875446116597</v>
      </c>
      <c r="F13" s="229">
        <f>'RELACIÓN PROYECTOS'!E120</f>
        <v>8515498770.8099995</v>
      </c>
      <c r="G13" s="321">
        <f t="shared" si="4"/>
        <v>0.61815218838901964</v>
      </c>
      <c r="H13" s="225">
        <f>'RELACIÓN PROYECTOS'!G120</f>
        <v>8511098769.8099995</v>
      </c>
      <c r="I13" s="321">
        <f t="shared" si="5"/>
        <v>0.61783278604744607</v>
      </c>
      <c r="J13" s="226">
        <f>H13</f>
        <v>8511098769.8099995</v>
      </c>
      <c r="K13" s="331">
        <f t="shared" si="6"/>
        <v>0.61783278604744607</v>
      </c>
      <c r="L13" s="227">
        <f t="shared" si="1"/>
        <v>4673709692.5700016</v>
      </c>
      <c r="M13" s="329">
        <f t="shared" si="7"/>
        <v>0.33927124553883409</v>
      </c>
    </row>
    <row r="14" spans="1:13" s="228" customFormat="1">
      <c r="A14" s="221" t="s">
        <v>1415</v>
      </c>
      <c r="B14" s="224">
        <f>'RELACIÓN PROYECTOS'!D149</f>
        <v>64458455258.419998</v>
      </c>
      <c r="C14" s="223">
        <f t="shared" si="2"/>
        <v>1</v>
      </c>
      <c r="D14" s="224">
        <v>56384807472.689995</v>
      </c>
      <c r="E14" s="325">
        <f t="shared" si="3"/>
        <v>0.87474648976054437</v>
      </c>
      <c r="F14" s="229">
        <f>'RELACIÓN PROYECTOS'!E149</f>
        <v>53494902390.01001</v>
      </c>
      <c r="G14" s="321">
        <f t="shared" si="4"/>
        <v>0.82991288226725146</v>
      </c>
      <c r="H14" s="225">
        <f>'RELACIÓN PROYECTOS'!G149</f>
        <v>52937416837.630013</v>
      </c>
      <c r="I14" s="321">
        <f t="shared" si="5"/>
        <v>0.82126412470480314</v>
      </c>
      <c r="J14" s="226">
        <v>39698616790.199997</v>
      </c>
      <c r="K14" s="331">
        <f t="shared" si="6"/>
        <v>0.6158791213820517</v>
      </c>
      <c r="L14" s="227">
        <f t="shared" si="1"/>
        <v>8073647785.7300034</v>
      </c>
      <c r="M14" s="329">
        <f t="shared" si="7"/>
        <v>0.12525351023945566</v>
      </c>
    </row>
    <row r="15" spans="1:13" s="228" customFormat="1" ht="25.5">
      <c r="A15" s="230" t="s">
        <v>1482</v>
      </c>
      <c r="B15" s="224">
        <f>'RELACIÓN PROYECTOS'!D174</f>
        <v>2328894018</v>
      </c>
      <c r="C15" s="223">
        <f t="shared" si="2"/>
        <v>1</v>
      </c>
      <c r="D15" s="224">
        <v>2277901328</v>
      </c>
      <c r="E15" s="325">
        <f t="shared" si="3"/>
        <v>0.97810433209674719</v>
      </c>
      <c r="F15" s="229">
        <f>'RELACIÓN PROYECTOS'!E174</f>
        <v>2261362995</v>
      </c>
      <c r="G15" s="321">
        <f t="shared" si="4"/>
        <v>0.97100296429204014</v>
      </c>
      <c r="H15" s="225">
        <f>'RELACIÓN PROYECTOS'!G174</f>
        <v>2261362995</v>
      </c>
      <c r="I15" s="321">
        <f t="shared" si="5"/>
        <v>0.97100296429204014</v>
      </c>
      <c r="J15" s="226">
        <f>H15</f>
        <v>2261362995</v>
      </c>
      <c r="K15" s="331">
        <f t="shared" si="6"/>
        <v>0.97100296429204014</v>
      </c>
      <c r="L15" s="227">
        <f t="shared" si="1"/>
        <v>50992690</v>
      </c>
      <c r="M15" s="329">
        <f t="shared" si="7"/>
        <v>2.1895667903252779E-2</v>
      </c>
    </row>
    <row r="16" spans="1:13" s="236" customFormat="1" ht="16.5" customHeight="1">
      <c r="A16" s="233" t="s">
        <v>1483</v>
      </c>
      <c r="B16" s="234">
        <f>SUM(B3:B15)</f>
        <v>446288235839.75995</v>
      </c>
      <c r="C16" s="235">
        <f t="shared" si="2"/>
        <v>1</v>
      </c>
      <c r="D16" s="234">
        <f>SUM(D3:D15)</f>
        <v>372847510919.41998</v>
      </c>
      <c r="E16" s="326">
        <f>D16/B16</f>
        <v>0.83544104678862985</v>
      </c>
      <c r="F16" s="234">
        <f>SUM(F3:F15)</f>
        <v>348632025024.12</v>
      </c>
      <c r="G16" s="321">
        <f t="shared" si="4"/>
        <v>0.78118130173903244</v>
      </c>
      <c r="H16" s="234">
        <f>SUM(H3:H15)</f>
        <v>295384446566.26001</v>
      </c>
      <c r="I16" s="321">
        <f t="shared" si="5"/>
        <v>0.66186922003545257</v>
      </c>
      <c r="J16" s="234">
        <f>SUM(J3:J15)</f>
        <v>282145646518.83002</v>
      </c>
      <c r="K16" s="332">
        <f t="shared" si="6"/>
        <v>0.63220498292528282</v>
      </c>
      <c r="L16" s="234">
        <f>SUM(L3:L15)</f>
        <v>73440724920.340027</v>
      </c>
      <c r="M16" s="326">
        <f>L16/B16</f>
        <v>0.16455895321137023</v>
      </c>
    </row>
    <row r="17" spans="1:16">
      <c r="A17" s="221" t="s">
        <v>1484</v>
      </c>
      <c r="B17" s="231">
        <f>'RELACIÓN PROYECTOS'!D184</f>
        <v>10324433912.389999</v>
      </c>
      <c r="C17" s="223">
        <f t="shared" si="2"/>
        <v>1</v>
      </c>
      <c r="D17" s="237">
        <v>7870520305.4700003</v>
      </c>
      <c r="E17" s="325">
        <f>D17/B17</f>
        <v>0.76231979130835048</v>
      </c>
      <c r="F17" s="229">
        <f>'RELACIÓN PROYECTOS'!E184</f>
        <v>8284289857.0400009</v>
      </c>
      <c r="G17" s="321">
        <f>F17/B17</f>
        <v>0.8023965214304204</v>
      </c>
      <c r="H17" s="225">
        <f>'RELACIÓN PROYECTOS'!G184</f>
        <v>8284289857.0400009</v>
      </c>
      <c r="I17" s="321">
        <f t="shared" si="5"/>
        <v>0.8023965214304204</v>
      </c>
      <c r="J17" s="226">
        <f>H17</f>
        <v>8284289857.0400009</v>
      </c>
      <c r="K17" s="331">
        <f t="shared" si="6"/>
        <v>0.8023965214304204</v>
      </c>
      <c r="L17" s="227">
        <f>B17-D17</f>
        <v>2453913606.9199991</v>
      </c>
      <c r="M17" s="329">
        <f>L17/B17</f>
        <v>0.23768020869164957</v>
      </c>
    </row>
    <row r="18" spans="1:16" s="238" customFormat="1">
      <c r="A18" s="221" t="s">
        <v>1416</v>
      </c>
      <c r="B18" s="222">
        <f>'RELACIÓN PROYECTOS'!D189</f>
        <v>4712923248</v>
      </c>
      <c r="C18" s="223">
        <f t="shared" si="2"/>
        <v>1</v>
      </c>
      <c r="D18" s="237">
        <v>4640643231.6999998</v>
      </c>
      <c r="E18" s="325">
        <f>D18/B18</f>
        <v>0.98466344294262098</v>
      </c>
      <c r="F18" s="229">
        <f>'RELACIÓN PROYECTOS'!E189</f>
        <v>4617403274.6999998</v>
      </c>
      <c r="G18" s="321">
        <f>F18/B18</f>
        <v>0.97973232996303605</v>
      </c>
      <c r="H18" s="225">
        <f>'RELACIÓN PROYECTOS'!G189</f>
        <v>4617403274.6999998</v>
      </c>
      <c r="I18" s="321">
        <f t="shared" si="5"/>
        <v>0.97973232996303605</v>
      </c>
      <c r="J18" s="226">
        <v>1878719995.9100001</v>
      </c>
      <c r="K18" s="331">
        <f t="shared" si="6"/>
        <v>0.39863157048170966</v>
      </c>
      <c r="L18" s="227">
        <f>B18-D18</f>
        <v>72280016.300000191</v>
      </c>
      <c r="M18" s="329">
        <f>L18/B18</f>
        <v>1.5336557057379048E-2</v>
      </c>
    </row>
    <row r="19" spans="1:16" s="238" customFormat="1">
      <c r="A19" s="230" t="s">
        <v>1485</v>
      </c>
      <c r="B19" s="222">
        <f>'RELACIÓN PROYECTOS'!D199</f>
        <v>168932650</v>
      </c>
      <c r="C19" s="223">
        <f t="shared" si="2"/>
        <v>1</v>
      </c>
      <c r="D19" s="237">
        <v>117625000</v>
      </c>
      <c r="E19" s="325">
        <f>D19/B19</f>
        <v>0.69628340051493898</v>
      </c>
      <c r="F19" s="229">
        <f>'RELACIÓN PROYECTOS'!E199</f>
        <v>168932650</v>
      </c>
      <c r="G19" s="321">
        <f>F19/B19</f>
        <v>1</v>
      </c>
      <c r="H19" s="225">
        <f>'RELACIÓN PROYECTOS'!G199</f>
        <v>168932650</v>
      </c>
      <c r="I19" s="321">
        <f t="shared" si="5"/>
        <v>1</v>
      </c>
      <c r="J19" s="226">
        <f>H19</f>
        <v>168932650</v>
      </c>
      <c r="K19" s="331">
        <f t="shared" si="6"/>
        <v>1</v>
      </c>
      <c r="L19" s="227">
        <f>B19-D19</f>
        <v>51307650</v>
      </c>
      <c r="M19" s="329">
        <f>L19/B19</f>
        <v>0.30371659948506108</v>
      </c>
    </row>
    <row r="20" spans="1:16" s="238" customFormat="1">
      <c r="A20" s="239" t="s">
        <v>1486</v>
      </c>
      <c r="B20" s="234">
        <f>SUM(B17:B19)</f>
        <v>15206289810.389999</v>
      </c>
      <c r="C20" s="235">
        <f t="shared" si="2"/>
        <v>1</v>
      </c>
      <c r="D20" s="234">
        <f>SUM(D17:D19)</f>
        <v>12628788537.17</v>
      </c>
      <c r="E20" s="326">
        <f>D20/B20</f>
        <v>0.8304976884329226</v>
      </c>
      <c r="F20" s="234">
        <f>SUM(F17:F19)</f>
        <v>13070625781.740002</v>
      </c>
      <c r="G20" s="322">
        <f>F20/B20</f>
        <v>0.85955390464866965</v>
      </c>
      <c r="H20" s="234">
        <f>SUM(H17:H19)</f>
        <v>13070625781.740002</v>
      </c>
      <c r="I20" s="321">
        <f t="shared" si="5"/>
        <v>0.85955390464866965</v>
      </c>
      <c r="J20" s="234">
        <f>SUM(J17:J19)</f>
        <v>10331942502.950001</v>
      </c>
      <c r="K20" s="332">
        <f t="shared" si="6"/>
        <v>0.67945189995593114</v>
      </c>
      <c r="L20" s="234">
        <f>SUM(L17:L19)</f>
        <v>2577501273.2199993</v>
      </c>
      <c r="M20" s="326">
        <f>L20/B20</f>
        <v>0.16950231156707735</v>
      </c>
    </row>
    <row r="21" spans="1:16" s="238" customFormat="1">
      <c r="A21" s="240"/>
      <c r="B21" s="241"/>
      <c r="C21" s="242"/>
      <c r="D21" s="242"/>
      <c r="E21" s="327"/>
      <c r="G21" s="323"/>
      <c r="I21" s="323"/>
      <c r="K21" s="323"/>
      <c r="M21" s="330"/>
    </row>
    <row r="22" spans="1:16" s="238" customFormat="1">
      <c r="A22" s="265" t="s">
        <v>1487</v>
      </c>
      <c r="B22" s="266">
        <f>B16+B20</f>
        <v>461494525650.14996</v>
      </c>
      <c r="C22" s="267">
        <f t="shared" si="2"/>
        <v>1</v>
      </c>
      <c r="D22" s="266">
        <f>D16+D20</f>
        <v>385476299456.58997</v>
      </c>
      <c r="E22" s="328">
        <f>D22/B22</f>
        <v>0.83527816264674837</v>
      </c>
      <c r="F22" s="266">
        <f>F16+F20</f>
        <v>361702650805.85999</v>
      </c>
      <c r="G22" s="324">
        <f>F22/B22</f>
        <v>0.78376368667926466</v>
      </c>
      <c r="H22" s="266">
        <f>H16+H20</f>
        <v>308455072348</v>
      </c>
      <c r="I22" s="324">
        <f>H22/B22</f>
        <v>0.66838294975103085</v>
      </c>
      <c r="J22" s="266">
        <f>J16+J20</f>
        <v>292477589021.78003</v>
      </c>
      <c r="K22" s="333">
        <f>J22/B22</f>
        <v>0.63376177346792972</v>
      </c>
      <c r="L22" s="266">
        <f>L16+L20</f>
        <v>76018226193.560028</v>
      </c>
      <c r="M22" s="328">
        <f>L22/B22</f>
        <v>0.16472183735325166</v>
      </c>
    </row>
    <row r="23" spans="1:16" s="247" customFormat="1" ht="14.25">
      <c r="A23" s="243"/>
      <c r="B23" s="244"/>
      <c r="C23" s="245"/>
      <c r="D23" s="244"/>
      <c r="E23" s="245"/>
      <c r="F23" s="244"/>
      <c r="G23" s="244"/>
      <c r="H23" s="244"/>
      <c r="I23" s="246"/>
      <c r="J23" s="244"/>
      <c r="K23" s="246"/>
      <c r="L23" s="244"/>
      <c r="M23" s="245"/>
    </row>
    <row r="24" spans="1:16" s="238" customFormat="1" ht="15">
      <c r="A24" s="566" t="s">
        <v>1488</v>
      </c>
      <c r="B24" s="567" t="s">
        <v>1502</v>
      </c>
      <c r="C24" s="568" t="s">
        <v>1489</v>
      </c>
      <c r="D24" s="268"/>
      <c r="E24" s="268"/>
      <c r="F24" s="252"/>
      <c r="J24" s="249"/>
      <c r="L24" s="250"/>
      <c r="M24" s="251"/>
      <c r="N24" s="248"/>
      <c r="O24" s="252"/>
      <c r="P24" s="252"/>
    </row>
    <row r="25" spans="1:16" s="238" customFormat="1" ht="38.25" customHeight="1" thickBot="1">
      <c r="A25" s="569" t="s">
        <v>1505</v>
      </c>
      <c r="B25" s="570">
        <f>B16</f>
        <v>446288235839.75995</v>
      </c>
      <c r="C25" s="571">
        <f>B25/B25</f>
        <v>1</v>
      </c>
      <c r="D25" s="269"/>
      <c r="E25" s="270"/>
      <c r="F25" s="252"/>
      <c r="H25" s="537" t="s">
        <v>1529</v>
      </c>
      <c r="I25" s="540"/>
      <c r="J25" s="540"/>
      <c r="K25" s="540"/>
      <c r="L25" s="540"/>
      <c r="M25" s="540"/>
      <c r="N25" s="253"/>
      <c r="O25" s="252"/>
      <c r="P25" s="252"/>
    </row>
    <row r="26" spans="1:16" s="238" customFormat="1" ht="15.75">
      <c r="A26" s="569" t="s">
        <v>1490</v>
      </c>
      <c r="B26" s="570">
        <f>D16</f>
        <v>372847510919.41998</v>
      </c>
      <c r="C26" s="572">
        <f>B26/B25</f>
        <v>0.83544104678862985</v>
      </c>
      <c r="D26" s="498" t="s">
        <v>1500</v>
      </c>
      <c r="E26" s="499"/>
      <c r="F26" s="252"/>
      <c r="H26" s="338"/>
      <c r="L26" s="254"/>
      <c r="M26" s="255"/>
      <c r="N26" s="256"/>
      <c r="O26" s="252"/>
      <c r="P26" s="252"/>
    </row>
    <row r="27" spans="1:16" s="238" customFormat="1" ht="15.75">
      <c r="A27" s="569" t="s">
        <v>1491</v>
      </c>
      <c r="B27" s="570">
        <f>F16</f>
        <v>348632025024.12</v>
      </c>
      <c r="C27" s="573">
        <f>B27/B25</f>
        <v>0.78118130173903244</v>
      </c>
      <c r="D27" s="500" t="s">
        <v>1492</v>
      </c>
      <c r="E27" s="501"/>
      <c r="F27" s="252"/>
      <c r="L27" s="254"/>
      <c r="M27" s="255"/>
      <c r="N27" s="257"/>
      <c r="O27" s="252"/>
      <c r="P27" s="252"/>
    </row>
    <row r="28" spans="1:16" s="238" customFormat="1" ht="15.75">
      <c r="A28" s="569" t="s">
        <v>1493</v>
      </c>
      <c r="B28" s="570">
        <f>H16</f>
        <v>295384446566.26001</v>
      </c>
      <c r="C28" s="573">
        <f>B28/B25</f>
        <v>0.66186922003545257</v>
      </c>
      <c r="D28" s="502" t="s">
        <v>1494</v>
      </c>
      <c r="E28" s="503"/>
      <c r="F28" s="252"/>
      <c r="L28" s="254"/>
      <c r="M28" s="255"/>
      <c r="N28" s="257"/>
      <c r="O28" s="252"/>
      <c r="P28" s="252"/>
    </row>
    <row r="29" spans="1:16" s="238" customFormat="1" ht="15.75">
      <c r="A29" s="569" t="s">
        <v>1495</v>
      </c>
      <c r="B29" s="570">
        <f>J16</f>
        <v>282145646518.83002</v>
      </c>
      <c r="C29" s="573">
        <f>B29/B25</f>
        <v>0.63220498292528282</v>
      </c>
      <c r="D29" s="488" t="s">
        <v>1496</v>
      </c>
      <c r="E29" s="489"/>
      <c r="F29" s="252"/>
      <c r="L29" s="254"/>
      <c r="M29" s="255"/>
      <c r="N29" s="257"/>
      <c r="O29" s="252"/>
      <c r="P29" s="252"/>
    </row>
    <row r="30" spans="1:16" ht="15.75">
      <c r="A30" s="574" t="s">
        <v>1497</v>
      </c>
      <c r="B30" s="570">
        <f>L16</f>
        <v>73440724920.340027</v>
      </c>
      <c r="C30" s="573">
        <f>B30/B25</f>
        <v>0.16455895321137023</v>
      </c>
      <c r="D30" s="490" t="s">
        <v>1498</v>
      </c>
      <c r="E30" s="491"/>
      <c r="F30" s="252"/>
      <c r="L30" s="258"/>
      <c r="M30" s="255"/>
      <c r="N30" s="257"/>
      <c r="O30" s="259"/>
      <c r="P30" s="259"/>
    </row>
    <row r="31" spans="1:16" ht="15">
      <c r="A31" s="575"/>
      <c r="B31" s="576"/>
      <c r="C31" s="576"/>
      <c r="D31" s="492" t="s">
        <v>1499</v>
      </c>
      <c r="E31" s="493"/>
      <c r="F31" s="252"/>
      <c r="L31" s="252"/>
      <c r="M31" s="259"/>
      <c r="N31" s="259"/>
      <c r="O31" s="259"/>
      <c r="P31" s="259"/>
    </row>
    <row r="32" spans="1:16">
      <c r="A32" s="575"/>
      <c r="B32" s="577"/>
      <c r="C32" s="578"/>
      <c r="D32" s="260"/>
      <c r="E32" s="260"/>
      <c r="F32" s="252"/>
      <c r="L32" s="252"/>
      <c r="M32" s="259"/>
      <c r="N32" s="259"/>
      <c r="O32" s="259"/>
      <c r="P32" s="259"/>
    </row>
    <row r="33" spans="1:16" ht="15">
      <c r="A33" s="566" t="s">
        <v>1488</v>
      </c>
      <c r="B33" s="567" t="s">
        <v>1502</v>
      </c>
      <c r="C33" s="568" t="s">
        <v>1489</v>
      </c>
      <c r="D33" s="260"/>
      <c r="E33" s="260"/>
      <c r="F33" s="252"/>
      <c r="L33" s="252"/>
      <c r="M33" s="259"/>
      <c r="N33" s="259"/>
      <c r="O33" s="259"/>
      <c r="P33" s="259"/>
    </row>
    <row r="34" spans="1:16" ht="15.75">
      <c r="A34" s="569" t="s">
        <v>1505</v>
      </c>
      <c r="B34" s="570">
        <f>B20</f>
        <v>15206289810.389999</v>
      </c>
      <c r="C34" s="571">
        <f>B34/B34</f>
        <v>1</v>
      </c>
      <c r="D34" s="260"/>
      <c r="E34" s="260"/>
      <c r="F34" s="252"/>
      <c r="L34" s="252"/>
      <c r="M34" s="259"/>
      <c r="N34" s="259"/>
      <c r="O34" s="259"/>
      <c r="P34" s="259"/>
    </row>
    <row r="35" spans="1:16" ht="15.75">
      <c r="A35" s="569" t="s">
        <v>1490</v>
      </c>
      <c r="B35" s="570">
        <f>D20</f>
        <v>12628788537.17</v>
      </c>
      <c r="C35" s="572">
        <f>B35/B34</f>
        <v>0.8304976884329226</v>
      </c>
      <c r="D35" s="260"/>
      <c r="E35" s="260"/>
      <c r="F35" s="252"/>
      <c r="L35" s="252"/>
      <c r="M35" s="259"/>
      <c r="N35" s="259"/>
      <c r="O35" s="259"/>
      <c r="P35" s="259"/>
    </row>
    <row r="36" spans="1:16" ht="15.75">
      <c r="A36" s="569" t="s">
        <v>1491</v>
      </c>
      <c r="B36" s="570">
        <f>F20</f>
        <v>13070625781.740002</v>
      </c>
      <c r="C36" s="573">
        <f>B36/B34</f>
        <v>0.85955390464866965</v>
      </c>
      <c r="D36" s="260"/>
      <c r="E36" s="260"/>
      <c r="F36" s="252"/>
      <c r="L36" s="252"/>
      <c r="M36" s="259"/>
      <c r="N36" s="259"/>
      <c r="O36" s="259"/>
      <c r="P36" s="259"/>
    </row>
    <row r="37" spans="1:16" ht="15.75">
      <c r="A37" s="569" t="s">
        <v>1493</v>
      </c>
      <c r="B37" s="570">
        <f>H20</f>
        <v>13070625781.740002</v>
      </c>
      <c r="C37" s="573">
        <f>B37/B34</f>
        <v>0.85955390464866965</v>
      </c>
      <c r="D37" s="260"/>
      <c r="E37" s="260"/>
      <c r="F37" s="252"/>
      <c r="L37" s="252"/>
      <c r="M37" s="259"/>
      <c r="N37" s="259"/>
      <c r="O37" s="259"/>
      <c r="P37" s="259"/>
    </row>
    <row r="38" spans="1:16" ht="15.75">
      <c r="A38" s="569" t="s">
        <v>1495</v>
      </c>
      <c r="B38" s="570">
        <f>J20</f>
        <v>10331942502.950001</v>
      </c>
      <c r="C38" s="573">
        <f>B38/B34</f>
        <v>0.67945189995593114</v>
      </c>
      <c r="D38" s="260"/>
      <c r="E38" s="260"/>
      <c r="F38" s="252"/>
      <c r="L38" s="252"/>
      <c r="M38" s="259"/>
      <c r="N38" s="259"/>
      <c r="O38" s="259"/>
      <c r="P38" s="259"/>
    </row>
    <row r="39" spans="1:16" ht="15.75">
      <c r="A39" s="574" t="s">
        <v>1497</v>
      </c>
      <c r="B39" s="570">
        <f>L20</f>
        <v>2577501273.2199993</v>
      </c>
      <c r="C39" s="573">
        <f>B39/B34</f>
        <v>0.16950231156707735</v>
      </c>
      <c r="D39" s="260"/>
      <c r="E39" s="260"/>
      <c r="F39" s="252"/>
      <c r="L39" s="252"/>
      <c r="M39" s="259"/>
      <c r="N39" s="259"/>
      <c r="O39" s="259"/>
      <c r="P39" s="259"/>
    </row>
    <row r="40" spans="1:16">
      <c r="A40" s="575"/>
      <c r="B40" s="577"/>
      <c r="C40" s="577"/>
      <c r="D40" s="242"/>
      <c r="E40" s="242"/>
      <c r="F40" s="252"/>
      <c r="L40" s="252"/>
      <c r="M40" s="259"/>
      <c r="N40" s="259"/>
      <c r="O40" s="259"/>
      <c r="P40" s="259"/>
    </row>
    <row r="41" spans="1:16" s="238" customFormat="1">
      <c r="A41" s="575"/>
      <c r="B41" s="577"/>
      <c r="C41" s="577"/>
      <c r="D41" s="242"/>
      <c r="E41" s="242"/>
      <c r="F41" s="252"/>
      <c r="M41" s="220"/>
      <c r="N41" s="220"/>
      <c r="O41" s="220"/>
      <c r="P41" s="220"/>
    </row>
    <row r="42" spans="1:16" s="238" customFormat="1">
      <c r="A42" s="575"/>
      <c r="B42" s="576"/>
      <c r="C42" s="576"/>
      <c r="D42" s="252"/>
      <c r="E42" s="252"/>
      <c r="F42" s="252"/>
      <c r="M42" s="220"/>
      <c r="N42" s="220"/>
      <c r="O42" s="220"/>
      <c r="P42" s="220"/>
    </row>
    <row r="43" spans="1:16">
      <c r="A43" s="575"/>
      <c r="B43" s="576"/>
      <c r="C43" s="576"/>
      <c r="D43" s="252"/>
      <c r="E43" s="252"/>
      <c r="F43" s="252"/>
    </row>
    <row r="44" spans="1:16" ht="40.5" customHeight="1">
      <c r="A44" s="575"/>
      <c r="B44" s="576"/>
      <c r="C44" s="576"/>
      <c r="D44" s="252"/>
      <c r="E44" s="252"/>
      <c r="F44" s="252"/>
      <c r="H44" s="537" t="s">
        <v>1527</v>
      </c>
      <c r="I44" s="537"/>
      <c r="J44" s="537"/>
      <c r="K44" s="537"/>
      <c r="L44" s="537"/>
    </row>
    <row r="45" spans="1:16">
      <c r="A45" s="575"/>
      <c r="B45" s="576"/>
      <c r="C45" s="576"/>
      <c r="D45" s="252"/>
      <c r="E45" s="252"/>
      <c r="F45" s="252"/>
    </row>
    <row r="46" spans="1:16">
      <c r="A46" s="575"/>
      <c r="B46" s="576"/>
      <c r="C46" s="576"/>
      <c r="D46" s="252"/>
      <c r="E46" s="252"/>
      <c r="F46" s="252"/>
    </row>
    <row r="47" spans="1:16" ht="15">
      <c r="A47" s="566" t="s">
        <v>1488</v>
      </c>
      <c r="B47" s="567" t="s">
        <v>1502</v>
      </c>
      <c r="C47" s="568" t="s">
        <v>1489</v>
      </c>
      <c r="D47" s="252"/>
      <c r="E47" s="252"/>
      <c r="F47" s="252"/>
    </row>
    <row r="48" spans="1:16" ht="15.75">
      <c r="A48" s="569" t="s">
        <v>1505</v>
      </c>
      <c r="B48" s="570">
        <f>B22</f>
        <v>461494525650.14996</v>
      </c>
      <c r="C48" s="571">
        <f>B48/B48</f>
        <v>1</v>
      </c>
      <c r="D48" s="252"/>
      <c r="E48" s="252"/>
      <c r="F48" s="252"/>
    </row>
    <row r="49" spans="1:12" ht="15.75">
      <c r="A49" s="569" t="s">
        <v>1490</v>
      </c>
      <c r="B49" s="570">
        <f>D22</f>
        <v>385476299456.58997</v>
      </c>
      <c r="C49" s="572">
        <f>B49/B48</f>
        <v>0.83527816264674837</v>
      </c>
      <c r="D49" s="252"/>
      <c r="E49" s="252"/>
      <c r="F49" s="252"/>
    </row>
    <row r="50" spans="1:12" ht="15.75">
      <c r="A50" s="569" t="s">
        <v>1491</v>
      </c>
      <c r="B50" s="570">
        <f>F22</f>
        <v>361702650805.85999</v>
      </c>
      <c r="C50" s="573">
        <f>B50/B48</f>
        <v>0.78376368667926466</v>
      </c>
      <c r="D50" s="252"/>
      <c r="E50" s="252"/>
      <c r="F50" s="252"/>
    </row>
    <row r="51" spans="1:12" ht="15.75">
      <c r="A51" s="569" t="s">
        <v>1493</v>
      </c>
      <c r="B51" s="570">
        <f>H22</f>
        <v>308455072348</v>
      </c>
      <c r="C51" s="573">
        <f>B51/B48</f>
        <v>0.66838294975103085</v>
      </c>
      <c r="D51" s="252"/>
      <c r="E51" s="252"/>
      <c r="F51" s="252"/>
    </row>
    <row r="52" spans="1:12" ht="15.75">
      <c r="A52" s="569" t="s">
        <v>1495</v>
      </c>
      <c r="B52" s="570">
        <f>J22</f>
        <v>292477589021.78003</v>
      </c>
      <c r="C52" s="573">
        <f>B52/B48</f>
        <v>0.63376177346792972</v>
      </c>
      <c r="D52" s="252"/>
      <c r="E52" s="252"/>
      <c r="F52" s="252"/>
    </row>
    <row r="53" spans="1:12" ht="15.75">
      <c r="A53" s="574" t="s">
        <v>1497</v>
      </c>
      <c r="B53" s="570">
        <f>L22</f>
        <v>76018226193.560028</v>
      </c>
      <c r="C53" s="573">
        <f>B53/B48</f>
        <v>0.16472183735325166</v>
      </c>
      <c r="D53" s="252"/>
      <c r="E53" s="252"/>
      <c r="F53" s="252"/>
    </row>
    <row r="54" spans="1:12">
      <c r="A54" s="575"/>
      <c r="B54" s="579"/>
      <c r="C54" s="579"/>
      <c r="D54" s="252"/>
      <c r="E54" s="252"/>
      <c r="F54" s="252"/>
    </row>
    <row r="55" spans="1:12">
      <c r="A55" s="575"/>
      <c r="B55" s="579"/>
      <c r="C55" s="579"/>
      <c r="D55" s="252"/>
      <c r="E55" s="252"/>
      <c r="F55" s="252"/>
    </row>
    <row r="56" spans="1:12">
      <c r="A56" s="261"/>
      <c r="B56" s="252"/>
      <c r="C56" s="252"/>
      <c r="D56" s="252"/>
      <c r="E56" s="252"/>
      <c r="F56" s="252"/>
    </row>
    <row r="57" spans="1:12">
      <c r="A57" s="261"/>
      <c r="B57" s="252"/>
      <c r="C57" s="252"/>
      <c r="D57" s="252"/>
      <c r="E57" s="252"/>
      <c r="F57" s="252"/>
    </row>
    <row r="58" spans="1:12">
      <c r="A58" s="259"/>
      <c r="B58" s="252"/>
      <c r="C58" s="252"/>
      <c r="D58" s="252"/>
      <c r="E58" s="252"/>
      <c r="F58" s="252"/>
    </row>
    <row r="59" spans="1:12">
      <c r="A59" s="259"/>
      <c r="B59" s="252"/>
      <c r="C59" s="252"/>
      <c r="D59" s="252"/>
      <c r="E59" s="252"/>
      <c r="F59" s="252"/>
    </row>
    <row r="60" spans="1:12">
      <c r="A60" s="259"/>
      <c r="B60" s="252"/>
      <c r="C60" s="252"/>
      <c r="D60" s="252"/>
      <c r="E60" s="252"/>
      <c r="F60" s="252"/>
    </row>
    <row r="61" spans="1:12">
      <c r="A61" s="220"/>
      <c r="B61" s="252"/>
      <c r="C61" s="252"/>
      <c r="D61" s="252"/>
      <c r="E61" s="252"/>
      <c r="F61" s="252"/>
    </row>
    <row r="62" spans="1:12" ht="38.25" customHeight="1">
      <c r="A62" s="220"/>
      <c r="B62" s="252"/>
      <c r="C62" s="252"/>
      <c r="D62" s="252"/>
      <c r="E62" s="252"/>
      <c r="F62" s="252"/>
      <c r="H62" s="537" t="s">
        <v>1528</v>
      </c>
      <c r="I62" s="537"/>
      <c r="J62" s="537"/>
      <c r="K62" s="537"/>
      <c r="L62" s="537"/>
    </row>
    <row r="63" spans="1:12">
      <c r="A63" s="220"/>
      <c r="B63" s="252"/>
      <c r="C63" s="252"/>
      <c r="D63" s="252"/>
      <c r="E63" s="252"/>
      <c r="F63" s="252"/>
    </row>
    <row r="64" spans="1:12">
      <c r="B64" s="252"/>
      <c r="C64" s="252"/>
      <c r="D64" s="252"/>
      <c r="E64" s="252"/>
      <c r="F64" s="252"/>
    </row>
    <row r="65" spans="1:16">
      <c r="B65" s="252"/>
      <c r="C65" s="252"/>
      <c r="D65" s="252"/>
      <c r="E65" s="252"/>
      <c r="F65" s="252"/>
    </row>
    <row r="66" spans="1:16">
      <c r="B66" s="252"/>
      <c r="C66" s="252"/>
      <c r="D66" s="252"/>
      <c r="E66" s="252"/>
      <c r="F66" s="252"/>
    </row>
    <row r="67" spans="1:16">
      <c r="B67" s="252"/>
      <c r="C67" s="252"/>
      <c r="D67" s="252"/>
      <c r="E67" s="252"/>
      <c r="F67" s="252"/>
    </row>
    <row r="68" spans="1:16">
      <c r="B68" s="252"/>
      <c r="C68" s="252"/>
      <c r="D68" s="252"/>
      <c r="E68" s="252"/>
      <c r="F68" s="252"/>
    </row>
    <row r="69" spans="1:16">
      <c r="B69" s="252"/>
      <c r="C69" s="252"/>
      <c r="D69" s="252"/>
      <c r="E69" s="252"/>
      <c r="F69" s="252"/>
    </row>
    <row r="70" spans="1:16">
      <c r="B70" s="252"/>
      <c r="C70" s="252"/>
      <c r="D70" s="252"/>
      <c r="E70" s="252"/>
      <c r="F70" s="252"/>
    </row>
    <row r="72" spans="1:16" s="238" customFormat="1">
      <c r="A72" s="240"/>
      <c r="M72" s="220"/>
      <c r="N72" s="220"/>
      <c r="O72" s="220"/>
      <c r="P72" s="220"/>
    </row>
    <row r="73" spans="1:16" s="238" customFormat="1">
      <c r="M73" s="220"/>
      <c r="N73" s="220"/>
      <c r="O73" s="220"/>
      <c r="P73" s="220"/>
    </row>
    <row r="74" spans="1:16" s="238" customFormat="1">
      <c r="M74" s="220"/>
      <c r="N74" s="220"/>
      <c r="O74" s="220"/>
      <c r="P74" s="220"/>
    </row>
    <row r="75" spans="1:16" s="238" customFormat="1">
      <c r="M75" s="220"/>
      <c r="N75" s="220"/>
      <c r="O75" s="220"/>
      <c r="P75" s="220"/>
    </row>
    <row r="76" spans="1:16" s="238" customFormat="1">
      <c r="M76" s="220"/>
      <c r="N76" s="220"/>
      <c r="O76" s="220"/>
      <c r="P76" s="220"/>
    </row>
    <row r="77" spans="1:16" s="238" customFormat="1">
      <c r="M77" s="220"/>
      <c r="N77" s="220"/>
      <c r="O77" s="220"/>
      <c r="P77" s="220"/>
    </row>
    <row r="78" spans="1:16" s="238" customFormat="1">
      <c r="M78" s="220"/>
      <c r="N78" s="220"/>
      <c r="O78" s="220"/>
      <c r="P78" s="220"/>
    </row>
  </sheetData>
  <mergeCells count="10">
    <mergeCell ref="H44:L44"/>
    <mergeCell ref="H62:L62"/>
    <mergeCell ref="D31:E31"/>
    <mergeCell ref="A1:M1"/>
    <mergeCell ref="D26:E26"/>
    <mergeCell ref="D27:E27"/>
    <mergeCell ref="D28:E28"/>
    <mergeCell ref="D29:E29"/>
    <mergeCell ref="D30:E30"/>
    <mergeCell ref="H25:M25"/>
  </mergeCells>
  <conditionalFormatting sqref="G3">
    <cfRule type="cellIs" dxfId="34" priority="42" operator="between">
      <formula>0.4</formula>
      <formula>0.59</formula>
    </cfRule>
    <cfRule type="cellIs" dxfId="33" priority="43" operator="between">
      <formula>0.6</formula>
      <formula>0.69</formula>
    </cfRule>
    <cfRule type="cellIs" dxfId="32" priority="44" operator="between">
      <formula>0.7</formula>
      <formula>0.79</formula>
    </cfRule>
    <cfRule type="cellIs" dxfId="31" priority="45" operator="between">
      <formula>0.8</formula>
      <formula>1</formula>
    </cfRule>
  </conditionalFormatting>
  <conditionalFormatting sqref="G3:G20">
    <cfRule type="cellIs" dxfId="30" priority="16" operator="between">
      <formula>0</formula>
      <formula>0.3999</formula>
    </cfRule>
  </conditionalFormatting>
  <conditionalFormatting sqref="G4:G15">
    <cfRule type="cellIs" dxfId="29" priority="37" operator="between">
      <formula>0.395</formula>
      <formula>0.5949</formula>
    </cfRule>
    <cfRule type="cellIs" dxfId="28" priority="38" operator="between">
      <formula>0.6</formula>
      <formula>0.695</formula>
    </cfRule>
    <cfRule type="cellIs" dxfId="27" priority="39" operator="between">
      <formula>0.695</formula>
      <formula>0.7949</formula>
    </cfRule>
    <cfRule type="cellIs" dxfId="26" priority="40" operator="between">
      <formula>0.795</formula>
      <formula>1</formula>
    </cfRule>
  </conditionalFormatting>
  <conditionalFormatting sqref="G16">
    <cfRule type="cellIs" dxfId="25" priority="20" operator="greaterThan">
      <formula>0.795</formula>
    </cfRule>
  </conditionalFormatting>
  <conditionalFormatting sqref="G16:G19">
    <cfRule type="cellIs" dxfId="24" priority="18" operator="between">
      <formula>0.6</formula>
      <formula>0.695</formula>
    </cfRule>
    <cfRule type="cellIs" dxfId="23" priority="19" operator="between">
      <formula>0.695</formula>
      <formula>0.7949</formula>
    </cfRule>
  </conditionalFormatting>
  <conditionalFormatting sqref="G16:G20">
    <cfRule type="cellIs" dxfId="22" priority="17" operator="between">
      <formula>0.4</formula>
      <formula>0.59</formula>
    </cfRule>
  </conditionalFormatting>
  <conditionalFormatting sqref="G17:G20">
    <cfRule type="cellIs" dxfId="21" priority="30" operator="between">
      <formula>0.8</formula>
      <formula>1</formula>
    </cfRule>
  </conditionalFormatting>
  <conditionalFormatting sqref="G20">
    <cfRule type="cellIs" dxfId="20" priority="28" operator="between">
      <formula>0.595</formula>
      <formula>0.6949</formula>
    </cfRule>
    <cfRule type="cellIs" dxfId="19" priority="29" operator="between">
      <formula>0.69</formula>
      <formula>0.79</formula>
    </cfRule>
  </conditionalFormatting>
  <conditionalFormatting sqref="G22">
    <cfRule type="cellIs" dxfId="18" priority="21" operator="between">
      <formula>0</formula>
      <formula>0.3999</formula>
    </cfRule>
    <cfRule type="cellIs" dxfId="17" priority="22" operator="between">
      <formula>0.4</formula>
      <formula>0.59</formula>
    </cfRule>
    <cfRule type="cellIs" dxfId="16" priority="23" operator="between">
      <formula>0.595</formula>
      <formula>0.6949</formula>
    </cfRule>
    <cfRule type="cellIs" dxfId="15" priority="24" operator="between">
      <formula>0.7</formula>
      <formula>0.79</formula>
    </cfRule>
    <cfRule type="cellIs" dxfId="14" priority="25" operator="between">
      <formula>0.8</formula>
      <formula>1</formula>
    </cfRule>
  </conditionalFormatting>
  <conditionalFormatting sqref="I3">
    <cfRule type="cellIs" dxfId="13" priority="12" operator="between">
      <formula>0.4</formula>
      <formula>0.59</formula>
    </cfRule>
    <cfRule type="cellIs" dxfId="12" priority="13" operator="between">
      <formula>0.6</formula>
      <formula>0.69</formula>
    </cfRule>
    <cfRule type="cellIs" dxfId="11" priority="14" operator="between">
      <formula>0.7</formula>
      <formula>0.79</formula>
    </cfRule>
    <cfRule type="cellIs" dxfId="10" priority="15" operator="between">
      <formula>0.8</formula>
      <formula>1</formula>
    </cfRule>
  </conditionalFormatting>
  <conditionalFormatting sqref="I3:I20">
    <cfRule type="cellIs" dxfId="9" priority="6" operator="between">
      <formula>0</formula>
      <formula>0.3999</formula>
    </cfRule>
  </conditionalFormatting>
  <conditionalFormatting sqref="I4:I20">
    <cfRule type="cellIs" dxfId="8" priority="7" operator="between">
      <formula>0.4</formula>
      <formula>0.5949</formula>
    </cfRule>
    <cfRule type="cellIs" dxfId="7" priority="8" operator="between">
      <formula>0.6</formula>
      <formula>0.69</formula>
    </cfRule>
    <cfRule type="cellIs" dxfId="6" priority="9" operator="between">
      <formula>0.7</formula>
      <formula>0.79</formula>
    </cfRule>
    <cfRule type="cellIs" dxfId="5" priority="10" operator="between">
      <formula>0.8</formula>
      <formula>1</formula>
    </cfRule>
  </conditionalFormatting>
  <conditionalFormatting sqref="I22">
    <cfRule type="cellIs" dxfId="4" priority="1" operator="between">
      <formula>0</formula>
      <formula>0.3999</formula>
    </cfRule>
    <cfRule type="cellIs" dxfId="3" priority="2" operator="between">
      <formula>0.4</formula>
      <formula>0.59</formula>
    </cfRule>
    <cfRule type="cellIs" dxfId="2" priority="3" operator="between">
      <formula>0.6</formula>
      <formula>0.69</formula>
    </cfRule>
    <cfRule type="cellIs" dxfId="1" priority="4" operator="between">
      <formula>0.7</formula>
      <formula>0.79</formula>
    </cfRule>
    <cfRule type="cellIs" dxfId="0" priority="5" operator="between">
      <formula>0.8</formula>
      <formula>1</formula>
    </cfRule>
  </conditionalFormatting>
  <pageMargins left="0.7" right="0.7" top="0.75" bottom="0.75" header="0.3" footer="0.3"/>
  <pageSetup orientation="portrait"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SGTO POAI 2023 NOV-DIC</vt:lpstr>
      <vt:lpstr>RESUMEN PROGRAMAS</vt:lpstr>
      <vt:lpstr>FUENTES POR UNIDAD</vt:lpstr>
      <vt:lpstr>LÍNEA ESTRATEGICA</vt:lpstr>
      <vt:lpstr>RELACIÓN PROYECTOS</vt:lpstr>
      <vt:lpstr>CONSOLIDADO UNIDADES</vt:lpstr>
      <vt:lpstr>'SGTO POAI 2023 NOV-DIC'!Área_de_impresión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Lucia</dc:creator>
  <cp:keywords/>
  <dc:description/>
  <cp:lastModifiedBy>AUXPLANEACION03</cp:lastModifiedBy>
  <cp:revision/>
  <dcterms:created xsi:type="dcterms:W3CDTF">2020-08-12T15:20:51Z</dcterms:created>
  <dcterms:modified xsi:type="dcterms:W3CDTF">2023-12-28T17:55:53Z</dcterms:modified>
  <cp:category/>
  <cp:contentStatus/>
</cp:coreProperties>
</file>