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Gobernacion 2023\Sgto PDD 2023\III Trimestre 2023\"/>
    </mc:Choice>
  </mc:AlternateContent>
  <bookViews>
    <workbookView xWindow="0" yWindow="0" windowWidth="14265" windowHeight="8745"/>
  </bookViews>
  <sheets>
    <sheet name="POAI SEPTIEMBRE 2023" sheetId="14" r:id="rId1"/>
    <sheet name="RESUMEN PROGRAMAS" sheetId="15" r:id="rId2"/>
    <sheet name="FUENTES POR UNIDAD" sheetId="23" r:id="rId3"/>
    <sheet name="LÍNEA ESTRATEGICA" sheetId="18" r:id="rId4"/>
    <sheet name="RELACIÓN PROYECTOS" sheetId="20" r:id="rId5"/>
    <sheet name="CONSOLIDADO UNIDADES" sheetId="24" r:id="rId6"/>
  </sheet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UNIDAD'!$C$1:$C$85</definedName>
    <definedName name="_xlnm._FilterDatabase" localSheetId="0" hidden="1">'POAI SEPTIEMBRE 2023'!$A$7:$AX$309</definedName>
    <definedName name="_xlnm._FilterDatabase" localSheetId="4" hidden="1">'RELACIÓN PROYECTOS'!$B$2:$D$201</definedName>
    <definedName name="_xlnm._FilterDatabase" localSheetId="1" hidden="1">'RESUMEN PROGRAMAS'!$E$1:$E$195</definedName>
    <definedName name="aa" localSheetId="5">#REF!</definedName>
    <definedName name="aa" localSheetId="2">#REF!</definedName>
    <definedName name="aa">#REF!</definedName>
    <definedName name="_xlnm.Print_Area" localSheetId="0">'POAI SEPTIEMBRE 2023'!$A$1:$AL$81</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62913"/>
</workbook>
</file>

<file path=xl/calcChain.xml><?xml version="1.0" encoding="utf-8"?>
<calcChain xmlns="http://schemas.openxmlformats.org/spreadsheetml/2006/main">
  <c r="AH289" i="14" l="1"/>
  <c r="AI308" i="14" l="1"/>
  <c r="AI297" i="14"/>
  <c r="AI296" i="14"/>
  <c r="AI295" i="14"/>
  <c r="AI293" i="14"/>
  <c r="AK289" i="14"/>
  <c r="AK288" i="14"/>
  <c r="AK287" i="14"/>
  <c r="AH273" i="14" l="1"/>
  <c r="AH274" i="14"/>
  <c r="AE247" i="14" l="1"/>
  <c r="AH73" i="14" l="1"/>
  <c r="AH72" i="14"/>
  <c r="AH71" i="14"/>
  <c r="AF162" i="14" l="1"/>
  <c r="AF146" i="14" l="1"/>
  <c r="AK142" i="14" l="1"/>
  <c r="AH130" i="14"/>
  <c r="AH128" i="14"/>
  <c r="AH127" i="14"/>
  <c r="AH126" i="14"/>
  <c r="AH125" i="14"/>
  <c r="AH124" i="14"/>
  <c r="AH120" i="14"/>
  <c r="AH111" i="14" l="1"/>
  <c r="AH106" i="14"/>
  <c r="AH102" i="14"/>
  <c r="AH96" i="14"/>
  <c r="AH263" i="14" l="1"/>
  <c r="AH275" i="14" l="1"/>
  <c r="AH272" i="14"/>
  <c r="AH270" i="14"/>
  <c r="AH271" i="14"/>
  <c r="AH267" i="14"/>
  <c r="AH266" i="14"/>
  <c r="AH265" i="14"/>
  <c r="AH264" i="14"/>
  <c r="AK208" i="14"/>
  <c r="AH257" i="14"/>
  <c r="AH253" i="14"/>
  <c r="AH246" i="14"/>
  <c r="AD232" i="14"/>
  <c r="AD231" i="14"/>
  <c r="AD204" i="14"/>
  <c r="AI34" i="14"/>
  <c r="AL37" i="14"/>
  <c r="AC162" i="14" l="1"/>
  <c r="AH162" i="14"/>
  <c r="AH142" i="14"/>
  <c r="AC142" i="14"/>
  <c r="AH18" i="14" l="1"/>
  <c r="AH19" i="14"/>
  <c r="AH17" i="14" l="1"/>
  <c r="AH16" i="14"/>
  <c r="AH14" i="14" l="1"/>
  <c r="AH13" i="14"/>
  <c r="AH15" i="14" l="1"/>
  <c r="AI35" i="14" l="1"/>
  <c r="AI38" i="14"/>
  <c r="AI304" i="14" l="1"/>
  <c r="AL304" i="14" s="1"/>
  <c r="AI301" i="14"/>
  <c r="E186" i="15" l="1"/>
  <c r="D198" i="20"/>
  <c r="AD244" i="14"/>
  <c r="AD209" i="14"/>
  <c r="AH80" i="14"/>
  <c r="AH76" i="14"/>
  <c r="AH201" i="14" l="1"/>
  <c r="AH179" i="14"/>
  <c r="AH99" i="14" l="1"/>
  <c r="AH34" i="14" l="1"/>
  <c r="AH26" i="14"/>
  <c r="AH28" i="14"/>
  <c r="AH30" i="14" l="1"/>
  <c r="AH195" i="14" l="1"/>
  <c r="AH159" i="14"/>
  <c r="AH135" i="14" l="1"/>
  <c r="AH134" i="14"/>
  <c r="AH133" i="14" l="1"/>
  <c r="C72" i="23" l="1"/>
  <c r="C71" i="23"/>
  <c r="AH70" i="14" l="1"/>
  <c r="AH68" i="14"/>
  <c r="AH66" i="14"/>
  <c r="AH65" i="14"/>
  <c r="AH58" i="14"/>
  <c r="AH54" i="14"/>
  <c r="AB298" i="14" l="1"/>
  <c r="AB297" i="14"/>
  <c r="AB293" i="14"/>
  <c r="AH178" i="14" l="1"/>
  <c r="AH180" i="14"/>
  <c r="AH193" i="14"/>
  <c r="AH200" i="14"/>
  <c r="AH202" i="14"/>
  <c r="AL96" i="14"/>
  <c r="AH94" i="14"/>
  <c r="AH93" i="14"/>
  <c r="AH92" i="14"/>
  <c r="AH90" i="14"/>
  <c r="AH89" i="14"/>
  <c r="AH88" i="14"/>
  <c r="AH87" i="14"/>
  <c r="AH86" i="14"/>
  <c r="AH85" i="14"/>
  <c r="AH74" i="14"/>
  <c r="AH69" i="14"/>
  <c r="AE223" i="14" l="1"/>
  <c r="AD233" i="14"/>
  <c r="AD234" i="14"/>
  <c r="AD240" i="14"/>
  <c r="AD242" i="14"/>
  <c r="AD227" i="14"/>
  <c r="AC248" i="14"/>
  <c r="AE248" i="14"/>
  <c r="AK248" i="14"/>
  <c r="AC249" i="14"/>
  <c r="AD249" i="14"/>
  <c r="AE249" i="14"/>
  <c r="AK258" i="14"/>
  <c r="AK259" i="14"/>
  <c r="AD262" i="14"/>
  <c r="AL262" i="14" s="1"/>
  <c r="AH198" i="14"/>
  <c r="AH197" i="14"/>
  <c r="AB196" i="14"/>
  <c r="AH194" i="14"/>
  <c r="AH188" i="14"/>
  <c r="AH186" i="14"/>
  <c r="AH185" i="14"/>
  <c r="AH151" i="14"/>
  <c r="AH325" i="14" l="1"/>
  <c r="AB26" i="14" l="1"/>
  <c r="AH23" i="14"/>
  <c r="W243" i="14" l="1"/>
  <c r="W233" i="14"/>
  <c r="W217" i="14"/>
  <c r="C24" i="23" l="1"/>
  <c r="AH49" i="14"/>
  <c r="W36" i="14"/>
  <c r="W37" i="14"/>
  <c r="W53" i="14" l="1"/>
  <c r="W48" i="14"/>
  <c r="AI307" i="14" l="1"/>
  <c r="AI306" i="14"/>
  <c r="AI305" i="14"/>
  <c r="AC289" i="14" l="1"/>
  <c r="AC288" i="14" l="1"/>
  <c r="AB288" i="14"/>
  <c r="AH171" i="14" l="1"/>
  <c r="AH163" i="14"/>
  <c r="AH161" i="14"/>
  <c r="AH160" i="14"/>
  <c r="AH158" i="14"/>
  <c r="AH157" i="14"/>
  <c r="AH156" i="14"/>
  <c r="AH148" i="14"/>
  <c r="AH145" i="14"/>
  <c r="AH144" i="14"/>
  <c r="AH141" i="14"/>
  <c r="AH139" i="14"/>
  <c r="AH138" i="14"/>
  <c r="AL53" i="14" l="1"/>
  <c r="E41" i="15" s="1"/>
  <c r="E40" i="15" s="1"/>
  <c r="W54" i="14"/>
  <c r="D35" i="20" l="1"/>
  <c r="AC292" i="14" l="1"/>
  <c r="AC291" i="14" l="1"/>
  <c r="AI84" i="14" l="1"/>
  <c r="AL276" i="14" l="1"/>
  <c r="AH280" i="14"/>
  <c r="AH286" i="14"/>
  <c r="AH285" i="14"/>
  <c r="AH282" i="14"/>
  <c r="AH281" i="14"/>
  <c r="AH278" i="14"/>
  <c r="AH268" i="14"/>
  <c r="AL225" i="14" l="1"/>
  <c r="AH191" i="14"/>
  <c r="AH190" i="14"/>
  <c r="AH189" i="14"/>
  <c r="AH184" i="14"/>
  <c r="AH182" i="14"/>
  <c r="AH181" i="14"/>
  <c r="AH177" i="14"/>
  <c r="AH176" i="14"/>
  <c r="AH175" i="14"/>
  <c r="AH174" i="14"/>
  <c r="AH173" i="14"/>
  <c r="AH170" i="14"/>
  <c r="AH169" i="14"/>
  <c r="AH131" i="14" l="1"/>
  <c r="AL128" i="14"/>
  <c r="AH123" i="14"/>
  <c r="AH122" i="14"/>
  <c r="AH119" i="14"/>
  <c r="AH118" i="14"/>
  <c r="AH113" i="14"/>
  <c r="AH110" i="14"/>
  <c r="AH112" i="14"/>
  <c r="AH109" i="14"/>
  <c r="AH108" i="14"/>
  <c r="AH107" i="14"/>
  <c r="AH105" i="14"/>
  <c r="AH104" i="14"/>
  <c r="AH101" i="14"/>
  <c r="AH97" i="14"/>
  <c r="AB76" i="14" l="1"/>
  <c r="AH24" i="14" l="1"/>
  <c r="AH91" i="14" l="1"/>
  <c r="AI90" i="14"/>
  <c r="AH83" i="14" l="1"/>
  <c r="AH84" i="14"/>
  <c r="AH81" i="14"/>
  <c r="AH78" i="14"/>
  <c r="AH75" i="14"/>
  <c r="AH67" i="14" l="1"/>
  <c r="AH63" i="14"/>
  <c r="AH62" i="14"/>
  <c r="AH60" i="14"/>
  <c r="AH57" i="14"/>
  <c r="AH47" i="14"/>
  <c r="AH25" i="14"/>
  <c r="AH9" i="14"/>
  <c r="AH8" i="14"/>
  <c r="AH7" i="14"/>
  <c r="AH117" i="14" l="1"/>
  <c r="AK23" i="14" l="1"/>
  <c r="AL23" i="14" l="1"/>
  <c r="A11" i="20"/>
  <c r="A12" i="20" s="1"/>
  <c r="A13" i="20" s="1"/>
  <c r="A14" i="20" s="1"/>
  <c r="A15" i="20" s="1"/>
  <c r="A16" i="20" s="1"/>
  <c r="A17" i="20" s="1"/>
  <c r="C15" i="23"/>
  <c r="C8" i="23"/>
  <c r="C34" i="15"/>
  <c r="AL308" i="14"/>
  <c r="W308" i="14"/>
  <c r="AL307" i="14"/>
  <c r="W307" i="14"/>
  <c r="AL306" i="14"/>
  <c r="W306" i="14"/>
  <c r="AL305" i="14"/>
  <c r="W305" i="14"/>
  <c r="AL303" i="14"/>
  <c r="W303" i="14"/>
  <c r="AI302" i="14"/>
  <c r="W302" i="14"/>
  <c r="AL301" i="14"/>
  <c r="W301" i="14"/>
  <c r="AL300" i="14"/>
  <c r="W300" i="14"/>
  <c r="AL299" i="14"/>
  <c r="W299" i="14"/>
  <c r="AL298" i="14"/>
  <c r="W298" i="14"/>
  <c r="AL297" i="14"/>
  <c r="W297" i="14"/>
  <c r="AL296" i="14"/>
  <c r="W296" i="14"/>
  <c r="W295" i="14"/>
  <c r="AL294" i="14"/>
  <c r="W294" i="14"/>
  <c r="W293" i="14"/>
  <c r="AB292" i="14"/>
  <c r="AL292" i="14" s="1"/>
  <c r="D188" i="20" s="1"/>
  <c r="W292" i="14"/>
  <c r="AB291" i="14"/>
  <c r="W291" i="14"/>
  <c r="AC290" i="14"/>
  <c r="AL290" i="14" s="1"/>
  <c r="W290" i="14"/>
  <c r="C74" i="23"/>
  <c r="AB289" i="14"/>
  <c r="W289" i="14"/>
  <c r="AL288" i="14"/>
  <c r="W288" i="14"/>
  <c r="AB287" i="14"/>
  <c r="W287" i="14"/>
  <c r="AL286" i="14"/>
  <c r="W286" i="14"/>
  <c r="AL285" i="14"/>
  <c r="W285" i="14"/>
  <c r="AL284" i="14"/>
  <c r="W284" i="14"/>
  <c r="AH283" i="14"/>
  <c r="AL283" i="14" s="1"/>
  <c r="W283" i="14"/>
  <c r="AL282" i="14"/>
  <c r="W282" i="14"/>
  <c r="AL281" i="14"/>
  <c r="W281" i="14"/>
  <c r="AL280" i="14"/>
  <c r="W280" i="14"/>
  <c r="AH279" i="14"/>
  <c r="AL279" i="14" s="1"/>
  <c r="W279" i="14"/>
  <c r="AL278" i="14"/>
  <c r="W278" i="14"/>
  <c r="AL277" i="14"/>
  <c r="W277" i="14"/>
  <c r="AL275" i="14"/>
  <c r="W275" i="14"/>
  <c r="AL274" i="14"/>
  <c r="W274" i="14"/>
  <c r="AL273" i="14"/>
  <c r="W273" i="14"/>
  <c r="AL272" i="14"/>
  <c r="W272" i="14"/>
  <c r="AL271" i="14"/>
  <c r="W271" i="14"/>
  <c r="AL270" i="14"/>
  <c r="W270" i="14"/>
  <c r="AH269" i="14"/>
  <c r="AL269" i="14" s="1"/>
  <c r="W269" i="14"/>
  <c r="AL268" i="14"/>
  <c r="W268" i="14"/>
  <c r="AL267" i="14"/>
  <c r="W267" i="14"/>
  <c r="AL266" i="14"/>
  <c r="W266" i="14"/>
  <c r="AL265" i="14"/>
  <c r="W265" i="14"/>
  <c r="AL264" i="14"/>
  <c r="W264" i="14"/>
  <c r="AL263" i="14"/>
  <c r="W263" i="14"/>
  <c r="D167" i="20"/>
  <c r="W262" i="14"/>
  <c r="AL261" i="14"/>
  <c r="D166" i="20" s="1"/>
  <c r="AL260" i="14"/>
  <c r="D165" i="20" s="1"/>
  <c r="AL259" i="14"/>
  <c r="AL258" i="14"/>
  <c r="AL257" i="14"/>
  <c r="AL256" i="14"/>
  <c r="AL255" i="14"/>
  <c r="AL254" i="14"/>
  <c r="C60" i="23"/>
  <c r="W253" i="14"/>
  <c r="AL252" i="14"/>
  <c r="W252" i="14"/>
  <c r="AL251" i="14"/>
  <c r="AL250" i="14"/>
  <c r="AE309" i="14"/>
  <c r="AL247" i="14"/>
  <c r="AL227" i="14"/>
  <c r="AL246" i="14"/>
  <c r="AL245" i="14"/>
  <c r="AL244" i="14"/>
  <c r="AL243" i="14"/>
  <c r="AL242" i="14"/>
  <c r="AL241" i="14"/>
  <c r="AL240" i="14"/>
  <c r="AL226" i="14"/>
  <c r="AL239" i="14"/>
  <c r="AL238" i="14"/>
  <c r="AL237" i="14"/>
  <c r="AL236" i="14"/>
  <c r="AL235" i="14"/>
  <c r="AL234" i="14"/>
  <c r="AL233" i="14"/>
  <c r="AL232" i="14"/>
  <c r="AL231" i="14"/>
  <c r="AL230" i="14"/>
  <c r="AL229" i="14"/>
  <c r="AL228" i="14"/>
  <c r="AL224" i="14"/>
  <c r="AL223" i="14"/>
  <c r="AL222" i="14"/>
  <c r="AL221" i="14"/>
  <c r="AL220" i="14"/>
  <c r="AL219" i="14"/>
  <c r="AL218" i="14"/>
  <c r="AL217" i="14"/>
  <c r="AL216" i="14"/>
  <c r="AL215" i="14"/>
  <c r="AL214" i="14"/>
  <c r="AL213" i="14"/>
  <c r="AL212" i="14"/>
  <c r="AL211" i="14"/>
  <c r="AL210" i="14"/>
  <c r="C58" i="23"/>
  <c r="C61" i="23"/>
  <c r="AL207" i="14"/>
  <c r="AL206" i="14"/>
  <c r="AL205" i="14"/>
  <c r="AL204" i="14"/>
  <c r="AH203" i="14"/>
  <c r="AL203" i="14" s="1"/>
  <c r="D148" i="20" s="1"/>
  <c r="W203" i="14"/>
  <c r="AL202" i="14"/>
  <c r="D147" i="20" s="1"/>
  <c r="W202" i="14"/>
  <c r="AL201" i="14"/>
  <c r="D146" i="20" s="1"/>
  <c r="W201" i="14"/>
  <c r="AL200" i="14"/>
  <c r="D145" i="20" s="1"/>
  <c r="W200" i="14"/>
  <c r="AL199" i="14"/>
  <c r="W199" i="14"/>
  <c r="AL198" i="14"/>
  <c r="W198" i="14"/>
  <c r="AL197" i="14"/>
  <c r="D141" i="20" s="1"/>
  <c r="W197" i="14"/>
  <c r="AL196" i="14"/>
  <c r="C53" i="23"/>
  <c r="W196" i="14"/>
  <c r="AL195" i="14"/>
  <c r="W195" i="14"/>
  <c r="AL194" i="14"/>
  <c r="D138" i="20" s="1"/>
  <c r="W194" i="14"/>
  <c r="AL193" i="14"/>
  <c r="W193" i="14"/>
  <c r="AL192" i="14"/>
  <c r="W192" i="14"/>
  <c r="AL191" i="14"/>
  <c r="D136" i="20" s="1"/>
  <c r="W191" i="14"/>
  <c r="AL190" i="14"/>
  <c r="W190" i="14"/>
  <c r="AL189" i="14"/>
  <c r="W189" i="14"/>
  <c r="AL188" i="14"/>
  <c r="D134" i="20" s="1"/>
  <c r="W188" i="14"/>
  <c r="AH187" i="14"/>
  <c r="AL187" i="14" s="1"/>
  <c r="D133" i="20" s="1"/>
  <c r="W187" i="14"/>
  <c r="AL186" i="14"/>
  <c r="D132" i="20" s="1"/>
  <c r="W186" i="14"/>
  <c r="AL185" i="14"/>
  <c r="D131" i="20" s="1"/>
  <c r="W185" i="14"/>
  <c r="AL184" i="14"/>
  <c r="D130" i="20" s="1"/>
  <c r="W184" i="14"/>
  <c r="AL183" i="14"/>
  <c r="W183" i="14"/>
  <c r="AL182" i="14"/>
  <c r="W182" i="14"/>
  <c r="AL181" i="14"/>
  <c r="D128" i="20" s="1"/>
  <c r="W181" i="14"/>
  <c r="AL180" i="14"/>
  <c r="D127" i="20" s="1"/>
  <c r="W180" i="14"/>
  <c r="AL179" i="14"/>
  <c r="D126" i="20" s="1"/>
  <c r="W179" i="14"/>
  <c r="AL178" i="14"/>
  <c r="D125" i="20" s="1"/>
  <c r="W178" i="14"/>
  <c r="AL177" i="14"/>
  <c r="W177" i="14"/>
  <c r="AL176" i="14"/>
  <c r="W176" i="14"/>
  <c r="AL175" i="14"/>
  <c r="W175" i="14"/>
  <c r="AL174" i="14"/>
  <c r="W174" i="14"/>
  <c r="AL173" i="14"/>
  <c r="W173" i="14"/>
  <c r="AL172" i="14"/>
  <c r="W172" i="14"/>
  <c r="AC171" i="14"/>
  <c r="W171" i="14"/>
  <c r="AL170" i="14"/>
  <c r="W170" i="14"/>
  <c r="AL169" i="14"/>
  <c r="W169" i="14"/>
  <c r="AL168" i="14"/>
  <c r="W168" i="14"/>
  <c r="AL167" i="14"/>
  <c r="W167" i="14"/>
  <c r="AL166" i="14"/>
  <c r="W166" i="14"/>
  <c r="AL165" i="14"/>
  <c r="W165" i="14"/>
  <c r="AF164" i="14"/>
  <c r="AL164" i="14" s="1"/>
  <c r="W164" i="14"/>
  <c r="AL163" i="14"/>
  <c r="W163" i="14"/>
  <c r="W162" i="14"/>
  <c r="AL161" i="14"/>
  <c r="W161" i="14"/>
  <c r="AL160" i="14"/>
  <c r="W160" i="14"/>
  <c r="AL159" i="14"/>
  <c r="W159" i="14"/>
  <c r="AL158" i="14"/>
  <c r="W158" i="14"/>
  <c r="AL157" i="14"/>
  <c r="W157" i="14"/>
  <c r="AL156" i="14"/>
  <c r="W156" i="14"/>
  <c r="AL155" i="14"/>
  <c r="W155" i="14"/>
  <c r="AL154" i="14"/>
  <c r="W154" i="14"/>
  <c r="AL153" i="14"/>
  <c r="W153" i="14"/>
  <c r="AL152" i="14"/>
  <c r="W152" i="14"/>
  <c r="AF151" i="14"/>
  <c r="W151" i="14"/>
  <c r="AH150" i="14"/>
  <c r="AL150" i="14" s="1"/>
  <c r="W150" i="14"/>
  <c r="AH149" i="14"/>
  <c r="AL149" i="14" s="1"/>
  <c r="W149" i="14"/>
  <c r="AL148" i="14"/>
  <c r="W148" i="14"/>
  <c r="AL147" i="14"/>
  <c r="W147" i="14"/>
  <c r="AH146" i="14"/>
  <c r="W146" i="14"/>
  <c r="AL145" i="14"/>
  <c r="W145" i="14"/>
  <c r="AL144" i="14"/>
  <c r="W144" i="14"/>
  <c r="AH143" i="14"/>
  <c r="AC143" i="14"/>
  <c r="W143" i="14"/>
  <c r="C50" i="23"/>
  <c r="W142" i="14"/>
  <c r="AL141" i="14"/>
  <c r="W141" i="14"/>
  <c r="AF140" i="14"/>
  <c r="AL140" i="14" s="1"/>
  <c r="W140" i="14"/>
  <c r="AL139" i="14"/>
  <c r="W139" i="14"/>
  <c r="W138" i="14"/>
  <c r="AF137" i="14"/>
  <c r="W137" i="14"/>
  <c r="AL136" i="14"/>
  <c r="D107" i="20" s="1"/>
  <c r="W136" i="14"/>
  <c r="AL135" i="14"/>
  <c r="D106" i="20" s="1"/>
  <c r="W135" i="14"/>
  <c r="AL134" i="14"/>
  <c r="D105" i="20" s="1"/>
  <c r="W134" i="14"/>
  <c r="AL133" i="14"/>
  <c r="D104" i="20" s="1"/>
  <c r="C44" i="23"/>
  <c r="W133" i="14"/>
  <c r="AL132" i="14"/>
  <c r="W132" i="14"/>
  <c r="AL131" i="14"/>
  <c r="W131" i="14"/>
  <c r="E108" i="15"/>
  <c r="W130" i="14"/>
  <c r="AL129" i="14"/>
  <c r="W129" i="14"/>
  <c r="E107" i="15"/>
  <c r="W128" i="14"/>
  <c r="AL127" i="14"/>
  <c r="W127" i="14"/>
  <c r="AL126" i="14"/>
  <c r="D99" i="20" s="1"/>
  <c r="W126" i="14"/>
  <c r="AL125" i="14"/>
  <c r="D98" i="20" s="1"/>
  <c r="W125" i="14"/>
  <c r="W124" i="14"/>
  <c r="AL123" i="14"/>
  <c r="W123" i="14"/>
  <c r="AL122" i="14"/>
  <c r="W122" i="14"/>
  <c r="AH121" i="14"/>
  <c r="E105" i="15" s="1"/>
  <c r="W121" i="14"/>
  <c r="AL120" i="14"/>
  <c r="W120" i="14"/>
  <c r="AL119" i="14"/>
  <c r="W119" i="14"/>
  <c r="AL118" i="14"/>
  <c r="W118" i="14"/>
  <c r="AL117" i="14"/>
  <c r="W117" i="14"/>
  <c r="AL116" i="14"/>
  <c r="W116" i="14"/>
  <c r="AH115" i="14"/>
  <c r="AL115" i="14" s="1"/>
  <c r="W115" i="14"/>
  <c r="AL114" i="14"/>
  <c r="W114" i="14"/>
  <c r="AL113" i="14"/>
  <c r="W113" i="14"/>
  <c r="AL112" i="14"/>
  <c r="W112" i="14"/>
  <c r="AL111" i="14"/>
  <c r="W111" i="14"/>
  <c r="AL110" i="14"/>
  <c r="D89" i="20" s="1"/>
  <c r="W110" i="14"/>
  <c r="AL109" i="14"/>
  <c r="W109" i="14"/>
  <c r="AL108" i="14"/>
  <c r="W108" i="14"/>
  <c r="AL107" i="14"/>
  <c r="E94" i="15" s="1"/>
  <c r="W107" i="14"/>
  <c r="AL106" i="14"/>
  <c r="D86" i="20" s="1"/>
  <c r="W106" i="14"/>
  <c r="AL105" i="14"/>
  <c r="W105" i="14"/>
  <c r="AL104" i="14"/>
  <c r="W104" i="14"/>
  <c r="AL103" i="14"/>
  <c r="W103" i="14"/>
  <c r="AL102" i="14"/>
  <c r="W102" i="14"/>
  <c r="AL101" i="14"/>
  <c r="W101" i="14"/>
  <c r="AH100" i="14"/>
  <c r="AL100" i="14" s="1"/>
  <c r="W100" i="14"/>
  <c r="AL99" i="14"/>
  <c r="W99" i="14"/>
  <c r="AH98" i="14"/>
  <c r="AL98" i="14" s="1"/>
  <c r="W98" i="14"/>
  <c r="AL97" i="14"/>
  <c r="W97" i="14"/>
  <c r="W96" i="14"/>
  <c r="AL95" i="14"/>
  <c r="D79" i="20" s="1"/>
  <c r="W95" i="14"/>
  <c r="AL94" i="14"/>
  <c r="W94" i="14"/>
  <c r="AL93" i="14"/>
  <c r="W93" i="14"/>
  <c r="AL92" i="14"/>
  <c r="W92" i="14"/>
  <c r="AL91" i="14"/>
  <c r="W91" i="14"/>
  <c r="C38" i="23"/>
  <c r="AL90" i="14"/>
  <c r="D77" i="20" s="1"/>
  <c r="W90" i="14"/>
  <c r="AL89" i="14"/>
  <c r="W89" i="14"/>
  <c r="AL88" i="14"/>
  <c r="W88" i="14"/>
  <c r="AL87" i="14"/>
  <c r="D75" i="20" s="1"/>
  <c r="W87" i="14"/>
  <c r="AL86" i="14"/>
  <c r="W86" i="14"/>
  <c r="C37" i="23"/>
  <c r="W85" i="14"/>
  <c r="AL84" i="14"/>
  <c r="C34" i="23"/>
  <c r="W84" i="14"/>
  <c r="AL83" i="14"/>
  <c r="W83" i="14"/>
  <c r="AB82" i="14"/>
  <c r="AL82" i="14" s="1"/>
  <c r="D70" i="20" s="1"/>
  <c r="W82" i="14"/>
  <c r="AL81" i="14"/>
  <c r="W81" i="14"/>
  <c r="AB80" i="14"/>
  <c r="AL80" i="14" s="1"/>
  <c r="W80" i="14"/>
  <c r="AL79" i="14"/>
  <c r="W79" i="14"/>
  <c r="AL78" i="14"/>
  <c r="W78" i="14"/>
  <c r="AH77" i="14"/>
  <c r="AL77" i="14" s="1"/>
  <c r="W77" i="14"/>
  <c r="C32" i="23"/>
  <c r="W76" i="14"/>
  <c r="AL75" i="14"/>
  <c r="W75" i="14"/>
  <c r="AL74" i="14"/>
  <c r="W74" i="14"/>
  <c r="AL73" i="14"/>
  <c r="W73" i="14"/>
  <c r="AL72" i="14"/>
  <c r="W72" i="14"/>
  <c r="AL71" i="14"/>
  <c r="W71" i="14"/>
  <c r="AL70" i="14"/>
  <c r="D64" i="20" s="1"/>
  <c r="W70" i="14"/>
  <c r="AL69" i="14"/>
  <c r="W69" i="14"/>
  <c r="AL68" i="14"/>
  <c r="W68" i="14"/>
  <c r="AL67" i="14"/>
  <c r="W67" i="14"/>
  <c r="AL66" i="14"/>
  <c r="W66" i="14"/>
  <c r="AL65" i="14"/>
  <c r="D59" i="20" s="1"/>
  <c r="W65" i="14"/>
  <c r="AI64" i="14"/>
  <c r="AL64" i="14" s="1"/>
  <c r="D58" i="20" s="1"/>
  <c r="W64" i="14"/>
  <c r="AL63" i="14"/>
  <c r="D57" i="20" s="1"/>
  <c r="W63" i="14"/>
  <c r="AL62" i="14"/>
  <c r="W62" i="14"/>
  <c r="AL61" i="14"/>
  <c r="W61" i="14"/>
  <c r="AL60" i="14"/>
  <c r="W60" i="14"/>
  <c r="AL59" i="14"/>
  <c r="W59" i="14"/>
  <c r="AL58" i="14"/>
  <c r="W58" i="14"/>
  <c r="AL57" i="14"/>
  <c r="W57" i="14"/>
  <c r="AH56" i="14"/>
  <c r="AL56" i="14" s="1"/>
  <c r="W56" i="14"/>
  <c r="AH55" i="14"/>
  <c r="AL55" i="14" s="1"/>
  <c r="D53" i="20" s="1"/>
  <c r="W55" i="14"/>
  <c r="AL52" i="14"/>
  <c r="D45" i="20" s="1"/>
  <c r="W52" i="14"/>
  <c r="AK51" i="14"/>
  <c r="W51" i="14"/>
  <c r="AK50" i="14"/>
  <c r="AJ50" i="14"/>
  <c r="W50" i="14"/>
  <c r="AL49" i="14"/>
  <c r="D49" i="20" s="1"/>
  <c r="W49" i="14"/>
  <c r="AL48" i="14"/>
  <c r="D48" i="20" s="1"/>
  <c r="AL47" i="14"/>
  <c r="W47" i="14"/>
  <c r="AG46" i="14"/>
  <c r="AL46" i="14" s="1"/>
  <c r="W46" i="14"/>
  <c r="AL45" i="14"/>
  <c r="W45" i="14"/>
  <c r="AL44" i="14"/>
  <c r="W44" i="14"/>
  <c r="AG43" i="14"/>
  <c r="AB43" i="14"/>
  <c r="W43" i="14"/>
  <c r="AG42" i="14"/>
  <c r="W42" i="14"/>
  <c r="AL41" i="14"/>
  <c r="W41" i="14"/>
  <c r="AB40" i="14"/>
  <c r="AL40" i="14" s="1"/>
  <c r="D43" i="20" s="1"/>
  <c r="W40" i="14"/>
  <c r="AI39" i="14"/>
  <c r="AL39" i="14" s="1"/>
  <c r="D42" i="20" s="1"/>
  <c r="W39" i="14"/>
  <c r="AL38" i="14"/>
  <c r="D41" i="20" s="1"/>
  <c r="W38" i="14"/>
  <c r="D39" i="20"/>
  <c r="AL36" i="14"/>
  <c r="D38" i="20" s="1"/>
  <c r="AL35" i="14"/>
  <c r="D40" i="20" s="1"/>
  <c r="W35" i="14"/>
  <c r="AK34" i="14"/>
  <c r="C22" i="23" s="1"/>
  <c r="W34" i="14"/>
  <c r="AI33" i="14"/>
  <c r="W33" i="14"/>
  <c r="AL32" i="14"/>
  <c r="D34" i="20" s="1"/>
  <c r="W32" i="14"/>
  <c r="AL31" i="14"/>
  <c r="W31" i="14"/>
  <c r="AB30" i="14"/>
  <c r="W30" i="14"/>
  <c r="AL29" i="14"/>
  <c r="D28" i="20" s="1"/>
  <c r="W29" i="14"/>
  <c r="AL28" i="14"/>
  <c r="D27" i="20" s="1"/>
  <c r="W28" i="14"/>
  <c r="AH27" i="14"/>
  <c r="W27" i="14"/>
  <c r="W26" i="14"/>
  <c r="AL25" i="14"/>
  <c r="D24" i="20" s="1"/>
  <c r="W25" i="14"/>
  <c r="AL24" i="14"/>
  <c r="D21" i="20" s="1"/>
  <c r="W24" i="14"/>
  <c r="D20" i="20"/>
  <c r="C14" i="23"/>
  <c r="W23" i="14"/>
  <c r="AH22" i="14"/>
  <c r="AL22" i="14" s="1"/>
  <c r="D17" i="20" s="1"/>
  <c r="W22" i="14"/>
  <c r="AL21" i="14"/>
  <c r="W21" i="14"/>
  <c r="AL20" i="14"/>
  <c r="W20" i="14"/>
  <c r="AL19" i="14"/>
  <c r="W19" i="14"/>
  <c r="AL18" i="14"/>
  <c r="W18" i="14"/>
  <c r="AL17" i="14"/>
  <c r="W17" i="14"/>
  <c r="AL16" i="14"/>
  <c r="W16" i="14"/>
  <c r="AL15" i="14"/>
  <c r="D15" i="20" s="1"/>
  <c r="W15" i="14"/>
  <c r="AL14" i="14"/>
  <c r="D14" i="20" s="1"/>
  <c r="W14" i="14"/>
  <c r="AL13" i="14"/>
  <c r="D13" i="20" s="1"/>
  <c r="W13" i="14"/>
  <c r="AH12" i="14"/>
  <c r="W12" i="14"/>
  <c r="AL11" i="14"/>
  <c r="D11" i="20" s="1"/>
  <c r="W11" i="14"/>
  <c r="AL10" i="14"/>
  <c r="D8" i="20" s="1"/>
  <c r="W10" i="14"/>
  <c r="AL9" i="14"/>
  <c r="D7" i="20" s="1"/>
  <c r="W9" i="14"/>
  <c r="AL8" i="14"/>
  <c r="D6" i="20" s="1"/>
  <c r="W8" i="14"/>
  <c r="AL7" i="14"/>
  <c r="D5" i="20" s="1"/>
  <c r="W7" i="14"/>
  <c r="AG309" i="14" l="1"/>
  <c r="AL137" i="14"/>
  <c r="AL143" i="14"/>
  <c r="C25" i="23"/>
  <c r="AH309" i="14"/>
  <c r="AL30" i="14"/>
  <c r="D29" i="20" s="1"/>
  <c r="D129" i="20"/>
  <c r="D135" i="20"/>
  <c r="AL51" i="14"/>
  <c r="D31" i="20" s="1"/>
  <c r="C23" i="23"/>
  <c r="AL302" i="14"/>
  <c r="E182" i="15" s="1"/>
  <c r="C78" i="23"/>
  <c r="D170" i="20"/>
  <c r="D169" i="20"/>
  <c r="D168" i="20"/>
  <c r="D154" i="20"/>
  <c r="D84" i="20"/>
  <c r="C70" i="23"/>
  <c r="AL27" i="14"/>
  <c r="D26" i="20" s="1"/>
  <c r="C20" i="23"/>
  <c r="C77" i="23"/>
  <c r="AL42" i="14"/>
  <c r="C19" i="23"/>
  <c r="C18" i="23"/>
  <c r="AL43" i="14"/>
  <c r="AL50" i="14"/>
  <c r="D30" i="20" s="1"/>
  <c r="C21" i="23"/>
  <c r="C33" i="23"/>
  <c r="AL151" i="14"/>
  <c r="D112" i="20" s="1"/>
  <c r="C57" i="23"/>
  <c r="C64" i="23"/>
  <c r="C63" i="23" s="1"/>
  <c r="D178" i="20"/>
  <c r="D115" i="20"/>
  <c r="A20" i="20"/>
  <c r="A21" i="20" s="1"/>
  <c r="D116" i="20"/>
  <c r="C11" i="23"/>
  <c r="C49" i="23"/>
  <c r="AL253" i="14"/>
  <c r="AI309" i="14"/>
  <c r="AL146" i="14"/>
  <c r="AL248" i="14"/>
  <c r="AL162" i="14"/>
  <c r="C59" i="23"/>
  <c r="C69" i="23"/>
  <c r="AL291" i="14"/>
  <c r="D187" i="20" s="1"/>
  <c r="AL12" i="14"/>
  <c r="D12" i="20" s="1"/>
  <c r="AL121" i="14"/>
  <c r="D96" i="20" s="1"/>
  <c r="AL142" i="14"/>
  <c r="AL171" i="14"/>
  <c r="D117" i="20" s="1"/>
  <c r="AL287" i="14"/>
  <c r="AL289" i="14"/>
  <c r="C73" i="23"/>
  <c r="AD309" i="14"/>
  <c r="C28" i="23"/>
  <c r="C47" i="23"/>
  <c r="AL249" i="14"/>
  <c r="AC309" i="14"/>
  <c r="AF309" i="14"/>
  <c r="AL34" i="14"/>
  <c r="C41" i="23"/>
  <c r="AL138" i="14"/>
  <c r="AL208" i="14"/>
  <c r="AL209" i="14"/>
  <c r="AL293" i="14"/>
  <c r="E175" i="15" s="1"/>
  <c r="E174" i="15" s="1"/>
  <c r="E155" i="15"/>
  <c r="D16" i="20"/>
  <c r="D111" i="20"/>
  <c r="D153" i="20"/>
  <c r="C7" i="23"/>
  <c r="C6" i="23" s="1"/>
  <c r="C29" i="23"/>
  <c r="C48" i="23"/>
  <c r="C54" i="23"/>
  <c r="AL26" i="14"/>
  <c r="D25" i="20" s="1"/>
  <c r="AL33" i="14"/>
  <c r="AL54" i="14"/>
  <c r="E58" i="15" s="1"/>
  <c r="AL85" i="14"/>
  <c r="D74" i="20" s="1"/>
  <c r="AL124" i="14"/>
  <c r="D97" i="20" s="1"/>
  <c r="AL130" i="14"/>
  <c r="D101" i="20" s="1"/>
  <c r="AL295" i="14"/>
  <c r="D194" i="20" s="1"/>
  <c r="AK309" i="14"/>
  <c r="E93" i="15"/>
  <c r="E114" i="15"/>
  <c r="AL76" i="14"/>
  <c r="E80" i="15" s="1"/>
  <c r="AB309" i="14"/>
  <c r="AJ309" i="14"/>
  <c r="D155" i="20"/>
  <c r="D152" i="20"/>
  <c r="D95" i="20"/>
  <c r="D83" i="20"/>
  <c r="D85" i="20"/>
  <c r="D100" i="20"/>
  <c r="D156" i="20"/>
  <c r="C43" i="23"/>
  <c r="E98" i="15"/>
  <c r="D159" i="20"/>
  <c r="D162" i="20"/>
  <c r="E65" i="15"/>
  <c r="E48" i="15"/>
  <c r="D87" i="20"/>
  <c r="E34" i="15"/>
  <c r="E33" i="15" s="1"/>
  <c r="D4" i="20"/>
  <c r="D3" i="20" s="1"/>
  <c r="D19" i="20"/>
  <c r="D18" i="20" s="1"/>
  <c r="B5" i="24" s="1"/>
  <c r="D76" i="20"/>
  <c r="D103" i="20"/>
  <c r="D102" i="20" s="1"/>
  <c r="B11" i="24" s="1"/>
  <c r="D114" i="20"/>
  <c r="D161" i="20"/>
  <c r="D47" i="20"/>
  <c r="D46" i="20" s="1"/>
  <c r="E53" i="15"/>
  <c r="D122" i="20"/>
  <c r="E128" i="15"/>
  <c r="E127" i="15" s="1"/>
  <c r="D54" i="20"/>
  <c r="E60" i="15"/>
  <c r="D93" i="20"/>
  <c r="E101" i="15"/>
  <c r="E100" i="15" s="1"/>
  <c r="E139" i="15"/>
  <c r="E138" i="15" s="1"/>
  <c r="D142" i="20"/>
  <c r="D140" i="20" s="1"/>
  <c r="D144" i="20"/>
  <c r="D143" i="20" s="1"/>
  <c r="E142" i="15"/>
  <c r="E141" i="15" s="1"/>
  <c r="E140" i="15" s="1"/>
  <c r="D157" i="20"/>
  <c r="E148" i="15"/>
  <c r="E9" i="15"/>
  <c r="E59" i="15"/>
  <c r="E67" i="15"/>
  <c r="E66" i="15" s="1"/>
  <c r="E75" i="15"/>
  <c r="E74" i="15" s="1"/>
  <c r="E73" i="15" s="1"/>
  <c r="E106" i="15"/>
  <c r="E133" i="15"/>
  <c r="E137" i="15"/>
  <c r="E136" i="15" s="1"/>
  <c r="C36" i="23"/>
  <c r="D92" i="20"/>
  <c r="E99" i="15"/>
  <c r="D176" i="20"/>
  <c r="E154" i="15"/>
  <c r="D61" i="20"/>
  <c r="E70" i="15"/>
  <c r="E69" i="15" s="1"/>
  <c r="D71" i="20"/>
  <c r="E81" i="15"/>
  <c r="D33" i="20"/>
  <c r="D32" i="20" s="1"/>
  <c r="E39" i="15"/>
  <c r="E38" i="15" s="1"/>
  <c r="E37" i="15" s="1"/>
  <c r="D55" i="20"/>
  <c r="E62" i="15"/>
  <c r="E61" i="15" s="1"/>
  <c r="E72" i="15"/>
  <c r="E71" i="15" s="1"/>
  <c r="D65" i="20"/>
  <c r="D63" i="20" s="1"/>
  <c r="D82" i="20"/>
  <c r="D90" i="20"/>
  <c r="E97" i="15"/>
  <c r="D123" i="20"/>
  <c r="E130" i="15"/>
  <c r="E129" i="15" s="1"/>
  <c r="D124" i="20"/>
  <c r="E132" i="15"/>
  <c r="D160" i="20"/>
  <c r="D163" i="20"/>
  <c r="D164" i="20"/>
  <c r="D181" i="20"/>
  <c r="E159" i="15"/>
  <c r="D192" i="20"/>
  <c r="E177" i="15"/>
  <c r="E176" i="15" s="1"/>
  <c r="E10" i="15"/>
  <c r="E36" i="15"/>
  <c r="E35" i="15" s="1"/>
  <c r="E52" i="15"/>
  <c r="D62" i="20"/>
  <c r="D88" i="20"/>
  <c r="E95" i="15"/>
  <c r="D137" i="20"/>
  <c r="E134" i="15"/>
  <c r="D171" i="20"/>
  <c r="D56" i="20"/>
  <c r="E64" i="15"/>
  <c r="D69" i="20"/>
  <c r="D78" i="20"/>
  <c r="E88" i="15"/>
  <c r="E87" i="15" s="1"/>
  <c r="D91" i="20"/>
  <c r="D119" i="20"/>
  <c r="D118" i="20" s="1"/>
  <c r="E123" i="15"/>
  <c r="E122" i="15" s="1"/>
  <c r="E121" i="15" s="1"/>
  <c r="D139" i="20"/>
  <c r="D158" i="20"/>
  <c r="D177" i="20"/>
  <c r="D180" i="20"/>
  <c r="E158" i="15"/>
  <c r="D183" i="20"/>
  <c r="D182" i="20" s="1"/>
  <c r="E162" i="15"/>
  <c r="E161" i="15" s="1"/>
  <c r="E160" i="15" s="1"/>
  <c r="D196" i="20"/>
  <c r="E183" i="15"/>
  <c r="D197" i="20"/>
  <c r="E185" i="15"/>
  <c r="E184" i="15" s="1"/>
  <c r="D201" i="20"/>
  <c r="E191" i="15"/>
  <c r="E190" i="15" s="1"/>
  <c r="E189" i="15" s="1"/>
  <c r="E188" i="15" s="1"/>
  <c r="C81" i="23"/>
  <c r="C80" i="23" s="1"/>
  <c r="E16" i="15"/>
  <c r="E21" i="15"/>
  <c r="E20" i="15" s="1"/>
  <c r="E19" i="15" s="1"/>
  <c r="E18" i="15" s="1"/>
  <c r="E26" i="15"/>
  <c r="E25" i="15" s="1"/>
  <c r="E46" i="15"/>
  <c r="E45" i="15" s="1"/>
  <c r="E96" i="15"/>
  <c r="E104" i="15"/>
  <c r="E113" i="15"/>
  <c r="C13" i="23"/>
  <c r="E28" i="15" l="1"/>
  <c r="E27" i="15" s="1"/>
  <c r="D195" i="20"/>
  <c r="D173" i="20"/>
  <c r="E32" i="15"/>
  <c r="E31" i="15" s="1"/>
  <c r="D44" i="20"/>
  <c r="E49" i="15"/>
  <c r="C17" i="23"/>
  <c r="C31" i="23"/>
  <c r="C10" i="23"/>
  <c r="C56" i="23"/>
  <c r="C76" i="23"/>
  <c r="E147" i="15"/>
  <c r="D172" i="20"/>
  <c r="A24" i="20"/>
  <c r="A25" i="20" s="1"/>
  <c r="A26" i="20" s="1"/>
  <c r="A27" i="20" s="1"/>
  <c r="A28" i="20" s="1"/>
  <c r="A29" i="20" s="1"/>
  <c r="A31" i="20" s="1"/>
  <c r="A33" i="20" s="1"/>
  <c r="A34" i="20" s="1"/>
  <c r="D186" i="20"/>
  <c r="D185" i="20" s="1"/>
  <c r="D184" i="20" s="1"/>
  <c r="B17" i="24" s="1"/>
  <c r="E169" i="15"/>
  <c r="C68" i="23"/>
  <c r="E170" i="15"/>
  <c r="D110" i="20"/>
  <c r="C40" i="23"/>
  <c r="E44" i="15"/>
  <c r="E43" i="15" s="1"/>
  <c r="E119" i="15"/>
  <c r="E149" i="15"/>
  <c r="D151" i="20"/>
  <c r="D113" i="20"/>
  <c r="D191" i="20"/>
  <c r="E120" i="15"/>
  <c r="E15" i="15"/>
  <c r="E14" i="15" s="1"/>
  <c r="E13" i="15" s="1"/>
  <c r="E12" i="15" s="1"/>
  <c r="D10" i="20"/>
  <c r="D9" i="20" s="1"/>
  <c r="B4" i="24" s="1"/>
  <c r="D23" i="20"/>
  <c r="AL309" i="14"/>
  <c r="D68" i="20"/>
  <c r="D67" i="20" s="1"/>
  <c r="D66" i="20" s="1"/>
  <c r="B8" i="24" s="1"/>
  <c r="E30" i="15"/>
  <c r="E29" i="15" s="1"/>
  <c r="C27" i="23"/>
  <c r="C46" i="23"/>
  <c r="E180" i="15"/>
  <c r="E179" i="15" s="1"/>
  <c r="C52" i="23"/>
  <c r="D52" i="20"/>
  <c r="E86" i="15"/>
  <c r="E85" i="15" s="1"/>
  <c r="E84" i="15" s="1"/>
  <c r="E83" i="15" s="1"/>
  <c r="E112" i="15"/>
  <c r="E111" i="15" s="1"/>
  <c r="E110" i="15" s="1"/>
  <c r="D37" i="20"/>
  <c r="D94" i="20"/>
  <c r="E135" i="15"/>
  <c r="E51" i="15"/>
  <c r="E50" i="15" s="1"/>
  <c r="E63" i="15"/>
  <c r="E157" i="15"/>
  <c r="E156" i="15" s="1"/>
  <c r="E92" i="15"/>
  <c r="E91" i="15" s="1"/>
  <c r="E103" i="15"/>
  <c r="E102" i="15" s="1"/>
  <c r="E79" i="15"/>
  <c r="E78" i="15" s="1"/>
  <c r="E77" i="15" s="1"/>
  <c r="E57" i="15"/>
  <c r="E173" i="15"/>
  <c r="D179" i="20"/>
  <c r="D73" i="20"/>
  <c r="D72" i="20" s="1"/>
  <c r="B9" i="24" s="1"/>
  <c r="E68" i="15"/>
  <c r="E153" i="15"/>
  <c r="E152" i="15" s="1"/>
  <c r="E8" i="15"/>
  <c r="E7" i="15" s="1"/>
  <c r="B3" i="24"/>
  <c r="D199" i="20"/>
  <c r="B19" i="24" s="1"/>
  <c r="D200" i="20"/>
  <c r="E131" i="15"/>
  <c r="E126" i="15" s="1"/>
  <c r="D81" i="20"/>
  <c r="D60" i="20"/>
  <c r="D175" i="20"/>
  <c r="D121" i="20"/>
  <c r="D120" i="20" s="1"/>
  <c r="B13" i="24" s="1"/>
  <c r="E181" i="15"/>
  <c r="D193" i="20" l="1"/>
  <c r="E24" i="15"/>
  <c r="E47" i="15"/>
  <c r="D36" i="20"/>
  <c r="C83" i="23"/>
  <c r="D149" i="20"/>
  <c r="B14" i="24" s="1"/>
  <c r="A35" i="20"/>
  <c r="A37" i="20" s="1"/>
  <c r="A38" i="20" s="1"/>
  <c r="A39" i="20" s="1"/>
  <c r="A40" i="20" s="1"/>
  <c r="A41" i="20" s="1"/>
  <c r="A42" i="20" s="1"/>
  <c r="A43" i="20" s="1"/>
  <c r="A44" i="20" s="1"/>
  <c r="A45" i="20" s="1"/>
  <c r="A47" i="20" s="1"/>
  <c r="A48" i="20" s="1"/>
  <c r="A49" i="20" s="1"/>
  <c r="E146" i="15"/>
  <c r="E145" i="15" s="1"/>
  <c r="E144" i="15" s="1"/>
  <c r="E168" i="15"/>
  <c r="E167" i="15" s="1"/>
  <c r="E166" i="15" s="1"/>
  <c r="E118" i="15"/>
  <c r="E117" i="15" s="1"/>
  <c r="E116" i="15" s="1"/>
  <c r="E178" i="15"/>
  <c r="E172" i="15" s="1"/>
  <c r="D150" i="20"/>
  <c r="D109" i="20"/>
  <c r="D108" i="20" s="1"/>
  <c r="B12" i="24" s="1"/>
  <c r="D190" i="20"/>
  <c r="D51" i="20"/>
  <c r="E56" i="15"/>
  <c r="E55" i="15" s="1"/>
  <c r="C66" i="23"/>
  <c r="D80" i="20"/>
  <c r="B10" i="24" s="1"/>
  <c r="E125" i="15"/>
  <c r="E90" i="15"/>
  <c r="C6" i="18"/>
  <c r="D174" i="20"/>
  <c r="B15" i="24" s="1"/>
  <c r="E151" i="15"/>
  <c r="C8" i="18"/>
  <c r="E6" i="15"/>
  <c r="D189" i="20" l="1"/>
  <c r="B18" i="24" s="1"/>
  <c r="E42" i="15"/>
  <c r="E23" i="15" s="1"/>
  <c r="E164" i="15" s="1"/>
  <c r="D22" i="20"/>
  <c r="B6" i="24" s="1"/>
  <c r="C85" i="23"/>
  <c r="A52" i="20"/>
  <c r="A53" i="20" s="1"/>
  <c r="A54" i="20" s="1"/>
  <c r="A55" i="20" s="1"/>
  <c r="A56" i="20" s="1"/>
  <c r="A57" i="20" s="1"/>
  <c r="A58" i="20" s="1"/>
  <c r="A59" i="20" s="1"/>
  <c r="A61" i="20" s="1"/>
  <c r="A62" i="20" s="1"/>
  <c r="A64" i="20" s="1"/>
  <c r="A65" i="20" s="1"/>
  <c r="A68" i="20" s="1"/>
  <c r="A69" i="20" s="1"/>
  <c r="A70" i="20" s="1"/>
  <c r="A71" i="20" s="1"/>
  <c r="E193" i="15"/>
  <c r="D50" i="20"/>
  <c r="B7" i="24" s="1"/>
  <c r="C5" i="18"/>
  <c r="B20" i="24" l="1"/>
  <c r="C7" i="18"/>
  <c r="A74" i="20"/>
  <c r="A75" i="20" s="1"/>
  <c r="A76" i="20" s="1"/>
  <c r="A77" i="20" s="1"/>
  <c r="A78" i="20" s="1"/>
  <c r="A79" i="20" s="1"/>
  <c r="E195" i="15"/>
  <c r="D202" i="20"/>
  <c r="B16" i="24"/>
  <c r="C9" i="18" l="1"/>
  <c r="A82" i="20"/>
  <c r="A83" i="20" s="1"/>
  <c r="A84" i="20" s="1"/>
  <c r="A85" i="20" s="1"/>
  <c r="A86" i="20" s="1"/>
  <c r="A87" i="20" s="1"/>
  <c r="A88" i="20" s="1"/>
  <c r="A89" i="20" s="1"/>
  <c r="A90" i="20" s="1"/>
  <c r="A91" i="20" s="1"/>
  <c r="A92" i="20" s="1"/>
  <c r="A93" i="20" s="1"/>
  <c r="A95" i="20" s="1"/>
  <c r="A96" i="20" s="1"/>
  <c r="A97" i="20" s="1"/>
  <c r="A98" i="20" s="1"/>
  <c r="A99" i="20" s="1"/>
  <c r="A100" i="20" s="1"/>
  <c r="A101" i="20" s="1"/>
  <c r="B22" i="24"/>
  <c r="A104" i="20" l="1"/>
  <c r="A105" i="20" s="1"/>
  <c r="A106" i="20" s="1"/>
  <c r="A107" i="20" s="1"/>
  <c r="A110" i="20" l="1"/>
  <c r="A111" i="20" s="1"/>
  <c r="A112" i="20" s="1"/>
  <c r="A113" i="20" s="1"/>
  <c r="A114" i="20" s="1"/>
  <c r="A115" i="20" s="1"/>
  <c r="A116" i="20" s="1"/>
  <c r="A117" i="20" s="1"/>
  <c r="A119" i="20"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USERPC</author>
  </authors>
  <commentList>
    <comment ref="N230"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<sst xmlns="http://schemas.openxmlformats.org/spreadsheetml/2006/main" count="5138" uniqueCount="1503">
  <si>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</si>
  <si>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</si>
  <si>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</si>
  <si>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</si>
  <si>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</si>
  <si>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</si>
  <si>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</si>
  <si>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</si>
  <si>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</si>
  <si>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</si>
  <si>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</si>
  <si>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</si>
  <si>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</si>
  <si>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</si>
  <si>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</si>
  <si>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</si>
  <si>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</si>
  <si>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</si>
  <si>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</si>
  <si>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</si>
  <si>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</si>
  <si>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</si>
  <si>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</si>
  <si>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</si>
  <si>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</si>
  <si>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</si>
  <si>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</si>
  <si>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</si>
  <si>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</si>
  <si>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</si>
  <si>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</si>
  <si>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</si>
  <si>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</si>
  <si>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</si>
  <si>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</si>
  <si>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</si>
  <si>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</si>
  <si>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</si>
  <si>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</si>
  <si>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</si>
  <si>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</si>
  <si>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</si>
  <si>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</si>
  <si>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</si>
  <si>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</si>
  <si>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</si>
  <si>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</si>
  <si>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</si>
  <si>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</si>
  <si>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</si>
  <si>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</si>
  <si>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</si>
  <si>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</si>
  <si>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</si>
  <si>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</si>
  <si>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</si>
  <si>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</si>
  <si>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</si>
  <si>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</si>
  <si>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</si>
  <si>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</si>
  <si>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</si>
  <si>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</si>
  <si>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</si>
  <si>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</si>
  <si>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</si>
  <si>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</si>
  <si>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</si>
  <si>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</si>
  <si>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</si>
  <si>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</si>
  <si>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</si>
  <si>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</si>
  <si>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</si>
  <si>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</si>
  <si>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</si>
  <si>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</si>
  <si>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</si>
  <si>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</si>
  <si>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</si>
  <si>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</si>
  <si>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</si>
  <si>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</si>
  <si>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</si>
  <si>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</si>
  <si>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</si>
  <si>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</si>
  <si>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</si>
  <si>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</si>
  <si>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</si>
  <si>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</si>
  <si>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</si>
  <si>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</si>
  <si>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</si>
  <si>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</si>
  <si>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</si>
  <si>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</si>
  <si>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</si>
  <si>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</si>
  <si>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</si>
  <si>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</si>
  <si>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</si>
  <si>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</si>
  <si>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</si>
  <si>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</si>
  <si>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</si>
  <si>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</si>
  <si>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</si>
  <si>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</si>
  <si>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</si>
  <si>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</si>
  <si>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</si>
  <si>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</si>
  <si>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</si>
  <si>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</si>
  <si>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</si>
  <si>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</si>
  <si>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</si>
  <si>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</si>
  <si>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</si>
  <si>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</si>
  <si>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</si>
  <si>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</si>
  <si>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</si>
  <si>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</si>
  <si>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</si>
  <si>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</si>
  <si>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</si>
  <si>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</si>
  <si>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</si>
  <si>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</si>
  <si>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</si>
  <si>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</si>
  <si>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</si>
  <si>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</si>
  <si>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</si>
  <si>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</si>
  <si>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</si>
  <si>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</si>
  <si>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</si>
  <si>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</si>
  <si>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</si>
  <si>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</si>
  <si>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</si>
  <si>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</si>
  <si>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</si>
  <si>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</si>
  <si>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</si>
  <si>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</si>
  <si>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</si>
  <si>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</si>
  <si>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</si>
  <si>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</si>
  <si>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</si>
  <si>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</si>
  <si>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</si>
  <si>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</si>
  <si>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</si>
  <si>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</si>
  <si>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</si>
  <si>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</si>
  <si>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</si>
  <si>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</si>
  <si>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</si>
  <si>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</si>
  <si>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</si>
  <si>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</si>
  <si>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</si>
  <si>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</si>
  <si>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</si>
  <si>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</si>
  <si>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</si>
  <si>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</si>
  <si>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</si>
  <si>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</si>
  <si>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</si>
  <si>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</si>
  <si>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</si>
  <si>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</si>
  <si>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</si>
  <si>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</si>
  <si>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</si>
  <si>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</si>
  <si>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</si>
  <si>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</si>
  <si>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</si>
  <si>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</si>
  <si>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</si>
  <si>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</si>
  <si>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</si>
  <si>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</si>
  <si>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</si>
  <si>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</si>
  <si>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</si>
  <si>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</si>
  <si>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</si>
  <si>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</si>
  <si>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</si>
  <si>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</si>
  <si>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</si>
  <si>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</si>
  <si>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</si>
  <si>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</si>
  <si>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</si>
  <si>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</si>
  <si>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</si>
  <si>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</si>
  <si>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</si>
  <si>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</si>
  <si>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</si>
  <si>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</si>
  <si>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</si>
  <si>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</si>
  <si>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</si>
  <si>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</si>
  <si>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</si>
  <si>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</si>
  <si>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</si>
  <si>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</si>
  <si>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</si>
  <si>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</si>
  <si>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</si>
  <si>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</si>
  <si>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</si>
  <si>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</si>
  <si>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</si>
  <si>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</si>
  <si>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</si>
  <si>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</si>
  <si>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</si>
  <si>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</si>
  <si>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</si>
  <si>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</si>
  <si>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</si>
  <si>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</si>
  <si>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</si>
  <si>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</si>
  <si>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</si>
  <si>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</si>
  <si>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</si>
  <si>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</si>
  <si>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</si>
  <si>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</si>
  <si>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</si>
  <si>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</si>
  <si>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</si>
  <si>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</si>
  <si>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</si>
  <si>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</si>
  <si>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</si>
  <si>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</si>
  <si>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</si>
  <si>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</si>
  <si>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</si>
  <si>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</si>
  <si>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</si>
  <si>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</si>
  <si>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</si>
  <si>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</si>
  <si>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</si>
  <si>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</si>
  <si>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</si>
  <si>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</si>
  <si>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</si>
  <si>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</si>
  <si>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</si>
  <si>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</si>
  <si>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</si>
  <si>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</si>
  <si>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</si>
  <si>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</si>
  <si>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</si>
  <si>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</si>
  <si>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</si>
  <si>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</si>
  <si>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</si>
  <si>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</si>
  <si>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</si>
  <si>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</si>
  <si>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</si>
  <si>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</si>
  <si>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</si>
  <si>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</si>
  <si>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</si>
  <si>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</si>
  <si>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</si>
  <si>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</si>
  <si>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</si>
  <si>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</si>
  <si>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</si>
  <si>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</si>
  <si>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</si>
  <si>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</si>
  <si>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</si>
  <si>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</si>
  <si>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</si>
  <si>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</si>
  <si>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</si>
  <si>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</si>
  <si>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</si>
  <si>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</si>
  <si>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</si>
  <si>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</si>
  <si>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</si>
  <si>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</si>
  <si>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</si>
  <si>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</si>
  <si>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</si>
  <si>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</si>
  <si>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</si>
  <si>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</si>
  <si>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</si>
  <si>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</si>
  <si>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</si>
  <si>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</si>
  <si>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</si>
  <si>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</si>
  <si>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</si>
  <si>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</si>
  <si>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</si>
  <si>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</si>
  <si>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</si>
  <si>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</si>
  <si>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</si>
  <si>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</si>
  <si>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</si>
  <si>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</si>
  <si>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</si>
  <si>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</si>
  <si>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</si>
  <si>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</si>
  <si>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</si>
  <si>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</si>
  <si>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</si>
  <si>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</si>
  <si>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</si>
  <si>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</si>
  <si>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</si>
  <si>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</si>
  <si>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</si>
  <si>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</si>
  <si>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</si>
  <si>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</si>
  <si>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</si>
  <si>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</si>
  <si>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</si>
  <si>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</si>
  <si>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</si>
  <si>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</si>
  <si>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</si>
  <si>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</si>
  <si>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</si>
  <si>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</si>
  <si>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</si>
  <si>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</si>
  <si>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</si>
  <si>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</si>
  <si>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</si>
  <si>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</si>
  <si>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</si>
  <si>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</si>
  <si>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</si>
  <si>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</si>
  <si>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</si>
  <si>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</si>
  <si>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</si>
  <si>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</si>
  <si>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</si>
  <si>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</si>
  <si>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</si>
  <si>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</si>
  <si>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</si>
  <si>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</si>
  <si>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</si>
  <si>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</si>
  <si>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</si>
  <si>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</si>
  <si>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</si>
  <si>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</si>
  <si>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</si>
  <si>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</si>
  <si>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</si>
  <si>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</si>
  <si>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</si>
  <si>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</si>
  <si>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</si>
  <si>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</si>
  <si>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</si>
  <si>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</si>
  <si>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</si>
  <si>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</si>
  <si>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</si>
  <si>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</si>
  <si>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</si>
  <si>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</si>
  <si>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</si>
  <si>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</si>
  <si>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</si>
  <si>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</si>
  <si>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</si>
  <si>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</si>
  <si>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</si>
  <si>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</si>
  <si>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</si>
  <si>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</si>
  <si>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</si>
  <si>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</si>
  <si>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</si>
  <si>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</si>
  <si>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</si>
  <si>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</si>
  <si>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</si>
  <si>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</si>
  <si>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</si>
  <si>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</si>
  <si>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</si>
  <si>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</si>
  <si>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</si>
  <si>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</si>
  <si>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</si>
  <si>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</si>
  <si>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</si>
  <si>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</si>
  <si>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</si>
  <si>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</si>
  <si>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</si>
  <si>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</si>
  <si>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</si>
  <si>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</si>
  <si>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</si>
  <si>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</si>
  <si>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</si>
  <si>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</si>
  <si>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</si>
  <si>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</si>
  <si>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</si>
  <si>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</si>
  <si>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</si>
  <si>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</si>
  <si>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</si>
  <si>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</si>
  <si>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</si>
  <si>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</si>
  <si>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</si>
  <si>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</si>
  <si>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</si>
  <si>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</si>
  <si>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</si>
  <si>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</si>
  <si>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</si>
  <si>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</si>
  <si>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</si>
  <si>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</si>
  <si>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</si>
  <si>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</si>
  <si>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</si>
  <si>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</si>
  <si>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</si>
  <si>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</si>
  <si>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</si>
  <si>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</si>
  <si>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</si>
  <si>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</si>
  <si>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</si>
  <si>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</si>
  <si>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</si>
  <si>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</si>
  <si>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</si>
  <si>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</si>
  <si>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</si>
  <si>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</si>
  <si>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</si>
  <si>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</si>
  <si>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</si>
  <si>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</si>
  <si>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</si>
  <si>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</si>
  <si>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</si>
  <si>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</si>
  <si>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</si>
  <si>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</si>
  <si>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</si>
  <si>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</si>
  <si>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</si>
  <si>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</si>
  <si>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</si>
  <si>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</si>
  <si>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</si>
  <si>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</si>
  <si>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</si>
  <si>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</si>
  <si>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</si>
  <si>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</si>
  <si>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</si>
  <si>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</si>
  <si>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</si>
  <si>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</si>
  <si>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</si>
  <si>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</si>
  <si>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</si>
  <si>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</si>
  <si>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</si>
  <si>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</si>
  <si>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</si>
  <si>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</si>
  <si>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</si>
  <si>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</si>
  <si>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</si>
  <si>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</si>
  <si>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</si>
  <si>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</si>
  <si>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</si>
  <si>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</si>
  <si>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</si>
  <si>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</si>
  <si>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</si>
  <si>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</si>
  <si>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</si>
  <si>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</si>
  <si>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</si>
  <si>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</si>
  <si>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</si>
  <si>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</si>
  <si>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</si>
  <si>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</si>
  <si>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</si>
  <si>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</si>
  <si>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</si>
  <si>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</si>
  <si>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</si>
  <si>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</si>
  <si>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</si>
  <si>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</si>
  <si>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</si>
  <si>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</si>
  <si>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</si>
  <si>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</si>
  <si>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</si>
  <si>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</si>
  <si>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</si>
  <si>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</si>
  <si>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</si>
  <si>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</si>
  <si>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</si>
  <si>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</si>
  <si>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</si>
  <si>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</si>
  <si>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</si>
  <si>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</si>
  <si>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</si>
  <si>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</si>
  <si>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</si>
  <si>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</si>
  <si>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</si>
  <si>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</si>
  <si>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</si>
  <si>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</si>
  <si>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</si>
  <si>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</si>
  <si>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</si>
  <si>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</si>
  <si>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</si>
  <si>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</si>
  <si>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</si>
  <si>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</si>
  <si>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</si>
  <si>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</si>
  <si>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</si>
  <si>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</si>
  <si>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</si>
  <si>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</si>
  <si>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</si>
  <si>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</si>
  <si>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</si>
  <si>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</si>
  <si>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</si>
  <si>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</si>
  <si>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</si>
  <si>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</si>
  <si>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</si>
  <si>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</si>
  <si>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</si>
  <si>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</si>
  <si>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</si>
  <si>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</si>
  <si>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</si>
  <si>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</si>
  <si>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</si>
  <si>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</si>
  <si>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</si>
  <si>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</si>
  <si>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</si>
  <si>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</si>
  <si>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</si>
  <si>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</si>
  <si>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</si>
  <si>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</si>
  <si>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</si>
  <si>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</si>
  <si>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</si>
  <si>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</si>
  <si>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</si>
  <si>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</si>
  <si>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</si>
  <si>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</si>
  <si>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</si>
  <si>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</si>
  <si>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</si>
  <si>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</si>
  <si>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</si>
  <si>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</si>
  <si>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</si>
  <si>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</si>
  <si>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</si>
  <si>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</si>
  <si>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</si>
  <si>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</si>
  <si>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</si>
  <si>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</si>
  <si>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</si>
  <si>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</si>
  <si>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</si>
  <si>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</si>
  <si>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</si>
  <si>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</si>
  <si>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</si>
  <si>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</si>
  <si>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</si>
  <si>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</si>
  <si>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</si>
  <si>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</si>
  <si>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</si>
  <si>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</si>
  <si>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</si>
  <si>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</si>
  <si>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</si>
  <si>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</si>
  <si>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</si>
  <si>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</si>
  <si>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</si>
  <si>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</si>
  <si>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</si>
  <si>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</si>
  <si>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</si>
  <si>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</si>
  <si>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</si>
  <si>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</si>
  <si>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</si>
  <si>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</si>
  <si>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</si>
  <si>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</si>
  <si>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</si>
  <si>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</si>
  <si>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</si>
  <si>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</si>
  <si>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</si>
  <si>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</si>
  <si>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</si>
  <si>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</si>
  <si>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</si>
  <si>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</si>
  <si>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</si>
  <si>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</si>
  <si>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</si>
  <si>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</si>
  <si>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</si>
  <si>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</si>
  <si>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</si>
  <si>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</si>
  <si>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</si>
  <si>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</si>
  <si>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</si>
  <si>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</si>
  <si>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</si>
  <si>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</si>
  <si>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</si>
  <si>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</si>
  <si>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</si>
  <si>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</si>
  <si>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</si>
  <si>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</si>
  <si>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</si>
  <si>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</si>
  <si>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</si>
  <si>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</si>
  <si>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</si>
  <si>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</si>
  <si>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</si>
  <si>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</si>
  <si>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</si>
  <si>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</si>
  <si>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</si>
  <si>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</si>
  <si>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</si>
  <si>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</si>
  <si>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</si>
  <si>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</si>
  <si>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</si>
  <si>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</si>
  <si>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</si>
  <si>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</si>
  <si>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</si>
  <si>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</si>
  <si>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</si>
  <si>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</si>
  <si>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</si>
  <si>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</si>
  <si>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</si>
  <si>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</si>
  <si>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</si>
  <si>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</si>
  <si>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</si>
  <si>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</si>
  <si>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</si>
  <si>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</si>
  <si>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</si>
  <si>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</si>
  <si>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</si>
  <si>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</si>
  <si>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</si>
  <si>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</si>
  <si>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</si>
  <si>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</si>
  <si>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</si>
  <si>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</si>
  <si>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</si>
  <si>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</si>
  <si>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</si>
  <si>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</si>
  <si>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</si>
  <si>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</si>
  <si>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</si>
  <si>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</si>
  <si>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</si>
  <si>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</si>
  <si>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</si>
  <si>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</si>
  <si>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</si>
  <si>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</si>
  <si>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</si>
  <si>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</si>
  <si>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</si>
  <si>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</si>
  <si>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</si>
  <si>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</si>
  <si>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</si>
  <si>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</si>
  <si>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</si>
  <si>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</si>
  <si>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</si>
  <si>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</si>
  <si>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</si>
  <si>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</si>
  <si>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</si>
  <si>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</si>
  <si>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</si>
  <si>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</si>
  <si>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</si>
  <si>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</si>
  <si>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</si>
  <si>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</si>
  <si>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</si>
  <si>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</si>
  <si>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</si>
  <si>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</si>
  <si>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</si>
  <si>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</si>
  <si>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</si>
  <si>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</si>
  <si>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</si>
  <si>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</si>
  <si>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</si>
  <si>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</si>
  <si>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</si>
  <si>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</si>
  <si>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</si>
  <si>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</si>
  <si>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</si>
  <si>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</si>
  <si>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</si>
  <si>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</si>
  <si>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</si>
  <si>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</si>
  <si>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</si>
  <si>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</si>
  <si>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</si>
  <si>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</si>
  <si>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</si>
  <si>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</si>
  <si>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</si>
  <si>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</si>
  <si>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</si>
  <si>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</si>
  <si>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</si>
  <si>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</si>
  <si>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</si>
  <si>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</si>
  <si>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</si>
  <si>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</si>
  <si>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</si>
  <si>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</si>
  <si>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</si>
  <si>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</si>
  <si>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</si>
  <si>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</si>
  <si>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</si>
  <si>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</si>
  <si>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</si>
  <si>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</si>
  <si>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</si>
  <si>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</si>
  <si>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</si>
  <si>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</si>
  <si>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</si>
  <si>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</si>
  <si>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</si>
  <si>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</si>
  <si>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</si>
  <si>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</si>
  <si>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</si>
  <si>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</si>
  <si>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</si>
  <si>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</si>
  <si>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</si>
  <si>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</si>
  <si>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</si>
  <si>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</si>
  <si>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</si>
  <si>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</si>
  <si>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</si>
  <si>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</si>
  <si>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</si>
  <si>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</si>
  <si>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</si>
  <si>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</si>
  <si>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</si>
  <si>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</si>
  <si>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</si>
  <si>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</si>
  <si>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</si>
  <si>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</si>
  <si>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</si>
  <si>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</si>
  <si>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</si>
  <si>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</si>
  <si>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</si>
  <si>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</si>
  <si>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</si>
  <si>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</si>
  <si>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</si>
  <si>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</si>
  <si>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</si>
  <si>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</si>
  <si>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</si>
  <si>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</si>
  <si>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</si>
  <si>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</si>
  <si>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</si>
  <si>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</si>
  <si>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</si>
  <si>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</si>
  <si>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</si>
  <si>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</si>
  <si>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</si>
  <si>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</si>
  <si>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</si>
  <si>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</si>
  <si>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</si>
  <si>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</si>
  <si>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</si>
  <si>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</si>
  <si>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</si>
  <si>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</si>
  <si>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</si>
  <si>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</si>
  <si>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</si>
  <si>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</si>
  <si>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</si>
  <si>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</si>
  <si>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</si>
  <si>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</si>
  <si>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</si>
  <si>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</si>
  <si>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</si>
  <si>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</si>
  <si>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</si>
  <si>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</si>
  <si>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</si>
  <si>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</si>
  <si>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</si>
  <si>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</si>
  <si>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</si>
  <si>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</si>
  <si>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</si>
  <si>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</si>
  <si>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</si>
  <si>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</si>
  <si>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</si>
  <si>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</si>
  <si>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</si>
  <si>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</si>
  <si>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</si>
  <si>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</si>
  <si>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</si>
  <si>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</si>
  <si>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</si>
  <si>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</si>
  <si>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</si>
  <si>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</si>
  <si>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</si>
  <si>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</si>
  <si>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</si>
  <si>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</si>
  <si>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</si>
  <si>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</si>
  <si>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</si>
  <si>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</si>
  <si>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</si>
  <si>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</si>
  <si>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</si>
  <si>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</si>
  <si>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</si>
  <si>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</si>
  <si>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</si>
  <si>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</si>
  <si>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</si>
  <si>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</si>
  <si>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</si>
  <si>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</si>
  <si>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</si>
  <si>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</si>
  <si>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</si>
  <si>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</si>
  <si>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</si>
  <si>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</si>
  <si>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</si>
  <si>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</si>
  <si>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</si>
  <si>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</si>
  <si>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</si>
  <si>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</si>
  <si>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</si>
  <si>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</si>
  <si>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</si>
  <si>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</si>
  <si>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</si>
  <si>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</si>
  <si>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</si>
  <si>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</si>
  <si>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</si>
  <si>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</si>
  <si>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</si>
  <si>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</si>
  <si>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</si>
  <si>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</si>
  <si>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</si>
  <si>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</si>
  <si>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</si>
  <si>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</si>
  <si>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</si>
  <si>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</si>
  <si>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</si>
  <si>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</si>
  <si>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</si>
  <si>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</si>
  <si>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</si>
  <si>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</si>
  <si>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</si>
  <si>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</si>
  <si>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</si>
  <si>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</si>
  <si>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</si>
  <si>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</si>
  <si>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</si>
  <si>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</si>
  <si>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</si>
  <si>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</si>
  <si>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</si>
  <si>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</si>
  <si>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</si>
  <si>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</si>
  <si>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</si>
  <si>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</si>
  <si>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</si>
  <si>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</si>
  <si>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</si>
  <si>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</si>
  <si>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</si>
  <si>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</si>
  <si>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</si>
  <si>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</si>
  <si>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</si>
  <si>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</si>
  <si>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</si>
  <si>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</si>
  <si>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</si>
  <si>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</si>
  <si>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</si>
  <si>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</si>
  <si>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</si>
  <si>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</si>
  <si>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</si>
  <si>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</si>
  <si>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</si>
  <si>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</si>
  <si>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</si>
  <si>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</si>
  <si>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</si>
  <si>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</si>
  <si>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</si>
  <si>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</si>
  <si>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</si>
  <si>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</si>
  <si>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</si>
  <si>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</si>
  <si>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</si>
  <si>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</si>
  <si>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</si>
  <si>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</si>
  <si>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</si>
  <si>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</si>
  <si>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</si>
  <si>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</si>
  <si>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</si>
  <si>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</si>
  <si>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</si>
  <si>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</si>
  <si>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</si>
  <si>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</si>
  <si>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</si>
  <si>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</si>
  <si>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</si>
  <si>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</si>
  <si>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</si>
  <si>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</si>
  <si>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</si>
  <si>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</si>
  <si>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</si>
  <si>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</si>
  <si>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</si>
  <si>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</si>
  <si>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</si>
  <si>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</si>
  <si>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</si>
  <si>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</si>
  <si>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</si>
  <si>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</si>
  <si>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</si>
  <si>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</si>
  <si>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</si>
  <si>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</si>
  <si>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</si>
  <si>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</si>
  <si>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</si>
  <si>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</si>
  <si>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</si>
  <si>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</si>
  <si>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</si>
  <si>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</si>
  <si>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</si>
  <si>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</si>
  <si>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</si>
  <si>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</si>
  <si>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</si>
  <si>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</si>
  <si>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</si>
  <si>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</si>
  <si>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</si>
  <si>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</si>
  <si>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</si>
  <si>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</si>
  <si>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</si>
  <si>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</si>
  <si>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</si>
  <si>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</si>
  <si>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</si>
  <si>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</si>
  <si>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</si>
  <si>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</si>
  <si>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</si>
  <si>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</si>
  <si>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</si>
  <si>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</si>
  <si>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</si>
  <si>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</si>
  <si>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</si>
  <si>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</si>
  <si>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</si>
  <si>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</si>
  <si>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</si>
  <si>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</si>
  <si>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</si>
  <si>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</si>
  <si>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</si>
  <si>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</si>
  <si>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</si>
  <si>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</si>
  <si>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</si>
  <si>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</si>
  <si>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</si>
  <si>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</si>
  <si>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</si>
  <si>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</si>
  <si>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</si>
  <si>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</si>
  <si>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</si>
  <si>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</si>
  <si>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</si>
  <si>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</si>
  <si>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</si>
  <si>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</si>
  <si>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</si>
  <si>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</si>
  <si>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</si>
  <si>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</si>
  <si>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</si>
  <si>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</si>
  <si>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</si>
  <si>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</si>
  <si>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</si>
  <si>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</si>
  <si>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</si>
  <si>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</si>
  <si>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</si>
  <si>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</si>
  <si>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</si>
  <si>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</si>
  <si>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</si>
  <si>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</si>
  <si>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</si>
  <si>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</si>
  <si>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</si>
  <si>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</si>
  <si>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</si>
  <si>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</si>
  <si>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</si>
  <si>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</si>
  <si>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</si>
  <si>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</si>
  <si>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</si>
  <si>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</si>
  <si>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</si>
  <si>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</si>
  <si>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</si>
  <si>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</si>
  <si>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</si>
  <si>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</si>
  <si>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</si>
  <si>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</si>
  <si>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</si>
  <si>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</si>
  <si>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</si>
  <si>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</si>
  <si>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</si>
  <si>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</si>
  <si>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</si>
  <si>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</si>
  <si>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</si>
  <si>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</si>
  <si>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</si>
  <si>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</si>
  <si>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</si>
  <si>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</si>
  <si>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</si>
  <si>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</si>
  <si>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</si>
  <si>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</si>
  <si>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</si>
  <si>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</si>
  <si>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</si>
  <si>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</si>
  <si>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</si>
  <si>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</si>
  <si>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</si>
  <si>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</si>
  <si>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</si>
  <si>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</si>
  <si>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</si>
  <si>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</si>
  <si>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</si>
  <si>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</si>
  <si>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</si>
  <si>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</si>
  <si>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</si>
  <si>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</si>
  <si>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</si>
  <si>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</si>
  <si>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</si>
  <si>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</si>
  <si>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</si>
  <si>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</si>
  <si>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</si>
  <si>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</si>
  <si>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</si>
  <si>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</si>
  <si>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</si>
  <si>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</si>
  <si>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</si>
  <si>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</si>
  <si>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</si>
  <si>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</si>
  <si>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</si>
  <si>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</si>
  <si>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</si>
  <si>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</si>
  <si>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</si>
  <si>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</si>
  <si>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</si>
  <si>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</si>
  <si>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</si>
  <si>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</si>
  <si>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</si>
  <si>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</si>
  <si>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</si>
  <si>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</si>
  <si>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</si>
  <si>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</si>
  <si>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</si>
  <si>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</si>
  <si>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</si>
  <si>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</si>
  <si>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</si>
  <si>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</si>
  <si>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</si>
  <si>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</si>
  <si>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</si>
  <si>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</si>
  <si>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</si>
  <si>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</si>
  <si>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</si>
  <si>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</si>
  <si>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</si>
  <si>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</si>
  <si>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</si>
  <si>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</si>
  <si>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</si>
  <si>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</si>
  <si>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</si>
  <si>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</si>
  <si>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</si>
  <si>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</si>
  <si>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</si>
  <si>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</si>
  <si>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</si>
  <si>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</si>
  <si>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</si>
  <si>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</si>
  <si>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</si>
  <si>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</si>
  <si>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</si>
  <si>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</si>
  <si>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</si>
  <si>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</si>
  <si>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</si>
  <si>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</si>
  <si>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</si>
  <si>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</si>
  <si>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</si>
  <si>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</si>
  <si>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</si>
  <si>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</si>
  <si>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</si>
  <si>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</si>
  <si>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</si>
  <si>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</si>
  <si>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</si>
  <si>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</si>
  <si>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</si>
  <si>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</si>
  <si>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</si>
  <si>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</si>
  <si>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</si>
  <si>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</si>
  <si>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</si>
  <si>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</si>
  <si>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</si>
  <si>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</si>
  <si>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</si>
  <si>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</si>
  <si>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</si>
  <si>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</si>
  <si>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</si>
  <si>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</si>
  <si>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</si>
  <si>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</si>
  <si>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</si>
  <si>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</si>
  <si>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</si>
  <si>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</si>
  <si>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</si>
  <si>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</si>
  <si>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</si>
  <si>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</si>
  <si>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</si>
  <si>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</si>
  <si>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</si>
  <si>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</si>
  <si>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</si>
  <si>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</si>
  <si>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</si>
  <si>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</si>
  <si>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</si>
  <si>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</si>
  <si>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</si>
  <si>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</si>
  <si>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</si>
  <si>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</si>
  <si>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</si>
  <si>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</si>
  <si>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</si>
  <si>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</si>
  <si>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</si>
  <si>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</si>
  <si>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</si>
  <si>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</si>
  <si>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</si>
  <si>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</si>
  <si>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</si>
  <si>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</si>
  <si>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</si>
  <si>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</si>
  <si>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</si>
  <si>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</si>
  <si>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</si>
  <si>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</si>
  <si>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</si>
  <si>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</si>
  <si>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</si>
  <si>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</si>
  <si>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</si>
  <si>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324  SECRETARÍA TECNOLÓGIAS DE LA INFORMACIÓN Y LASCOMUNICACIÓN</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</si>
  <si>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</si>
  <si>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</si>
  <si>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</si>
  <si>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</si>
  <si>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</si>
  <si>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</si>
  <si>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</si>
  <si>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</si>
  <si>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</si>
  <si>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</si>
  <si>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</si>
  <si>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</si>
  <si>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</si>
  <si>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</si>
  <si>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</si>
  <si>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</si>
  <si>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</si>
  <si>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</si>
  <si>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</si>
  <si>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</si>
  <si>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</si>
  <si>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</si>
  <si>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</si>
  <si>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</si>
  <si>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</si>
  <si>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</si>
  <si>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</si>
  <si>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</si>
  <si>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</si>
  <si>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</si>
  <si>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</si>
  <si>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</si>
  <si>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</si>
  <si>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</si>
  <si>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</si>
  <si>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</si>
  <si>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</si>
  <si>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</si>
  <si>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</si>
  <si>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</si>
  <si>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</si>
  <si>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</si>
  <si>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</si>
  <si>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</si>
  <si>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</si>
  <si>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</si>
  <si>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</si>
  <si>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</si>
  <si>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</si>
  <si>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</si>
  <si>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</si>
  <si>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</si>
  <si>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</si>
  <si>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</si>
  <si>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</si>
  <si>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</si>
  <si>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</si>
  <si>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</si>
  <si>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</si>
  <si>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</si>
  <si>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</si>
  <si>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</si>
  <si>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</si>
  <si>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</si>
  <si>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</si>
  <si>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</si>
  <si>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</si>
  <si>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</si>
  <si>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</si>
  <si>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</si>
  <si>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</si>
  <si>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</si>
  <si>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</si>
  <si>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</si>
  <si>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</si>
  <si>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</si>
  <si>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</si>
  <si>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</si>
  <si>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</si>
  <si>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</si>
  <si>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</si>
  <si>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</si>
  <si>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</si>
  <si>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</si>
  <si>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</si>
  <si>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</si>
  <si>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</si>
  <si>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</si>
  <si>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</si>
  <si>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</si>
  <si>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</si>
  <si>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</si>
  <si>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</si>
  <si>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</si>
  <si>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</si>
  <si>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</si>
  <si>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</si>
  <si>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</si>
  <si>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</si>
  <si>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</si>
  <si>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</si>
  <si>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</si>
  <si>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</si>
  <si>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</si>
  <si>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</si>
  <si>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</si>
  <si>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</si>
  <si>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</si>
  <si>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</si>
  <si>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</si>
  <si>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</si>
  <si>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</si>
  <si>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</si>
  <si>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</si>
  <si>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</si>
  <si>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</si>
  <si>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</si>
  <si>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</si>
  <si>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</si>
  <si>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</si>
  <si>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</si>
  <si>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</si>
  <si>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</si>
  <si>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</si>
  <si>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</si>
  <si>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</si>
  <si>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</si>
  <si>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</si>
  <si>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</si>
  <si>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</si>
  <si>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 xml:space="preserve"> SGP EDUCACIÓN - CONECTIVIDAD 
</t>
  </si>
  <si>
    <t>Plan de Desarrollo 2020-2023 "Tú y yo somos Quindío"</t>
  </si>
  <si>
    <t>RESPONSABLE
CARGO</t>
  </si>
  <si>
    <t>F-PLA-43</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</si>
  <si>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</si>
  <si>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</si>
  <si>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</si>
  <si>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</si>
  <si>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</si>
  <si>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</si>
  <si>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</si>
  <si>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</si>
  <si>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</si>
  <si>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CONSOLIDADO EJECUCIÓN GASTOS DE INVERSIÓN DEPARTAMENTAL
A MARZO 31 DE 2023</t>
  </si>
  <si>
    <t>APROPIACIÓN DEFINITIVA</t>
  </si>
  <si>
    <t>MONOPOLIO EDUCACIÓN SALUD</t>
  </si>
  <si>
    <t>Construcción y/o mejoramiento de las redes de acueducto y alcantarillado en los municipios del departamento del Quindío</t>
  </si>
  <si>
    <t>TOTAL EJECUTADA</t>
  </si>
  <si>
    <t>Tasa  Deporte</t>
  </si>
  <si>
    <t xml:space="preserve"> ESTAMPILLAS 
PRO - CULTURA
PRO - ADULTO MAYOR
PRO - DESARROLLO
TASA - DEPORTE
 </t>
  </si>
  <si>
    <t>Estudios y diseños para la adecuación del Puente Don Nicolás Via Armenia-Bohemia-Calarcá con código 40QN10 en el departamento del Quindío</t>
  </si>
  <si>
    <t>Mejorar el acceso de la vía que comunica al municipio de Armenia con Calarcá por el sector de la Bohemia</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</si>
  <si>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</si>
  <si>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</si>
  <si>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</si>
  <si>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</si>
  <si>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</si>
  <si>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</si>
  <si>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Impuesto al Consumo</t>
  </si>
  <si>
    <t>Ingresos Corrientes de Libre Destinación</t>
  </si>
  <si>
    <t>Impuesto al Cigarrillo</t>
  </si>
  <si>
    <t>PLAN OPERATIVO ANUAL DE INVERSIÓN POAI  2023
PLAN DE DESARROLLO 2020-2023 "TÚ Y YO SOMOS QUINDIO"
REPORTE UNIDADES EJECUTORAS POR PROGRAMAS
III TRIMESTRE  2023</t>
  </si>
  <si>
    <t>PLAN OPERATIVO ANUAL DE INVERSIÓN POAI  2023
PLAN DE DESARROLLO 2020-2023 "TÚ Y YO SOMOS QUINDIO"
REPORTE UNIDADES EJECUTORAS POR FUENTES DE FINANCIACIÓN
III TRIMESTRE 2023</t>
  </si>
  <si>
    <t>PLAN OPERATIVO ANUAL DE INVERSIÓN POAI  2023
PLAN DE DESARROLLO 2020-2023 "TÚ Y YO SOMOS QUINDIO"
RELACIÓN DE RECURSOS POR LÍNEA ESTRATÉGICA
III TRIMESTRE 2023</t>
  </si>
  <si>
    <t>PLAN OPERATIVO ANUAL DE INVERSIONES POAI  2023
PLAN DE DESARROLLO 2020-2023 "TÚ Y YO SOMOS QUINDIO"
RELACIÓN PROYECTOS DE INVERSION EN EJECUCIÓN
SEPTIEMBRE 30 2023</t>
  </si>
  <si>
    <t>Nación  Convenios INVIAS</t>
  </si>
  <si>
    <t>Nación Ministerio Salud Laboratorio</t>
  </si>
  <si>
    <t>Realizar mantenimiento preventivo y correctivo a las redes de acueducto y alcantarillado</t>
  </si>
  <si>
    <t>Incrementar el índice de competitividad  en el sector de infraestructura vial,    a través de obras físicas complementarias, garantizando condiciones de eficiencia, seguridad y confort a los a sus usuarios</t>
  </si>
  <si>
    <t>A septiembre 30 de 2023</t>
  </si>
  <si>
    <t>FUENTES DE FINANCIACIÓN</t>
  </si>
  <si>
    <t>Programación Plan Operativo Anual de Inversiones POAI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</si>
</sst>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_-&quot;$&quot;\ * #,##0_-;\-&quot;$&quot;\ * #,##0_-;_-&quot;$&quot;\ * &quot;-&quot;_-;_-@_-"/>
    <numFmt numFmtId="167" formatCode="_-&quot;$&quot;\ * #,##0.00_-;\-&quot;$&quot;\ * #,##0.00_-;_-&quot;$&quot;\ * &quot;-&quot;??_-;_-@_-"/>
    <numFmt numFmtId="168" formatCode="_-* #,##0.00\ _€_-;\-* #,##0.00\ _€_-;_-* &quot;-&quot;??\ _€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 numFmtId="180" formatCode="0.0"/>
  </numFmts>
  <fonts count="67">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8"/>
      <color rgb="FF000000"/>
      <name val="Arial"/>
      <family val="2"/>
    </font>
    <font>
      <sz val="8"/>
      <color theme="1"/>
      <name val="Arial"/>
      <family val="2"/>
    </font>
    <font>
      <sz val="9"/>
      <color theme="1"/>
      <name val="Arial"/>
      <family val="2"/>
    </font>
    <font>
      <sz val="11"/>
      <name val="Arial"/>
      <family val="2"/>
    </font>
    <font>
      <b/>
      <sz val="12"/>
      <color theme="1"/>
      <name val="Arial"/>
      <family val="2"/>
    </font>
    <font>
      <b/>
      <sz val="10"/>
      <color theme="0"/>
      <name val="Arial"/>
      <family val="2"/>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2060"/>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s>
  <cellStyleXfs count="411">
    <xf numFmtId="169" fontId="0" fillId="0" borderId="0"/>
    <xf numFmtId="43" fontId="1" fillId="0" borderId="0" applyFont="0" applyFill="0" applyBorder="0" applyAlignment="0" applyProtection="0"/>
    <xf numFmtId="42" fontId="1" fillId="0" borderId="0" applyFont="0" applyFill="0" applyBorder="0" applyAlignment="0" applyProtection="0"/>
    <xf numFmtId="165" fontId="5" fillId="0" borderId="0" applyFont="0" applyFill="0" applyBorder="0" applyAlignment="0" applyProtection="0"/>
    <xf numFmtId="169" fontId="7" fillId="4" borderId="10">
      <alignment horizontal="center" vertical="center" wrapText="1"/>
    </xf>
    <xf numFmtId="0" fontId="1" fillId="0" borderId="0"/>
    <xf numFmtId="165" fontId="1" fillId="0" borderId="0" applyFont="0" applyFill="0" applyBorder="0" applyAlignment="0" applyProtection="0"/>
    <xf numFmtId="0" fontId="7" fillId="4" borderId="10">
      <alignment horizontal="center" vertical="center" wrapText="1"/>
    </xf>
    <xf numFmtId="169" fontId="8" fillId="0" borderId="0"/>
    <xf numFmtId="167"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4" borderId="0" applyNumberFormat="0" applyBorder="0" applyAlignment="0" applyProtection="0"/>
    <xf numFmtId="174" fontId="9" fillId="10" borderId="32" applyNumberFormat="0" applyAlignment="0" applyProtection="0"/>
    <xf numFmtId="174" fontId="18" fillId="9" borderId="29"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9" fontId="8"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6"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9"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3" applyNumberFormat="0" applyFont="0" applyAlignment="0" applyProtection="0"/>
    <xf numFmtId="174" fontId="1" fillId="0" borderId="0"/>
    <xf numFmtId="174" fontId="17" fillId="9"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61" fillId="0" borderId="0">
      <alignment vertical="center"/>
    </xf>
    <xf numFmtId="164" fontId="63" fillId="0" borderId="0">
      <alignment vertical="top"/>
      <protection locked="0"/>
    </xf>
    <xf numFmtId="9" fontId="64" fillId="0" borderId="0">
      <alignment vertical="top"/>
      <protection locked="0"/>
    </xf>
    <xf numFmtId="169" fontId="65" fillId="4" borderId="10">
      <protection locked="0"/>
    </xf>
    <xf numFmtId="43" fontId="63" fillId="0" borderId="0">
      <alignment vertical="top"/>
      <protection locked="0"/>
    </xf>
    <xf numFmtId="43" fontId="64" fillId="0" borderId="0">
      <alignment vertical="top"/>
      <protection locked="0"/>
    </xf>
    <xf numFmtId="9" fontId="63" fillId="0" borderId="0">
      <alignment vertical="top"/>
      <protection locked="0"/>
    </xf>
    <xf numFmtId="9" fontId="63" fillId="0" borderId="0">
      <alignment vertical="top"/>
      <protection locked="0"/>
    </xf>
    <xf numFmtId="0" fontId="62" fillId="0" borderId="0">
      <protection locked="0"/>
    </xf>
    <xf numFmtId="0" fontId="62" fillId="0" borderId="0">
      <protection locked="0"/>
    </xf>
    <xf numFmtId="43" fontId="63" fillId="0" borderId="0">
      <alignment vertical="top"/>
      <protection locked="0"/>
    </xf>
    <xf numFmtId="0" fontId="1" fillId="0" borderId="0"/>
    <xf numFmtId="0" fontId="61" fillId="0" borderId="0">
      <alignment vertical="center"/>
    </xf>
    <xf numFmtId="169" fontId="65" fillId="4" borderId="10">
      <protection locked="0"/>
    </xf>
    <xf numFmtId="43" fontId="10" fillId="0" borderId="0">
      <alignment vertical="top"/>
      <protection locked="0"/>
    </xf>
    <xf numFmtId="43" fontId="5" fillId="0" borderId="0">
      <alignment vertical="top"/>
      <protection locked="0"/>
    </xf>
    <xf numFmtId="9" fontId="5" fillId="0" borderId="0">
      <alignment vertical="top"/>
      <protection locked="0"/>
    </xf>
    <xf numFmtId="9" fontId="10" fillId="0" borderId="0">
      <alignment vertical="top"/>
      <protection locked="0"/>
    </xf>
    <xf numFmtId="9" fontId="10" fillId="0" borderId="0">
      <alignment vertical="top"/>
      <protection locked="0"/>
    </xf>
    <xf numFmtId="43" fontId="1" fillId="0" borderId="0" applyFont="0" applyFill="0" applyBorder="0" applyAlignment="0" applyProtection="0"/>
    <xf numFmtId="43" fontId="5" fillId="0" borderId="0" applyFont="0" applyFill="0" applyBorder="0" applyAlignment="0" applyProtection="0"/>
  </cellStyleXfs>
  <cellXfs count="440">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0" fontId="3" fillId="60" borderId="3" xfId="0" applyNumberFormat="1" applyFont="1" applyFill="1" applyBorder="1" applyAlignment="1">
      <alignment horizontal="left" vertical="center" wrapText="1"/>
    </xf>
    <xf numFmtId="169" fontId="22" fillId="0" borderId="0" xfId="0" applyFont="1"/>
    <xf numFmtId="43"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69" fontId="3" fillId="61" borderId="55" xfId="0" applyFont="1" applyFill="1" applyBorder="1" applyAlignment="1">
      <alignment horizontal="center" vertical="center"/>
    </xf>
    <xf numFmtId="43"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69" fontId="3" fillId="62" borderId="49" xfId="0" applyFont="1" applyFill="1" applyBorder="1" applyAlignment="1">
      <alignment horizontal="center"/>
    </xf>
    <xf numFmtId="43"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43"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0" fontId="4" fillId="62" borderId="3"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52" fillId="0" borderId="0" xfId="0" applyFont="1"/>
    <xf numFmtId="169"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69" fontId="3" fillId="61" borderId="25" xfId="0" applyFont="1" applyFill="1" applyBorder="1" applyAlignment="1">
      <alignment horizontal="center" vertical="center"/>
    </xf>
    <xf numFmtId="43" fontId="3" fillId="61"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43"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43"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43"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9" fontId="4" fillId="60" borderId="45" xfId="0" applyFont="1" applyFill="1" applyBorder="1" applyAlignment="1">
      <alignment horizontal="center" vertical="center" wrapText="1"/>
    </xf>
    <xf numFmtId="0" fontId="4" fillId="59" borderId="4" xfId="0" applyNumberFormat="1" applyFont="1" applyFill="1" applyBorder="1" applyAlignment="1">
      <alignment horizontal="center" vertical="center" wrapText="1"/>
    </xf>
    <xf numFmtId="169" fontId="54" fillId="62" borderId="57" xfId="0" applyFont="1" applyFill="1" applyBorder="1" applyAlignment="1">
      <alignment horizontal="center" vertical="center" wrapText="1"/>
    </xf>
    <xf numFmtId="169" fontId="53" fillId="64" borderId="13" xfId="0" applyFont="1" applyFill="1" applyBorder="1" applyAlignment="1">
      <alignment horizontal="justify" vertical="center" wrapText="1"/>
    </xf>
    <xf numFmtId="169" fontId="53" fillId="0" borderId="13" xfId="0" applyFont="1" applyBorder="1" applyAlignment="1">
      <alignment horizontal="justify" vertical="center" wrapText="1"/>
    </xf>
    <xf numFmtId="169" fontId="53" fillId="0" borderId="17" xfId="0" applyFont="1" applyBorder="1" applyAlignment="1">
      <alignment horizontal="justify" vertical="center" wrapText="1"/>
    </xf>
    <xf numFmtId="169" fontId="53" fillId="0" borderId="53" xfId="0" applyFont="1" applyBorder="1" applyAlignment="1">
      <alignment horizontal="justify" vertical="center" wrapText="1"/>
    </xf>
    <xf numFmtId="169" fontId="53" fillId="0" borderId="19" xfId="0" applyFont="1" applyBorder="1" applyAlignment="1">
      <alignment horizontal="justify" vertical="center" wrapText="1"/>
    </xf>
    <xf numFmtId="169" fontId="53" fillId="64" borderId="17" xfId="0" applyFont="1" applyFill="1" applyBorder="1" applyAlignment="1">
      <alignment horizontal="justify" vertical="center" wrapText="1"/>
    </xf>
    <xf numFmtId="169" fontId="53" fillId="64" borderId="19" xfId="0" applyFont="1" applyFill="1" applyBorder="1" applyAlignment="1">
      <alignment horizontal="justify" vertical="center" wrapText="1"/>
    </xf>
    <xf numFmtId="169" fontId="26" fillId="0" borderId="0" xfId="0" applyFont="1"/>
    <xf numFmtId="169" fontId="26" fillId="0" borderId="0" xfId="0" applyFont="1" applyAlignment="1">
      <alignment horizontal="center"/>
    </xf>
    <xf numFmtId="169" fontId="26" fillId="0" borderId="0" xfId="0" applyFont="1" applyAlignment="1">
      <alignment horizontal="center" vertical="top"/>
    </xf>
    <xf numFmtId="43" fontId="2" fillId="0" borderId="3" xfId="1" applyFont="1" applyFill="1" applyBorder="1" applyAlignment="1">
      <alignment horizontal="center" vertical="center" wrapText="1"/>
    </xf>
    <xf numFmtId="43" fontId="3" fillId="60" borderId="3" xfId="1" applyFont="1" applyFill="1" applyBorder="1" applyAlignment="1">
      <alignment horizontal="center" vertical="center" wrapText="1"/>
    </xf>
    <xf numFmtId="169" fontId="51" fillId="0" borderId="0" xfId="0" applyFont="1" applyAlignment="1">
      <alignment horizontal="center"/>
    </xf>
    <xf numFmtId="1" fontId="53" fillId="0" borderId="20" xfId="1" applyNumberFormat="1" applyFont="1" applyBorder="1" applyAlignment="1">
      <alignment horizontal="center" vertical="center" wrapText="1"/>
    </xf>
    <xf numFmtId="1" fontId="53" fillId="0" borderId="23" xfId="1" applyNumberFormat="1" applyFont="1" applyBorder="1" applyAlignment="1">
      <alignment horizontal="center" vertical="center" wrapText="1"/>
    </xf>
    <xf numFmtId="1" fontId="53" fillId="0" borderId="16" xfId="1" applyNumberFormat="1" applyFont="1" applyBorder="1" applyAlignment="1">
      <alignment horizontal="center" vertical="center" wrapText="1"/>
    </xf>
    <xf numFmtId="1" fontId="53" fillId="0" borderId="58" xfId="1" applyNumberFormat="1" applyFont="1" applyBorder="1" applyAlignment="1">
      <alignment horizontal="center" vertical="center" wrapText="1"/>
    </xf>
    <xf numFmtId="43" fontId="54" fillId="65" borderId="61" xfId="1" applyFont="1" applyFill="1" applyBorder="1" applyAlignment="1">
      <alignment vertical="center"/>
    </xf>
    <xf numFmtId="0" fontId="52" fillId="0" borderId="0" xfId="0" applyNumberFormat="1" applyFont="1" applyBorder="1" applyAlignment="1">
      <alignment horizontal="center" vertical="center"/>
    </xf>
    <xf numFmtId="169" fontId="53" fillId="0" borderId="16" xfId="0" applyFont="1" applyBorder="1" applyAlignment="1">
      <alignment horizontal="justify" vertical="center" wrapText="1"/>
    </xf>
    <xf numFmtId="1" fontId="53" fillId="0" borderId="3" xfId="1" applyNumberFormat="1" applyFont="1" applyBorder="1" applyAlignment="1">
      <alignment horizontal="center" vertical="center" wrapText="1"/>
    </xf>
    <xf numFmtId="1" fontId="53" fillId="64" borderId="3" xfId="1" applyNumberFormat="1" applyFont="1" applyFill="1" applyBorder="1" applyAlignment="1">
      <alignment horizontal="center" vertical="center" wrapText="1"/>
    </xf>
    <xf numFmtId="169" fontId="53" fillId="64" borderId="3" xfId="0" applyFont="1" applyFill="1" applyBorder="1" applyAlignment="1">
      <alignment horizontal="justify" vertical="center" wrapText="1"/>
    </xf>
    <xf numFmtId="169" fontId="53" fillId="0" borderId="3" xfId="0" applyFont="1" applyBorder="1" applyAlignment="1">
      <alignment horizontal="justify" vertical="center" wrapText="1"/>
    </xf>
    <xf numFmtId="1" fontId="53" fillId="0" borderId="44" xfId="1" applyNumberFormat="1" applyFont="1" applyBorder="1" applyAlignment="1">
      <alignment horizontal="center" vertical="center" wrapText="1"/>
    </xf>
    <xf numFmtId="169" fontId="53" fillId="64" borderId="44" xfId="0" applyFont="1" applyFill="1" applyBorder="1" applyAlignment="1">
      <alignment horizontal="justify" vertical="center" wrapText="1"/>
    </xf>
    <xf numFmtId="169" fontId="53" fillId="0" borderId="44" xfId="0" applyFont="1" applyBorder="1" applyAlignment="1">
      <alignment horizontal="justify" vertical="center" wrapText="1"/>
    </xf>
    <xf numFmtId="1" fontId="53" fillId="0" borderId="12" xfId="1" applyNumberFormat="1" applyFont="1" applyBorder="1" applyAlignment="1">
      <alignment horizontal="center" vertical="center" wrapText="1"/>
    </xf>
    <xf numFmtId="169" fontId="53" fillId="64" borderId="12" xfId="0" applyFont="1" applyFill="1" applyBorder="1" applyAlignment="1">
      <alignment horizontal="justify" vertical="center" wrapText="1"/>
    </xf>
    <xf numFmtId="49" fontId="53" fillId="64" borderId="12" xfId="0" applyNumberFormat="1" applyFont="1" applyFill="1" applyBorder="1" applyAlignment="1">
      <alignment horizontal="justify" vertical="center" wrapText="1"/>
    </xf>
    <xf numFmtId="169" fontId="53" fillId="0" borderId="12" xfId="0" applyFont="1" applyBorder="1" applyAlignment="1">
      <alignment horizontal="justify" vertical="center" wrapText="1"/>
    </xf>
    <xf numFmtId="1" fontId="53" fillId="64" borderId="12" xfId="1" applyNumberFormat="1" applyFont="1" applyFill="1" applyBorder="1" applyAlignment="1">
      <alignment horizontal="center" vertical="center" wrapText="1"/>
    </xf>
    <xf numFmtId="169" fontId="54" fillId="62" borderId="52" xfId="0" applyFont="1" applyFill="1" applyBorder="1" applyAlignment="1">
      <alignment horizontal="center" vertical="center" wrapText="1"/>
    </xf>
    <xf numFmtId="1" fontId="53" fillId="0" borderId="45" xfId="1" applyNumberFormat="1" applyFont="1" applyBorder="1" applyAlignment="1">
      <alignment horizontal="center" vertical="center" wrapText="1"/>
    </xf>
    <xf numFmtId="169" fontId="53" fillId="0" borderId="65" xfId="0" applyFont="1" applyBorder="1" applyAlignment="1">
      <alignment horizontal="justify" vertical="center" wrapText="1"/>
    </xf>
    <xf numFmtId="0" fontId="3" fillId="67"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54" fillId="67" borderId="68" xfId="0" applyNumberFormat="1" applyFont="1" applyFill="1" applyBorder="1" applyAlignment="1">
      <alignment horizontal="center"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2" xfId="0" applyNumberFormat="1" applyFont="1" applyBorder="1" applyAlignment="1">
      <alignment horizontal="center" vertical="center"/>
    </xf>
    <xf numFmtId="0" fontId="54" fillId="67" borderId="70" xfId="0" applyNumberFormat="1" applyFont="1" applyFill="1" applyBorder="1" applyAlignment="1">
      <alignment horizontal="center" vertical="center" wrapText="1"/>
    </xf>
    <xf numFmtId="0" fontId="52" fillId="0" borderId="73" xfId="0" applyNumberFormat="1" applyFont="1" applyBorder="1" applyAlignment="1">
      <alignment horizontal="center"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69"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169" fontId="53" fillId="0" borderId="20" xfId="0" applyFont="1" applyBorder="1" applyAlignment="1">
      <alignment horizontal="justify" vertical="center" wrapText="1"/>
    </xf>
    <xf numFmtId="0" fontId="54" fillId="67" borderId="69" xfId="0" applyNumberFormat="1" applyFont="1" applyFill="1" applyBorder="1" applyAlignment="1">
      <alignment horizontal="center" vertical="center" wrapText="1"/>
    </xf>
    <xf numFmtId="43" fontId="57" fillId="0" borderId="0" xfId="1" applyFont="1"/>
    <xf numFmtId="43" fontId="26" fillId="0" borderId="0" xfId="1" applyFont="1"/>
    <xf numFmtId="43" fontId="52" fillId="0" borderId="0" xfId="1" applyFont="1"/>
    <xf numFmtId="43" fontId="57" fillId="0" borderId="0" xfId="1" applyFont="1" applyAlignment="1">
      <alignment horizontal="center"/>
    </xf>
    <xf numFmtId="0" fontId="2" fillId="0" borderId="0" xfId="0" applyNumberFormat="1" applyFont="1" applyAlignment="1">
      <alignment horizontal="justify"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0" fontId="8" fillId="0" borderId="3" xfId="5" applyFont="1" applyFill="1" applyBorder="1" applyAlignment="1">
      <alignment horizontal="justify" vertical="center" wrapText="1"/>
    </xf>
    <xf numFmtId="169" fontId="8" fillId="0" borderId="3" xfId="0" applyFont="1" applyFill="1" applyBorder="1" applyAlignment="1">
      <alignment horizontal="center" vertical="center" wrapText="1"/>
    </xf>
    <xf numFmtId="1" fontId="8" fillId="0" borderId="3" xfId="5" applyNumberFormat="1" applyFont="1" applyFill="1" applyBorder="1" applyAlignment="1">
      <alignment horizontal="center" vertical="center" wrapText="1"/>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3" fontId="8" fillId="0" borderId="3" xfId="0" applyNumberFormat="1" applyFont="1" applyFill="1" applyBorder="1" applyAlignment="1">
      <alignment horizontal="justify" vertical="center" wrapText="1"/>
    </xf>
    <xf numFmtId="43" fontId="8" fillId="0" borderId="3" xfId="1" applyFont="1" applyFill="1" applyBorder="1" applyAlignment="1">
      <alignment horizontal="center" vertical="center"/>
    </xf>
    <xf numFmtId="165"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169" fontId="8" fillId="0" borderId="0" xfId="0" applyFont="1" applyFill="1"/>
    <xf numFmtId="0" fontId="8" fillId="0" borderId="44" xfId="0" applyNumberFormat="1" applyFont="1" applyFill="1" applyBorder="1" applyAlignment="1">
      <alignment horizontal="center" vertical="center" wrapText="1"/>
    </xf>
    <xf numFmtId="0" fontId="8" fillId="0" borderId="44" xfId="0" applyNumberFormat="1" applyFont="1" applyFill="1" applyBorder="1" applyAlignment="1">
      <alignment horizontal="justify"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3" fontId="8" fillId="0" borderId="44" xfId="0" applyNumberFormat="1" applyFont="1" applyFill="1" applyBorder="1" applyAlignment="1">
      <alignment horizontal="justify" vertical="center" wrapText="1"/>
    </xf>
    <xf numFmtId="43" fontId="8" fillId="0" borderId="44" xfId="1" applyFont="1" applyFill="1" applyBorder="1" applyAlignment="1">
      <alignment horizontal="justify" vertical="center"/>
    </xf>
    <xf numFmtId="43" fontId="8" fillId="0" borderId="44" xfId="1" applyFont="1" applyFill="1" applyBorder="1" applyAlignment="1">
      <alignment horizontal="center" vertical="center"/>
    </xf>
    <xf numFmtId="43" fontId="8" fillId="0" borderId="44" xfId="1" applyFont="1" applyFill="1" applyBorder="1" applyAlignment="1">
      <alignment vertical="center"/>
    </xf>
    <xf numFmtId="165" fontId="8" fillId="0" borderId="44" xfId="0" applyNumberFormat="1" applyFont="1" applyFill="1" applyBorder="1" applyAlignment="1">
      <alignment horizontal="justify" vertical="center" wrapText="1"/>
    </xf>
    <xf numFmtId="43" fontId="4" fillId="68" borderId="13" xfId="1" applyFont="1" applyFill="1" applyBorder="1" applyAlignment="1">
      <alignment vertical="center"/>
    </xf>
    <xf numFmtId="169" fontId="54" fillId="62" borderId="59" xfId="0" applyFont="1" applyFill="1" applyBorder="1" applyAlignment="1">
      <alignment horizontal="center" vertical="center" wrapText="1"/>
    </xf>
    <xf numFmtId="43" fontId="54" fillId="63" borderId="52" xfId="1" applyFont="1" applyFill="1" applyBorder="1" applyAlignment="1">
      <alignment vertical="center"/>
    </xf>
    <xf numFmtId="169" fontId="26" fillId="0" borderId="0" xfId="0" applyFont="1" applyAlignment="1">
      <alignment horizontal="right"/>
    </xf>
    <xf numFmtId="0" fontId="26" fillId="0" borderId="0" xfId="92" applyFont="1"/>
    <xf numFmtId="0" fontId="26" fillId="0" borderId="0" xfId="92" applyFont="1" applyFill="1"/>
    <xf numFmtId="0" fontId="26" fillId="0" borderId="3" xfId="92" applyFont="1" applyBorder="1" applyAlignment="1">
      <alignment horizontal="left" vertical="center"/>
    </xf>
    <xf numFmtId="165" fontId="8" fillId="0" borderId="3" xfId="101" applyNumberFormat="1" applyFont="1" applyBorder="1" applyAlignment="1">
      <alignment horizontal="right" vertical="center"/>
    </xf>
    <xf numFmtId="165" fontId="8" fillId="0" borderId="3" xfId="101" applyNumberFormat="1" applyFont="1" applyFill="1" applyBorder="1" applyAlignment="1">
      <alignment horizontal="right" vertical="center"/>
    </xf>
    <xf numFmtId="0" fontId="26" fillId="0" borderId="0" xfId="92" applyFont="1" applyAlignment="1">
      <alignment vertical="center"/>
    </xf>
    <xf numFmtId="165"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5"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165" fontId="4" fillId="60" borderId="3" xfId="101" applyNumberFormat="1" applyFont="1" applyFill="1" applyBorder="1" applyAlignment="1">
      <alignment vertical="center"/>
    </xf>
    <xf numFmtId="0" fontId="51" fillId="0" borderId="0" xfId="92" applyFont="1" applyFill="1" applyAlignment="1">
      <alignment vertical="center"/>
    </xf>
    <xf numFmtId="171" fontId="26" fillId="0" borderId="0" xfId="101" applyNumberFormat="1" applyFont="1"/>
    <xf numFmtId="0" fontId="4" fillId="60"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0" fontId="58" fillId="0" borderId="0" xfId="92" applyFont="1" applyFill="1" applyBorder="1" applyAlignment="1">
      <alignment horizontal="left" vertical="center"/>
    </xf>
    <xf numFmtId="165" fontId="58" fillId="0" borderId="0" xfId="101" applyNumberFormat="1" applyFont="1" applyFill="1" applyBorder="1" applyAlignment="1">
      <alignment vertical="center"/>
    </xf>
    <xf numFmtId="171" fontId="58" fillId="0" borderId="0" xfId="101" applyNumberFormat="1" applyFont="1" applyFill="1"/>
    <xf numFmtId="171" fontId="60" fillId="69" borderId="9" xfId="101" applyNumberFormat="1" applyFont="1" applyFill="1" applyBorder="1" applyAlignment="1">
      <alignment vertical="center" wrapText="1"/>
    </xf>
    <xf numFmtId="171" fontId="60" fillId="69" borderId="3" xfId="101" applyNumberFormat="1" applyFont="1" applyFill="1" applyBorder="1" applyAlignment="1">
      <alignment horizontal="center" vertical="center" wrapText="1"/>
    </xf>
    <xf numFmtId="0" fontId="60" fillId="69" borderId="9" xfId="92" applyFont="1" applyFill="1" applyBorder="1" applyAlignment="1">
      <alignment horizontal="left" vertical="center"/>
    </xf>
    <xf numFmtId="165" fontId="60" fillId="69" borderId="3" xfId="101" applyNumberFormat="1" applyFont="1" applyFill="1" applyBorder="1" applyAlignment="1">
      <alignment vertical="center"/>
    </xf>
    <xf numFmtId="165" fontId="8" fillId="0" borderId="3" xfId="92" applyNumberFormat="1" applyFont="1" applyFill="1" applyBorder="1" applyAlignment="1">
      <alignment horizontal="right" vertical="center"/>
    </xf>
    <xf numFmtId="165" fontId="8" fillId="0" borderId="3" xfId="101" applyNumberFormat="1" applyFont="1" applyFill="1" applyBorder="1" applyAlignment="1">
      <alignment vertical="center"/>
    </xf>
    <xf numFmtId="0" fontId="2" fillId="0" borderId="0" xfId="0" applyNumberFormat="1" applyFont="1" applyBorder="1" applyAlignment="1">
      <alignment horizontal="center" vertical="center"/>
    </xf>
    <xf numFmtId="2" fontId="8" fillId="0" borderId="3" xfId="5" applyNumberFormat="1" applyFont="1" applyFill="1" applyBorder="1" applyAlignment="1">
      <alignment horizontal="center" vertical="center" wrapText="1"/>
    </xf>
    <xf numFmtId="179" fontId="8" fillId="0" borderId="3" xfId="5" applyNumberFormat="1" applyFont="1" applyFill="1" applyBorder="1" applyAlignment="1">
      <alignment horizontal="center" vertical="center" wrapText="1"/>
    </xf>
    <xf numFmtId="165" fontId="8" fillId="0" borderId="3" xfId="0" applyNumberFormat="1" applyFont="1" applyFill="1" applyBorder="1" applyAlignment="1">
      <alignment vertical="center"/>
    </xf>
    <xf numFmtId="0" fontId="2" fillId="0" borderId="17" xfId="0" applyNumberFormat="1" applyFont="1" applyBorder="1" applyAlignment="1">
      <alignment horizontal="center" vertical="center" wrapText="1"/>
    </xf>
    <xf numFmtId="169" fontId="4" fillId="68" borderId="15" xfId="0" applyFont="1" applyFill="1" applyBorder="1" applyAlignment="1">
      <alignment horizontal="left" vertical="center"/>
    </xf>
    <xf numFmtId="179" fontId="8" fillId="0" borderId="3" xfId="4" applyNumberFormat="1" applyFont="1" applyFill="1" applyBorder="1">
      <alignment horizontal="center" vertical="center" wrapText="1"/>
    </xf>
    <xf numFmtId="180" fontId="8" fillId="0" borderId="3" xfId="5" applyNumberFormat="1" applyFont="1" applyFill="1" applyBorder="1" applyAlignment="1">
      <alignment horizontal="center" vertical="center" wrapText="1"/>
    </xf>
    <xf numFmtId="169" fontId="4" fillId="0" borderId="3" xfId="0" applyFont="1" applyBorder="1" applyAlignment="1">
      <alignment horizontal="center" vertical="center"/>
    </xf>
    <xf numFmtId="3" fontId="4" fillId="3" borderId="3" xfId="0" applyNumberFormat="1" applyFont="1" applyFill="1" applyBorder="1" applyAlignment="1">
      <alignment horizontal="center" vertical="center" wrapText="1"/>
    </xf>
    <xf numFmtId="4"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wrapText="1"/>
    </xf>
    <xf numFmtId="43" fontId="8" fillId="0" borderId="3" xfId="1" applyFont="1" applyFill="1" applyBorder="1"/>
    <xf numFmtId="0" fontId="8" fillId="0" borderId="3" xfId="0" applyNumberFormat="1" applyFont="1" applyFill="1" applyBorder="1" applyAlignment="1" applyProtection="1">
      <alignment horizontal="justify" vertical="center" wrapText="1"/>
      <protection locked="0"/>
    </xf>
    <xf numFmtId="0" fontId="8" fillId="0" borderId="3" xfId="0" applyNumberFormat="1" applyFont="1" applyFill="1" applyBorder="1" applyAlignment="1" applyProtection="1">
      <alignment horizontal="center" vertical="center" wrapText="1"/>
      <protection locked="0"/>
    </xf>
    <xf numFmtId="43" fontId="4" fillId="0" borderId="3" xfId="1" applyFont="1" applyFill="1" applyBorder="1" applyAlignment="1">
      <alignment horizontal="left" vertical="center"/>
    </xf>
    <xf numFmtId="43" fontId="8" fillId="0" borderId="3" xfId="1" applyFont="1" applyFill="1" applyBorder="1" applyAlignment="1">
      <alignment horizontal="right" vertical="center"/>
    </xf>
    <xf numFmtId="1" fontId="8" fillId="0" borderId="3" xfId="1" applyNumberFormat="1" applyFont="1" applyFill="1" applyBorder="1" applyAlignment="1">
      <alignment horizontal="center" vertical="center" wrapText="1"/>
    </xf>
    <xf numFmtId="49" fontId="8" fillId="0" borderId="3" xfId="0" applyNumberFormat="1" applyFont="1" applyFill="1" applyBorder="1" applyAlignment="1">
      <alignment horizontal="justify"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3" fontId="66" fillId="0" borderId="0" xfId="0" applyNumberFormat="1" applyFont="1" applyFill="1" applyAlignment="1">
      <alignment horizontal="center" vertical="center"/>
    </xf>
    <xf numFmtId="4" fontId="66" fillId="0" borderId="0" xfId="0" applyNumberFormat="1" applyFont="1" applyFill="1" applyAlignment="1">
      <alignment horizontal="center" vertical="center"/>
    </xf>
    <xf numFmtId="169" fontId="8" fillId="0" borderId="3" xfId="4" applyFont="1" applyFill="1" applyBorder="1" applyAlignment="1">
      <alignment horizontal="justify" vertical="center" wrapText="1"/>
    </xf>
    <xf numFmtId="178" fontId="8" fillId="0" borderId="3" xfId="0" applyNumberFormat="1" applyFont="1" applyFill="1" applyBorder="1" applyAlignment="1">
      <alignment horizontal="center" vertical="center"/>
    </xf>
    <xf numFmtId="169" fontId="8" fillId="0" borderId="0" xfId="0" applyFont="1" applyFill="1" applyBorder="1" applyAlignment="1">
      <alignment horizontal="justify" vertical="center" wrapText="1"/>
    </xf>
    <xf numFmtId="169" fontId="8" fillId="0" borderId="0" xfId="0" applyFont="1" applyFill="1" applyAlignment="1">
      <alignment horizontal="center" vertical="center"/>
    </xf>
    <xf numFmtId="3" fontId="8" fillId="0" borderId="3" xfId="0" applyNumberFormat="1" applyFont="1" applyFill="1" applyBorder="1" applyAlignment="1">
      <alignment horizontal="center" vertical="center" wrapText="1"/>
    </xf>
    <xf numFmtId="43" fontId="8" fillId="0" borderId="3" xfId="1" applyFont="1" applyFill="1" applyBorder="1" applyAlignment="1">
      <alignment horizontal="justify" vertical="center" wrapText="1"/>
    </xf>
    <xf numFmtId="0" fontId="8" fillId="0" borderId="3" xfId="0" applyNumberFormat="1" applyFont="1" applyFill="1" applyBorder="1" applyAlignment="1">
      <alignment horizontal="center" vertical="center"/>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3" fontId="8" fillId="0" borderId="3" xfId="5"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69" fontId="8" fillId="0" borderId="3" xfId="0" applyFont="1" applyFill="1" applyBorder="1" applyAlignment="1">
      <alignment horizontal="left" vertical="center" wrapText="1"/>
    </xf>
    <xf numFmtId="173" fontId="8" fillId="0" borderId="3" xfId="2" applyNumberFormat="1" applyFont="1" applyFill="1" applyBorder="1" applyAlignment="1">
      <alignment horizontal="justify" vertical="center" wrapText="1"/>
    </xf>
    <xf numFmtId="169" fontId="8" fillId="0" borderId="3" xfId="0" applyFont="1" applyFill="1" applyBorder="1" applyAlignment="1">
      <alignment horizontal="center" vertical="center"/>
    </xf>
    <xf numFmtId="0" fontId="8" fillId="0" borderId="3" xfId="4" applyNumberFormat="1" applyFont="1" applyFill="1" applyBorder="1" applyAlignment="1">
      <alignment horizontal="center" vertical="center"/>
    </xf>
    <xf numFmtId="43" fontId="8" fillId="0" borderId="19" xfId="1" applyFont="1" applyFill="1" applyBorder="1"/>
    <xf numFmtId="43" fontId="8" fillId="0" borderId="7" xfId="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173" fontId="8" fillId="0" borderId="44" xfId="2" applyNumberFormat="1" applyFont="1" applyFill="1" applyBorder="1" applyAlignment="1">
      <alignment horizontal="justify" vertical="center" wrapText="1"/>
    </xf>
    <xf numFmtId="169" fontId="4" fillId="0" borderId="0" xfId="0" applyFont="1" applyFill="1" applyAlignment="1">
      <alignment vertical="center"/>
    </xf>
    <xf numFmtId="0" fontId="8" fillId="0" borderId="3" xfId="5" applyFont="1" applyFill="1" applyBorder="1" applyAlignment="1">
      <alignment horizontal="center" vertical="center"/>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0" fontId="8" fillId="0" borderId="3" xfId="6" applyNumberFormat="1" applyFont="1" applyFill="1" applyBorder="1" applyAlignment="1">
      <alignment horizontal="justify" vertical="center" wrapText="1"/>
    </xf>
    <xf numFmtId="0" fontId="8" fillId="0" borderId="3" xfId="7" applyFont="1" applyFill="1" applyBorder="1" applyAlignment="1">
      <alignment horizontal="center" vertical="center" wrapText="1"/>
    </xf>
    <xf numFmtId="49" fontId="8" fillId="0" borderId="3" xfId="5"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169" fontId="8" fillId="0" borderId="0" xfId="0" applyFont="1" applyFill="1" applyAlignment="1">
      <alignment horizontal="left" vertical="center" wrapText="1"/>
    </xf>
    <xf numFmtId="41" fontId="8" fillId="0" borderId="3" xfId="388" applyFont="1" applyFill="1" applyBorder="1" applyAlignment="1">
      <alignment horizontal="center" vertical="center" wrapText="1"/>
    </xf>
    <xf numFmtId="0"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3" fontId="8" fillId="0" borderId="9" xfId="0" applyNumberFormat="1" applyFont="1" applyFill="1" applyBorder="1" applyAlignment="1">
      <alignment horizontal="justify" vertical="center" wrapText="1"/>
    </xf>
    <xf numFmtId="43" fontId="8" fillId="0" borderId="9" xfId="1" applyFont="1" applyFill="1" applyBorder="1" applyAlignment="1">
      <alignment horizontal="justify" vertical="center"/>
    </xf>
    <xf numFmtId="43" fontId="8" fillId="0" borderId="9" xfId="1" applyFont="1" applyFill="1" applyBorder="1" applyAlignment="1">
      <alignment vertical="center"/>
    </xf>
    <xf numFmtId="165" fontId="8" fillId="0" borderId="9" xfId="0" applyNumberFormat="1" applyFont="1" applyFill="1" applyBorder="1" applyAlignment="1">
      <alignment horizontal="justify"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43" fontId="8" fillId="0" borderId="11" xfId="1" applyFont="1" applyFill="1" applyBorder="1" applyAlignment="1">
      <alignment horizontal="justify" vertical="center"/>
    </xf>
    <xf numFmtId="43" fontId="8" fillId="0" borderId="11" xfId="1" applyFont="1" applyFill="1" applyBorder="1" applyAlignment="1">
      <alignment vertical="center"/>
    </xf>
    <xf numFmtId="165" fontId="8" fillId="0" borderId="11" xfId="0" applyNumberFormat="1" applyFont="1" applyFill="1" applyBorder="1" applyAlignment="1">
      <alignment horizontal="justify" vertical="center" wrapText="1"/>
    </xf>
    <xf numFmtId="1" fontId="8" fillId="0" borderId="11" xfId="0" applyNumberFormat="1" applyFont="1" applyFill="1" applyBorder="1" applyAlignment="1">
      <alignment horizontal="justify" vertical="center" wrapText="1"/>
    </xf>
    <xf numFmtId="0" fontId="8" fillId="0" borderId="11" xfId="7" applyFont="1" applyFill="1" applyBorder="1">
      <alignment horizontal="center" vertical="center" wrapText="1"/>
    </xf>
    <xf numFmtId="169" fontId="8" fillId="0" borderId="11" xfId="0" applyFont="1" applyFill="1" applyBorder="1" applyAlignment="1">
      <alignment horizontal="justify" vertical="center" wrapText="1"/>
    </xf>
    <xf numFmtId="43" fontId="8" fillId="0" borderId="46" xfId="1" applyFont="1" applyFill="1" applyBorder="1" applyAlignment="1">
      <alignment horizontal="justify" vertical="center"/>
    </xf>
    <xf numFmtId="43" fontId="8" fillId="0" borderId="46" xfId="1" applyFont="1" applyFill="1" applyBorder="1" applyAlignment="1">
      <alignment vertical="center"/>
    </xf>
    <xf numFmtId="165" fontId="8" fillId="0" borderId="46" xfId="0" applyNumberFormat="1" applyFont="1" applyFill="1" applyBorder="1" applyAlignment="1">
      <alignment horizontal="justify" vertical="center" wrapText="1"/>
    </xf>
    <xf numFmtId="0" fontId="8" fillId="0" borderId="3" xfId="1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169"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69" fontId="8" fillId="68" borderId="18" xfId="0" applyFont="1" applyFill="1" applyBorder="1" applyAlignment="1">
      <alignment horizontal="center" vertical="center"/>
    </xf>
    <xf numFmtId="169" fontId="8" fillId="68" borderId="13" xfId="0" applyFont="1" applyFill="1" applyBorder="1" applyAlignment="1">
      <alignment horizontal="center" vertical="center"/>
    </xf>
    <xf numFmtId="169" fontId="8" fillId="0" borderId="0" xfId="0" applyFont="1" applyAlignment="1">
      <alignment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69" fontId="2" fillId="2" borderId="0" xfId="0" applyFont="1" applyFill="1" applyAlignment="1">
      <alignment horizontal="center" vertical="center"/>
    </xf>
    <xf numFmtId="172" fontId="2" fillId="0" borderId="0" xfId="6" applyNumberFormat="1" applyFont="1" applyAlignment="1">
      <alignment horizontal="center"/>
    </xf>
    <xf numFmtId="43" fontId="8" fillId="0" borderId="3" xfId="1" applyFont="1" applyFill="1" applyBorder="1" applyAlignment="1">
      <alignment horizontal="left" vertical="center"/>
    </xf>
    <xf numFmtId="43" fontId="8" fillId="0" borderId="3" xfId="1" applyFont="1" applyFill="1" applyBorder="1" applyAlignment="1">
      <alignment horizontal="left" vertical="center" wrapText="1"/>
    </xf>
    <xf numFmtId="0" fontId="8" fillId="68" borderId="3" xfId="5" applyFont="1" applyFill="1" applyBorder="1" applyAlignment="1">
      <alignment horizontal="justify" vertical="center" wrapText="1"/>
    </xf>
    <xf numFmtId="43" fontId="8" fillId="0" borderId="6" xfId="1" applyFont="1" applyFill="1" applyBorder="1" applyAlignment="1">
      <alignment vertical="center"/>
    </xf>
    <xf numFmtId="0" fontId="2" fillId="0" borderId="0" xfId="0" applyNumberFormat="1" applyFont="1" applyBorder="1" applyAlignment="1">
      <alignment horizontal="justify" vertical="center" wrapText="1"/>
    </xf>
    <xf numFmtId="43" fontId="8" fillId="0" borderId="22" xfId="1" applyFont="1" applyFill="1" applyBorder="1" applyAlignment="1">
      <alignment vertical="center"/>
    </xf>
    <xf numFmtId="10" fontId="8" fillId="0" borderId="3" xfId="387" applyNumberFormat="1" applyFont="1" applyFill="1" applyBorder="1" applyAlignment="1">
      <alignment horizontal="center" vertical="center"/>
    </xf>
    <xf numFmtId="0" fontId="4" fillId="59" borderId="44" xfId="0" applyNumberFormat="1" applyFont="1" applyFill="1" applyBorder="1" applyAlignment="1">
      <alignment horizontal="center" vertical="center" wrapText="1"/>
    </xf>
    <xf numFmtId="177" fontId="4" fillId="60" borderId="44" xfId="0" applyNumberFormat="1" applyFont="1" applyFill="1" applyBorder="1" applyAlignment="1">
      <alignment horizontal="center" vertical="center" wrapText="1"/>
    </xf>
    <xf numFmtId="169" fontId="4" fillId="60" borderId="44" xfId="0" applyFont="1" applyFill="1" applyBorder="1" applyAlignment="1">
      <alignment horizontal="center" vertical="center" wrapText="1"/>
    </xf>
    <xf numFmtId="169" fontId="4" fillId="60" borderId="3" xfId="0"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169" fontId="8" fillId="0" borderId="13" xfId="0" applyFont="1" applyFill="1" applyBorder="1" applyAlignment="1">
      <alignment horizontal="justify" vertical="center" wrapText="1"/>
    </xf>
    <xf numFmtId="169" fontId="2" fillId="0" borderId="3" xfId="0" applyFont="1" applyFill="1" applyBorder="1" applyAlignment="1">
      <alignment horizontal="justify" vertical="center" wrapText="1"/>
    </xf>
    <xf numFmtId="1" fontId="8" fillId="0" borderId="44" xfId="0" applyNumberFormat="1" applyFont="1" applyFill="1" applyBorder="1" applyAlignment="1">
      <alignment horizontal="center" vertical="center" wrapText="1"/>
    </xf>
    <xf numFmtId="2" fontId="8" fillId="0" borderId="3" xfId="5" applyNumberFormat="1" applyFont="1" applyFill="1" applyBorder="1" applyAlignment="1">
      <alignment horizontal="center" vertical="center"/>
    </xf>
    <xf numFmtId="1" fontId="8" fillId="0" borderId="3" xfId="0" applyNumberFormat="1" applyFont="1" applyFill="1" applyBorder="1" applyAlignment="1">
      <alignment horizontal="center" vertical="center"/>
    </xf>
    <xf numFmtId="2" fontId="8" fillId="0" borderId="3" xfId="0" applyNumberFormat="1" applyFont="1" applyFill="1" applyBorder="1" applyAlignment="1">
      <alignment horizontal="center" vertical="center" wrapText="1"/>
    </xf>
    <xf numFmtId="1" fontId="8" fillId="0" borderId="13" xfId="0" applyNumberFormat="1" applyFont="1" applyFill="1" applyBorder="1" applyAlignment="1">
      <alignment horizontal="justify" vertical="center" wrapText="1"/>
    </xf>
    <xf numFmtId="2" fontId="8" fillId="0" borderId="0" xfId="0" applyNumberFormat="1" applyFont="1" applyFill="1"/>
    <xf numFmtId="1" fontId="8" fillId="0" borderId="9"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3" fontId="0" fillId="0" borderId="0" xfId="1" applyFont="1" applyFill="1" applyAlignment="1">
      <alignment vertical="center" wrapText="1"/>
    </xf>
    <xf numFmtId="169" fontId="3" fillId="62" borderId="11" xfId="0" applyFont="1" applyFill="1" applyBorder="1" applyAlignment="1">
      <alignment horizontal="center" vertical="center" wrapText="1"/>
    </xf>
    <xf numFmtId="170" fontId="8" fillId="0" borderId="3" xfId="0" applyNumberFormat="1" applyFont="1" applyBorder="1" applyAlignment="1">
      <alignment horizontal="left" vertical="center"/>
    </xf>
    <xf numFmtId="14" fontId="8" fillId="0" borderId="3" xfId="0" applyNumberFormat="1" applyFont="1" applyBorder="1" applyAlignment="1">
      <alignment horizontal="left" vertical="center"/>
    </xf>
    <xf numFmtId="169" fontId="4" fillId="0" borderId="3" xfId="0" applyFont="1" applyBorder="1" applyAlignment="1">
      <alignment vertical="center"/>
    </xf>
    <xf numFmtId="169" fontId="8" fillId="0" borderId="3" xfId="0" applyFont="1" applyBorder="1" applyAlignment="1">
      <alignment horizontal="left" vertical="center"/>
    </xf>
    <xf numFmtId="169" fontId="8" fillId="0" borderId="3" xfId="0" applyFont="1" applyBorder="1" applyAlignment="1">
      <alignment vertical="center"/>
    </xf>
    <xf numFmtId="43" fontId="54" fillId="63" borderId="52" xfId="1" applyFont="1" applyFill="1" applyBorder="1" applyAlignment="1">
      <alignment vertical="center" wrapText="1"/>
    </xf>
    <xf numFmtId="43" fontId="54" fillId="67" borderId="76" xfId="1" applyFont="1" applyFill="1" applyBorder="1" applyAlignment="1">
      <alignment vertical="center" wrapText="1"/>
    </xf>
    <xf numFmtId="43" fontId="53" fillId="0" borderId="77" xfId="1" applyFont="1" applyBorder="1" applyAlignment="1">
      <alignment vertical="center"/>
    </xf>
    <xf numFmtId="43" fontId="53" fillId="0" borderId="78" xfId="1" applyFont="1" applyBorder="1" applyAlignment="1">
      <alignment vertical="center"/>
    </xf>
    <xf numFmtId="43" fontId="53" fillId="0" borderId="77" xfId="1" applyFont="1" applyFill="1" applyBorder="1" applyAlignment="1">
      <alignment vertical="center"/>
    </xf>
    <xf numFmtId="43" fontId="54" fillId="67" borderId="79" xfId="1" applyFont="1" applyFill="1" applyBorder="1" applyAlignment="1">
      <alignment vertical="center" wrapText="1"/>
    </xf>
    <xf numFmtId="43" fontId="53" fillId="0" borderId="78" xfId="1" applyFont="1" applyFill="1" applyBorder="1" applyAlignment="1">
      <alignment vertical="center"/>
    </xf>
    <xf numFmtId="43" fontId="54" fillId="67" borderId="80" xfId="1" applyFont="1" applyFill="1" applyBorder="1" applyAlignment="1">
      <alignment vertical="center" wrapText="1"/>
    </xf>
    <xf numFmtId="43" fontId="53" fillId="0" borderId="81" xfId="1" applyFont="1" applyFill="1" applyBorder="1" applyAlignment="1">
      <alignment vertical="center"/>
    </xf>
    <xf numFmtId="43" fontId="53" fillId="0" borderId="81" xfId="1" applyFont="1" applyBorder="1" applyAlignment="1">
      <alignment vertical="center"/>
    </xf>
    <xf numFmtId="43" fontId="53" fillId="0" borderId="82" xfId="1" applyFont="1" applyBorder="1" applyAlignment="1">
      <alignment vertical="center"/>
    </xf>
    <xf numFmtId="43" fontId="53" fillId="0" borderId="79" xfId="1" applyFont="1" applyBorder="1" applyAlignment="1">
      <alignment vertical="center"/>
    </xf>
    <xf numFmtId="43" fontId="53" fillId="0" borderId="83" xfId="1" applyFont="1" applyBorder="1" applyAlignment="1">
      <alignment vertical="center"/>
    </xf>
    <xf numFmtId="165" fontId="3" fillId="62" borderId="5" xfId="3" applyNumberFormat="1" applyFont="1" applyFill="1" applyBorder="1" applyAlignment="1">
      <alignment horizontal="center" vertical="center" wrapText="1"/>
    </xf>
    <xf numFmtId="165" fontId="3" fillId="62" borderId="6" xfId="3" applyNumberFormat="1" applyFont="1" applyFill="1" applyBorder="1" applyAlignment="1">
      <alignment horizontal="center" vertical="center" wrapText="1"/>
    </xf>
    <xf numFmtId="165" fontId="3" fillId="62" borderId="11" xfId="3" applyNumberFormat="1"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12" xfId="0" applyFont="1" applyFill="1" applyBorder="1" applyAlignment="1">
      <alignment horizontal="center" vertical="center" wrapText="1"/>
    </xf>
    <xf numFmtId="169" fontId="3" fillId="62" borderId="5" xfId="0" applyFont="1" applyFill="1" applyBorder="1" applyAlignment="1">
      <alignment horizontal="center" vertical="center" wrapText="1"/>
    </xf>
    <xf numFmtId="169" fontId="3" fillId="62" borderId="6" xfId="0" applyFont="1" applyFill="1" applyBorder="1" applyAlignment="1">
      <alignment horizontal="center" vertical="center" wrapText="1"/>
    </xf>
    <xf numFmtId="169" fontId="3" fillId="62" borderId="11" xfId="0" applyFont="1" applyFill="1" applyBorder="1" applyAlignment="1">
      <alignment horizontal="center" vertical="center" wrapText="1"/>
    </xf>
    <xf numFmtId="169" fontId="3" fillId="0" borderId="7" xfId="0" applyFont="1" applyBorder="1" applyAlignment="1">
      <alignment horizontal="center" vertical="center" wrapText="1"/>
    </xf>
    <xf numFmtId="169" fontId="3" fillId="0" borderId="8" xfId="0" applyFont="1" applyBorder="1" applyAlignment="1">
      <alignment horizontal="center" vertical="center" wrapText="1"/>
    </xf>
    <xf numFmtId="169" fontId="50" fillId="0" borderId="1" xfId="0" applyFont="1" applyBorder="1" applyAlignment="1">
      <alignment horizontal="center" vertical="center" wrapText="1"/>
    </xf>
    <xf numFmtId="169" fontId="50" fillId="0" borderId="2" xfId="0" applyFont="1" applyBorder="1" applyAlignment="1">
      <alignment horizontal="center" vertical="center" wrapText="1"/>
    </xf>
    <xf numFmtId="169" fontId="50" fillId="0" borderId="5" xfId="0" applyFont="1" applyBorder="1" applyAlignment="1">
      <alignment horizontal="center" vertical="center" wrapText="1"/>
    </xf>
    <xf numFmtId="169" fontId="50" fillId="0" borderId="6" xfId="0" applyFont="1" applyBorder="1" applyAlignment="1">
      <alignment horizontal="center" vertical="center" wrapText="1"/>
    </xf>
    <xf numFmtId="169" fontId="4" fillId="62" borderId="7" xfId="0" applyFont="1" applyFill="1" applyBorder="1" applyAlignment="1">
      <alignment horizontal="center" vertical="center" wrapText="1"/>
    </xf>
    <xf numFmtId="169" fontId="4" fillId="62" borderId="9" xfId="0" applyFont="1" applyFill="1" applyBorder="1" applyAlignment="1">
      <alignment horizontal="center" vertical="center" wrapText="1"/>
    </xf>
    <xf numFmtId="169" fontId="3" fillId="0" borderId="1" xfId="0" applyFont="1" applyBorder="1" applyAlignment="1">
      <alignment horizontal="center" vertical="center" wrapText="1"/>
    </xf>
    <xf numFmtId="169" fontId="3" fillId="0" borderId="2" xfId="0" applyFont="1" applyBorder="1" applyAlignment="1">
      <alignment horizontal="center" vertical="center" wrapText="1"/>
    </xf>
    <xf numFmtId="169" fontId="3" fillId="0" borderId="47" xfId="0" applyFont="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Border="1" applyAlignment="1">
      <alignment horizontal="center" vertical="center" wrapText="1"/>
    </xf>
    <xf numFmtId="169" fontId="3" fillId="0" borderId="46" xfId="0" applyFont="1" applyBorder="1" applyAlignment="1">
      <alignment horizontal="center" vertical="center" wrapText="1"/>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3" fillId="0" borderId="11" xfId="0" applyFont="1" applyBorder="1" applyAlignment="1">
      <alignment horizontal="center" vertical="center" wrapText="1"/>
    </xf>
    <xf numFmtId="169" fontId="3" fillId="0" borderId="1" xfId="0" applyFont="1" applyFill="1" applyBorder="1" applyAlignment="1">
      <alignment horizontal="center" vertical="center" wrapText="1"/>
    </xf>
    <xf numFmtId="169" fontId="3" fillId="0" borderId="47" xfId="0" applyFont="1" applyFill="1" applyBorder="1" applyAlignment="1">
      <alignment horizontal="center" vertical="center" wrapText="1"/>
    </xf>
    <xf numFmtId="169" fontId="3" fillId="0" borderId="4" xfId="0" applyFont="1" applyFill="1" applyBorder="1" applyAlignment="1">
      <alignment horizontal="center" vertical="center" wrapText="1"/>
    </xf>
    <xf numFmtId="169" fontId="3" fillId="0" borderId="46" xfId="0" applyFont="1" applyFill="1" applyBorder="1" applyAlignment="1">
      <alignment horizontal="center" vertical="center" wrapText="1"/>
    </xf>
    <xf numFmtId="169" fontId="3" fillId="0" borderId="5" xfId="0" applyFont="1" applyFill="1" applyBorder="1" applyAlignment="1">
      <alignment horizontal="center" vertical="center" wrapText="1"/>
    </xf>
    <xf numFmtId="169" fontId="3" fillId="0" borderId="11" xfId="0" applyFont="1" applyFill="1" applyBorder="1" applyAlignment="1">
      <alignment horizontal="center" vertical="center" wrapText="1"/>
    </xf>
    <xf numFmtId="169" fontId="54" fillId="0" borderId="74" xfId="0" applyFont="1" applyBorder="1" applyAlignment="1">
      <alignment horizontal="center" vertical="center" wrapText="1"/>
    </xf>
    <xf numFmtId="169" fontId="54" fillId="0" borderId="75" xfId="0" applyFont="1" applyBorder="1" applyAlignment="1">
      <alignment horizontal="center" vertical="center" wrapText="1"/>
    </xf>
    <xf numFmtId="169" fontId="54" fillId="63" borderId="48" xfId="0" applyFont="1" applyFill="1" applyBorder="1" applyAlignment="1">
      <alignment horizontal="center" vertical="center" wrapText="1"/>
    </xf>
    <xf numFmtId="169" fontId="54" fillId="63" borderId="49" xfId="0" applyFont="1" applyFill="1" applyBorder="1" applyAlignment="1">
      <alignment horizontal="center" vertical="center" wrapText="1"/>
    </xf>
    <xf numFmtId="169" fontId="54" fillId="63" borderId="59" xfId="0" applyFont="1" applyFill="1" applyBorder="1" applyAlignment="1">
      <alignment horizontal="center" vertical="center" wrapText="1"/>
    </xf>
    <xf numFmtId="169" fontId="54" fillId="63" borderId="60" xfId="0" applyFont="1" applyFill="1" applyBorder="1" applyAlignment="1">
      <alignment horizontal="center" vertical="center" wrapText="1"/>
    </xf>
    <xf numFmtId="169" fontId="54" fillId="63" borderId="63" xfId="0" applyFont="1" applyFill="1" applyBorder="1" applyAlignment="1">
      <alignment horizontal="center" vertical="center" wrapText="1"/>
    </xf>
    <xf numFmtId="169" fontId="54" fillId="63" borderId="64" xfId="0" applyFont="1" applyFill="1" applyBorder="1" applyAlignment="1">
      <alignment horizontal="center" vertical="center" wrapText="1"/>
    </xf>
    <xf numFmtId="169" fontId="54" fillId="67" borderId="3" xfId="0" applyFont="1" applyFill="1" applyBorder="1" applyAlignment="1">
      <alignment horizontal="left" vertical="center" wrapText="1"/>
    </xf>
    <xf numFmtId="169" fontId="54" fillId="67" borderId="67" xfId="0" applyFont="1" applyFill="1" applyBorder="1" applyAlignment="1">
      <alignment horizontal="left" vertical="center" wrapText="1"/>
    </xf>
    <xf numFmtId="169" fontId="54" fillId="67" borderId="66" xfId="0" applyFont="1" applyFill="1" applyBorder="1" applyAlignment="1">
      <alignment horizontal="left" vertical="center" wrapText="1"/>
    </xf>
    <xf numFmtId="169" fontId="54" fillId="67" borderId="12" xfId="0" applyFont="1" applyFill="1" applyBorder="1" applyAlignment="1">
      <alignment horizontal="left" vertical="center" wrapText="1"/>
    </xf>
    <xf numFmtId="169" fontId="56" fillId="0" borderId="0" xfId="0" applyFont="1" applyAlignment="1">
      <alignment horizontal="left" vertical="center" wrapText="1"/>
    </xf>
    <xf numFmtId="169" fontId="56" fillId="0" borderId="0" xfId="0" applyFont="1" applyAlignment="1">
      <alignment horizontal="left" vertical="center"/>
    </xf>
    <xf numFmtId="169" fontId="54" fillId="62" borderId="48" xfId="0" applyFont="1" applyFill="1" applyBorder="1" applyAlignment="1">
      <alignment horizontal="center" vertical="center" wrapText="1"/>
    </xf>
    <xf numFmtId="169" fontId="54" fillId="62" borderId="49" xfId="0" applyFont="1" applyFill="1" applyBorder="1" applyAlignment="1">
      <alignment horizontal="center" vertical="center" wrapText="1"/>
    </xf>
    <xf numFmtId="169" fontId="54" fillId="62" borderId="62" xfId="0" applyFont="1" applyFill="1" applyBorder="1" applyAlignment="1">
      <alignment horizontal="center" vertical="center" wrapText="1"/>
    </xf>
    <xf numFmtId="169" fontId="55" fillId="0" borderId="0" xfId="0" applyFont="1" applyAlignment="1">
      <alignment horizontal="left" vertical="center" wrapText="1"/>
    </xf>
    <xf numFmtId="169" fontId="26" fillId="0" borderId="0" xfId="0" applyFont="1" applyAlignment="1">
      <alignment horizontal="center"/>
    </xf>
    <xf numFmtId="169" fontId="54" fillId="67" borderId="5" xfId="0" applyFont="1" applyFill="1" applyBorder="1" applyAlignment="1">
      <alignment horizontal="left" vertical="center" wrapText="1"/>
    </xf>
    <xf numFmtId="169" fontId="54" fillId="67" borderId="11" xfId="0" applyFont="1" applyFill="1" applyBorder="1" applyAlignment="1">
      <alignment horizontal="left" vertical="center" wrapText="1"/>
    </xf>
    <xf numFmtId="0" fontId="59" fillId="0" borderId="8" xfId="92" applyFont="1" applyBorder="1" applyAlignment="1">
      <alignment horizontal="center" vertical="center" wrapText="1"/>
    </xf>
  </cellXfs>
  <cellStyles count="411">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3 2" xfId="403"/>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2 2 2 2 2" xfId="404"/>
    <cellStyle name="Millares 2 2 2 2 3" xfId="394"/>
    <cellStyle name="Millares 2 2 2 2 4" xfId="409"/>
    <cellStyle name="Millares 2 2 3" xfId="395"/>
    <cellStyle name="Millares 2 2 3 2" xfId="405"/>
    <cellStyle name="Millares 2 2 3 3" xfId="410"/>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 6" xfId="402"/>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8" xfId="390"/>
    <cellStyle name="Normal 89" xfId="401"/>
    <cellStyle name="Normal 9" xfId="97"/>
    <cellStyle name="Normal 9 2" xfId="60"/>
    <cellStyle name="Normal 9 3" xfId="281"/>
    <cellStyle name="Normal 90" xfId="399"/>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2 2 2" xfId="408"/>
    <cellStyle name="Porcentaje 2 2 3" xfId="392"/>
    <cellStyle name="Porcentaje 2 2 3 2" xfId="406"/>
    <cellStyle name="Porcentaje 2 3" xfId="127"/>
    <cellStyle name="Porcentaje 2 4" xfId="40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DFA"/>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358775</xdr:colOff>
      <xdr:row>0</xdr:row>
      <xdr:rowOff>419100</xdr:rowOff>
    </xdr:from>
    <xdr:ext cx="1101725" cy="1152525"/>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5" y="419100"/>
          <a:ext cx="1101725" cy="115252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pageSetUpPr fitToPage="1"/>
  </sheetPr>
  <dimension ref="A1:AX325"/>
  <sheetViews>
    <sheetView showGridLines="0" tabSelected="1" zoomScale="70" zoomScaleNormal="70" workbookViewId="0">
      <selection activeCell="C6" sqref="C6"/>
    </sheetView>
  </sheetViews>
  <sheetFormatPr baseColWidth="10" defaultColWidth="11.42578125" defaultRowHeight="15"/>
  <cols>
    <col min="1" max="1" width="13.140625" style="335" customWidth="1"/>
    <col min="2" max="2" width="18" style="8" customWidth="1"/>
    <col min="3" max="3" width="11.42578125" style="336" customWidth="1"/>
    <col min="4" max="4" width="26" style="177" customWidth="1"/>
    <col min="5" max="5" width="12.5703125" style="7" customWidth="1"/>
    <col min="6" max="6" width="17.85546875" style="177" customWidth="1"/>
    <col min="7" max="7" width="14.5703125" style="7" customWidth="1"/>
    <col min="8" max="8" width="43" style="8" customWidth="1"/>
    <col min="9" max="9" width="15.28515625" style="8" customWidth="1"/>
    <col min="10" max="10" width="35.7109375" style="8" customWidth="1"/>
    <col min="11" max="11" width="56.28515625" style="177" customWidth="1"/>
    <col min="12" max="12" width="14.7109375" style="7" customWidth="1"/>
    <col min="13" max="13" width="39.140625" style="177" customWidth="1"/>
    <col min="14" max="14" width="17" style="5" customWidth="1"/>
    <col min="15" max="15" width="33.140625" style="177" customWidth="1"/>
    <col min="16" max="16" width="11.140625" style="177" customWidth="1"/>
    <col min="17" max="17" width="38.7109375" style="8" customWidth="1"/>
    <col min="18" max="18" width="21.7109375" style="7" customWidth="1"/>
    <col min="19" max="19" width="30" style="8" customWidth="1"/>
    <col min="20" max="20" width="19.140625" style="337" customWidth="1"/>
    <col min="21" max="24" width="19.140625" style="7" customWidth="1"/>
    <col min="25" max="25" width="17" style="338" customWidth="1"/>
    <col min="26" max="26" width="55.7109375" style="8" customWidth="1"/>
    <col min="27" max="27" width="89" style="8" customWidth="1"/>
    <col min="28" max="28" width="28.5703125" style="1" customWidth="1"/>
    <col min="29" max="31" width="23.42578125" style="1" customWidth="1"/>
    <col min="32" max="32" width="26" style="2" customWidth="1"/>
    <col min="33" max="33" width="23.42578125" style="1" customWidth="1"/>
    <col min="34" max="34" width="23.42578125" style="340" customWidth="1"/>
    <col min="35" max="36" width="23.42578125" style="1" customWidth="1"/>
    <col min="37" max="37" width="26.28515625" style="1" customWidth="1"/>
    <col min="38" max="38" width="27.42578125" style="2" customWidth="1"/>
    <col min="39" max="39" width="29.85546875" style="339" customWidth="1"/>
    <col min="40" max="16384" width="11.42578125" style="1"/>
  </cols>
  <sheetData>
    <row r="1" spans="1:39" ht="38.25" customHeight="1">
      <c r="A1" s="8"/>
      <c r="C1" s="387" t="s">
        <v>16</v>
      </c>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68" t="s">
        <v>17</v>
      </c>
      <c r="AM1" s="248" t="s">
        <v>1464</v>
      </c>
    </row>
    <row r="2" spans="1:39" ht="38.25" customHeight="1">
      <c r="A2" s="8"/>
      <c r="C2" s="397" t="s">
        <v>1502</v>
      </c>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69" t="s">
        <v>18</v>
      </c>
      <c r="AM2" s="366">
        <v>4</v>
      </c>
    </row>
    <row r="3" spans="1:39" ht="38.25" customHeight="1">
      <c r="A3" s="8"/>
      <c r="C3" s="399" t="s">
        <v>1462</v>
      </c>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370" t="s">
        <v>19</v>
      </c>
      <c r="AM3" s="367">
        <v>44718</v>
      </c>
    </row>
    <row r="4" spans="1:39" ht="34.5" customHeight="1">
      <c r="A4" s="8"/>
      <c r="C4" s="395" t="s">
        <v>1500</v>
      </c>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68" t="s">
        <v>20</v>
      </c>
      <c r="AM4" s="249" t="s">
        <v>21</v>
      </c>
    </row>
    <row r="5" spans="1:39" s="178" customFormat="1" ht="22.5" customHeight="1">
      <c r="A5" s="389" t="s">
        <v>22</v>
      </c>
      <c r="B5" s="390"/>
      <c r="C5" s="391" t="s">
        <v>23</v>
      </c>
      <c r="D5" s="391"/>
      <c r="E5" s="391" t="s">
        <v>24</v>
      </c>
      <c r="F5" s="391"/>
      <c r="G5" s="392" t="s">
        <v>25</v>
      </c>
      <c r="H5" s="393"/>
      <c r="I5" s="393"/>
      <c r="J5" s="393"/>
      <c r="K5" s="394"/>
      <c r="L5" s="392" t="s">
        <v>26</v>
      </c>
      <c r="M5" s="393"/>
      <c r="N5" s="393"/>
      <c r="O5" s="394"/>
      <c r="P5" s="392" t="s">
        <v>27</v>
      </c>
      <c r="Q5" s="393"/>
      <c r="R5" s="393"/>
      <c r="S5" s="394"/>
      <c r="T5" s="392" t="s">
        <v>28</v>
      </c>
      <c r="U5" s="393"/>
      <c r="V5" s="393"/>
      <c r="W5" s="394"/>
      <c r="X5" s="365"/>
      <c r="Y5" s="391" t="s">
        <v>29</v>
      </c>
      <c r="Z5" s="391"/>
      <c r="AA5" s="391"/>
      <c r="AB5" s="384" t="s">
        <v>1501</v>
      </c>
      <c r="AC5" s="385"/>
      <c r="AD5" s="385"/>
      <c r="AE5" s="385"/>
      <c r="AF5" s="385"/>
      <c r="AG5" s="385"/>
      <c r="AH5" s="385"/>
      <c r="AI5" s="385"/>
      <c r="AJ5" s="385"/>
      <c r="AK5" s="385"/>
      <c r="AL5" s="385"/>
      <c r="AM5" s="386"/>
    </row>
    <row r="6" spans="1:39" s="3" customFormat="1" ht="92.25" customHeight="1">
      <c r="A6" s="352" t="s">
        <v>30</v>
      </c>
      <c r="B6" s="353" t="s">
        <v>31</v>
      </c>
      <c r="C6" s="348" t="s">
        <v>30</v>
      </c>
      <c r="D6" s="348" t="s">
        <v>31</v>
      </c>
      <c r="E6" s="353" t="s">
        <v>30</v>
      </c>
      <c r="F6" s="353" t="s">
        <v>31</v>
      </c>
      <c r="G6" s="348" t="s">
        <v>32</v>
      </c>
      <c r="H6" s="348" t="s">
        <v>33</v>
      </c>
      <c r="I6" s="348" t="s">
        <v>34</v>
      </c>
      <c r="J6" s="348" t="s">
        <v>35</v>
      </c>
      <c r="K6" s="350" t="s">
        <v>36</v>
      </c>
      <c r="L6" s="348" t="s">
        <v>37</v>
      </c>
      <c r="M6" s="348" t="s">
        <v>38</v>
      </c>
      <c r="N6" s="348" t="s">
        <v>39</v>
      </c>
      <c r="O6" s="348" t="s">
        <v>40</v>
      </c>
      <c r="P6" s="350" t="s">
        <v>37</v>
      </c>
      <c r="Q6" s="350" t="s">
        <v>41</v>
      </c>
      <c r="R6" s="350" t="s">
        <v>42</v>
      </c>
      <c r="S6" s="350" t="s">
        <v>43</v>
      </c>
      <c r="T6" s="120" t="s">
        <v>44</v>
      </c>
      <c r="U6" s="120" t="s">
        <v>45</v>
      </c>
      <c r="V6" s="120" t="s">
        <v>46</v>
      </c>
      <c r="W6" s="348" t="s">
        <v>47</v>
      </c>
      <c r="X6" s="348" t="s">
        <v>1478</v>
      </c>
      <c r="Y6" s="349" t="s">
        <v>48</v>
      </c>
      <c r="Z6" s="350" t="s">
        <v>49</v>
      </c>
      <c r="AA6" s="119" t="s">
        <v>50</v>
      </c>
      <c r="AB6" s="351" t="s">
        <v>1480</v>
      </c>
      <c r="AC6" s="351" t="s">
        <v>1476</v>
      </c>
      <c r="AD6" s="351" t="s">
        <v>51</v>
      </c>
      <c r="AE6" s="351" t="s">
        <v>52</v>
      </c>
      <c r="AF6" s="351" t="s">
        <v>1461</v>
      </c>
      <c r="AG6" s="351" t="s">
        <v>53</v>
      </c>
      <c r="AH6" s="351" t="s">
        <v>54</v>
      </c>
      <c r="AI6" s="351" t="s">
        <v>55</v>
      </c>
      <c r="AJ6" s="351" t="s">
        <v>1428</v>
      </c>
      <c r="AK6" s="351" t="s">
        <v>56</v>
      </c>
      <c r="AL6" s="351" t="s">
        <v>57</v>
      </c>
      <c r="AM6" s="348" t="s">
        <v>1463</v>
      </c>
    </row>
    <row r="7" spans="1:39" s="200" customFormat="1" ht="66.75" customHeight="1">
      <c r="A7" s="188">
        <v>304</v>
      </c>
      <c r="B7" s="189" t="s">
        <v>58</v>
      </c>
      <c r="C7" s="188">
        <v>4</v>
      </c>
      <c r="D7" s="189" t="s">
        <v>59</v>
      </c>
      <c r="E7" s="188">
        <v>45</v>
      </c>
      <c r="F7" s="189" t="s">
        <v>60</v>
      </c>
      <c r="G7" s="188" t="s">
        <v>61</v>
      </c>
      <c r="H7" s="189" t="s">
        <v>62</v>
      </c>
      <c r="I7" s="188">
        <v>4599</v>
      </c>
      <c r="J7" s="189" t="s">
        <v>63</v>
      </c>
      <c r="K7" s="189" t="s">
        <v>64</v>
      </c>
      <c r="L7" s="188" t="s">
        <v>61</v>
      </c>
      <c r="M7" s="191" t="s">
        <v>65</v>
      </c>
      <c r="N7" s="188">
        <v>4599023</v>
      </c>
      <c r="O7" s="189" t="s">
        <v>66</v>
      </c>
      <c r="P7" s="188" t="s">
        <v>61</v>
      </c>
      <c r="Q7" s="191" t="s">
        <v>67</v>
      </c>
      <c r="R7" s="195">
        <v>459902300</v>
      </c>
      <c r="S7" s="191" t="s">
        <v>68</v>
      </c>
      <c r="T7" s="192" t="s">
        <v>69</v>
      </c>
      <c r="U7" s="186">
        <v>5</v>
      </c>
      <c r="V7" s="186"/>
      <c r="W7" s="186">
        <f>U7+V7</f>
        <v>5</v>
      </c>
      <c r="X7" s="186">
        <v>5</v>
      </c>
      <c r="Y7" s="195">
        <v>2020003630006</v>
      </c>
      <c r="Z7" s="189" t="s">
        <v>70</v>
      </c>
      <c r="AA7" s="189" t="s">
        <v>71</v>
      </c>
      <c r="AB7" s="180"/>
      <c r="AC7" s="180"/>
      <c r="AD7" s="180"/>
      <c r="AE7" s="180"/>
      <c r="AF7" s="180"/>
      <c r="AG7" s="180"/>
      <c r="AH7" s="197">
        <f>53585000+306331000+306331000+443473500</f>
        <v>1109720500</v>
      </c>
      <c r="AI7" s="180"/>
      <c r="AJ7" s="180"/>
      <c r="AK7" s="180"/>
      <c r="AL7" s="187">
        <f t="shared" ref="AL7:AL70" si="0">AB7+AC7+AD7+AE7+AF7+AG7+AH7+AI7+AK7+AJ7</f>
        <v>1109720500</v>
      </c>
      <c r="AM7" s="250" t="s">
        <v>0</v>
      </c>
    </row>
    <row r="8" spans="1:39" s="200" customFormat="1" ht="66.75" customHeight="1">
      <c r="A8" s="188">
        <v>304</v>
      </c>
      <c r="B8" s="189" t="s">
        <v>58</v>
      </c>
      <c r="C8" s="188">
        <v>4</v>
      </c>
      <c r="D8" s="189" t="s">
        <v>59</v>
      </c>
      <c r="E8" s="188">
        <v>45</v>
      </c>
      <c r="F8" s="189" t="s">
        <v>60</v>
      </c>
      <c r="G8" s="188" t="s">
        <v>61</v>
      </c>
      <c r="H8" s="189" t="s">
        <v>62</v>
      </c>
      <c r="I8" s="188">
        <v>4599</v>
      </c>
      <c r="J8" s="189" t="s">
        <v>63</v>
      </c>
      <c r="K8" s="189" t="s">
        <v>64</v>
      </c>
      <c r="L8" s="188" t="s">
        <v>61</v>
      </c>
      <c r="M8" s="189" t="s">
        <v>72</v>
      </c>
      <c r="N8" s="188">
        <v>4599002</v>
      </c>
      <c r="O8" s="189" t="s">
        <v>73</v>
      </c>
      <c r="P8" s="188" t="s">
        <v>61</v>
      </c>
      <c r="Q8" s="191" t="s">
        <v>74</v>
      </c>
      <c r="R8" s="195">
        <v>459900200</v>
      </c>
      <c r="S8" s="191" t="s">
        <v>75</v>
      </c>
      <c r="T8" s="192" t="s">
        <v>69</v>
      </c>
      <c r="U8" s="186">
        <v>4</v>
      </c>
      <c r="V8" s="186"/>
      <c r="W8" s="186">
        <f t="shared" ref="W8:W24" si="1">U8+V8</f>
        <v>4</v>
      </c>
      <c r="X8" s="186">
        <v>4</v>
      </c>
      <c r="Y8" s="195">
        <v>2020003630007</v>
      </c>
      <c r="Z8" s="189" t="s">
        <v>76</v>
      </c>
      <c r="AA8" s="189" t="s">
        <v>77</v>
      </c>
      <c r="AB8" s="180"/>
      <c r="AC8" s="180"/>
      <c r="AD8" s="180"/>
      <c r="AE8" s="180"/>
      <c r="AF8" s="180"/>
      <c r="AG8" s="180"/>
      <c r="AH8" s="187">
        <f>52629202+178132000+169053000+264064500</f>
        <v>663878702</v>
      </c>
      <c r="AI8" s="180"/>
      <c r="AJ8" s="180"/>
      <c r="AK8" s="180"/>
      <c r="AL8" s="187">
        <f t="shared" si="0"/>
        <v>663878702</v>
      </c>
      <c r="AM8" s="250" t="s">
        <v>0</v>
      </c>
    </row>
    <row r="9" spans="1:39" s="200" customFormat="1" ht="66.75" customHeight="1">
      <c r="A9" s="188">
        <v>304</v>
      </c>
      <c r="B9" s="189" t="s">
        <v>58</v>
      </c>
      <c r="C9" s="188">
        <v>4</v>
      </c>
      <c r="D9" s="189" t="s">
        <v>59</v>
      </c>
      <c r="E9" s="188">
        <v>45</v>
      </c>
      <c r="F9" s="189" t="s">
        <v>60</v>
      </c>
      <c r="G9" s="188">
        <v>4502</v>
      </c>
      <c r="H9" s="189" t="s">
        <v>78</v>
      </c>
      <c r="I9" s="188">
        <v>4502</v>
      </c>
      <c r="J9" s="189" t="s">
        <v>79</v>
      </c>
      <c r="K9" s="189" t="s">
        <v>80</v>
      </c>
      <c r="L9" s="188" t="s">
        <v>61</v>
      </c>
      <c r="M9" s="189" t="s">
        <v>81</v>
      </c>
      <c r="N9" s="188">
        <v>4502033</v>
      </c>
      <c r="O9" s="189" t="s">
        <v>82</v>
      </c>
      <c r="P9" s="188" t="s">
        <v>61</v>
      </c>
      <c r="Q9" s="191" t="s">
        <v>83</v>
      </c>
      <c r="R9" s="193">
        <v>450203300</v>
      </c>
      <c r="S9" s="191" t="s">
        <v>84</v>
      </c>
      <c r="T9" s="192" t="s">
        <v>69</v>
      </c>
      <c r="U9" s="186">
        <v>1</v>
      </c>
      <c r="V9" s="186"/>
      <c r="W9" s="186">
        <f t="shared" si="1"/>
        <v>1</v>
      </c>
      <c r="X9" s="186">
        <v>0.8</v>
      </c>
      <c r="Y9" s="195">
        <v>2020003630005</v>
      </c>
      <c r="Z9" s="189" t="s">
        <v>85</v>
      </c>
      <c r="AA9" s="189" t="s">
        <v>86</v>
      </c>
      <c r="AB9" s="180"/>
      <c r="AC9" s="180"/>
      <c r="AD9" s="180"/>
      <c r="AE9" s="180"/>
      <c r="AF9" s="180"/>
      <c r="AG9" s="180"/>
      <c r="AH9" s="260">
        <f>43295000+15537000+24616000+42462000</f>
        <v>125910000</v>
      </c>
      <c r="AI9" s="180"/>
      <c r="AJ9" s="180"/>
      <c r="AK9" s="180"/>
      <c r="AL9" s="187">
        <f t="shared" si="0"/>
        <v>125910000</v>
      </c>
      <c r="AM9" s="250" t="s">
        <v>0</v>
      </c>
    </row>
    <row r="10" spans="1:39" s="200" customFormat="1" ht="66.75" customHeight="1">
      <c r="A10" s="195">
        <v>304</v>
      </c>
      <c r="B10" s="280" t="s">
        <v>58</v>
      </c>
      <c r="C10" s="195">
        <v>4</v>
      </c>
      <c r="D10" s="190" t="s">
        <v>59</v>
      </c>
      <c r="E10" s="195">
        <v>45</v>
      </c>
      <c r="F10" s="190" t="s">
        <v>60</v>
      </c>
      <c r="G10" s="192" t="s">
        <v>61</v>
      </c>
      <c r="H10" s="190" t="s">
        <v>62</v>
      </c>
      <c r="I10" s="195">
        <v>4599</v>
      </c>
      <c r="J10" s="190" t="s">
        <v>63</v>
      </c>
      <c r="K10" s="190" t="s">
        <v>64</v>
      </c>
      <c r="L10" s="192" t="s">
        <v>61</v>
      </c>
      <c r="M10" s="191" t="s">
        <v>65</v>
      </c>
      <c r="N10" s="195">
        <v>4599023</v>
      </c>
      <c r="O10" s="190" t="s">
        <v>66</v>
      </c>
      <c r="P10" s="192" t="s">
        <v>61</v>
      </c>
      <c r="Q10" s="191" t="s">
        <v>67</v>
      </c>
      <c r="R10" s="195">
        <v>459902300</v>
      </c>
      <c r="S10" s="191" t="s">
        <v>68</v>
      </c>
      <c r="T10" s="192" t="s">
        <v>69</v>
      </c>
      <c r="U10" s="179">
        <v>1</v>
      </c>
      <c r="V10" s="182"/>
      <c r="W10" s="179">
        <f>SUM(U10:V10)</f>
        <v>1</v>
      </c>
      <c r="X10" s="182">
        <v>0.45</v>
      </c>
      <c r="Y10" s="195">
        <v>2022003630011</v>
      </c>
      <c r="Z10" s="190" t="s">
        <v>1429</v>
      </c>
      <c r="AA10" s="190" t="s">
        <v>1430</v>
      </c>
      <c r="AB10" s="180"/>
      <c r="AC10" s="180"/>
      <c r="AD10" s="180"/>
      <c r="AE10" s="180"/>
      <c r="AF10" s="180"/>
      <c r="AG10" s="180"/>
      <c r="AH10" s="184">
        <v>3000000000</v>
      </c>
      <c r="AI10" s="180"/>
      <c r="AJ10" s="180">
        <v>9400000000</v>
      </c>
      <c r="AK10" s="243"/>
      <c r="AL10" s="187">
        <f t="shared" si="0"/>
        <v>12400000000</v>
      </c>
      <c r="AM10" s="250" t="s">
        <v>0</v>
      </c>
    </row>
    <row r="11" spans="1:39" s="200" customFormat="1" ht="66.75" customHeight="1">
      <c r="A11" s="195">
        <v>305</v>
      </c>
      <c r="B11" s="251" t="s">
        <v>87</v>
      </c>
      <c r="C11" s="195">
        <v>4</v>
      </c>
      <c r="D11" s="251" t="s">
        <v>59</v>
      </c>
      <c r="E11" s="195">
        <v>45</v>
      </c>
      <c r="F11" s="251" t="s">
        <v>60</v>
      </c>
      <c r="G11" s="195">
        <v>4502</v>
      </c>
      <c r="H11" s="252" t="s">
        <v>78</v>
      </c>
      <c r="I11" s="195">
        <v>4502</v>
      </c>
      <c r="J11" s="251" t="s">
        <v>79</v>
      </c>
      <c r="K11" s="252" t="s">
        <v>88</v>
      </c>
      <c r="L11" s="195" t="s">
        <v>61</v>
      </c>
      <c r="M11" s="191" t="s">
        <v>89</v>
      </c>
      <c r="N11" s="195">
        <v>4502001</v>
      </c>
      <c r="O11" s="251" t="s">
        <v>90</v>
      </c>
      <c r="P11" s="195" t="s">
        <v>61</v>
      </c>
      <c r="Q11" s="253" t="s">
        <v>91</v>
      </c>
      <c r="R11" s="254" t="s">
        <v>1424</v>
      </c>
      <c r="S11" s="251" t="s">
        <v>92</v>
      </c>
      <c r="T11" s="195" t="s">
        <v>69</v>
      </c>
      <c r="U11" s="195">
        <v>1</v>
      </c>
      <c r="V11" s="255"/>
      <c r="W11" s="186">
        <f t="shared" si="1"/>
        <v>1</v>
      </c>
      <c r="X11" s="186">
        <v>0.15</v>
      </c>
      <c r="Y11" s="195">
        <v>2020003630042</v>
      </c>
      <c r="Z11" s="251" t="s">
        <v>93</v>
      </c>
      <c r="AA11" s="251" t="s">
        <v>94</v>
      </c>
      <c r="AB11" s="256"/>
      <c r="AC11" s="256"/>
      <c r="AD11" s="256"/>
      <c r="AE11" s="256"/>
      <c r="AF11" s="256"/>
      <c r="AG11" s="256"/>
      <c r="AH11" s="185">
        <v>140000000</v>
      </c>
      <c r="AI11" s="256"/>
      <c r="AJ11" s="256"/>
      <c r="AK11" s="256"/>
      <c r="AL11" s="187">
        <f t="shared" si="0"/>
        <v>140000000</v>
      </c>
      <c r="AM11" s="251" t="s">
        <v>15</v>
      </c>
    </row>
    <row r="12" spans="1:39" s="200" customFormat="1" ht="66.75" customHeight="1">
      <c r="A12" s="195">
        <v>305</v>
      </c>
      <c r="B12" s="251" t="s">
        <v>87</v>
      </c>
      <c r="C12" s="195">
        <v>4</v>
      </c>
      <c r="D12" s="251" t="s">
        <v>59</v>
      </c>
      <c r="E12" s="195">
        <v>45</v>
      </c>
      <c r="F12" s="251" t="s">
        <v>60</v>
      </c>
      <c r="G12" s="195">
        <v>4502</v>
      </c>
      <c r="H12" s="252" t="s">
        <v>78</v>
      </c>
      <c r="I12" s="195">
        <v>4502</v>
      </c>
      <c r="J12" s="251" t="s">
        <v>79</v>
      </c>
      <c r="K12" s="252" t="s">
        <v>80</v>
      </c>
      <c r="L12" s="195" t="s">
        <v>61</v>
      </c>
      <c r="M12" s="191" t="s">
        <v>95</v>
      </c>
      <c r="N12" s="195">
        <v>4502001</v>
      </c>
      <c r="O12" s="251" t="s">
        <v>90</v>
      </c>
      <c r="P12" s="195" t="s">
        <v>61</v>
      </c>
      <c r="Q12" s="253" t="s">
        <v>96</v>
      </c>
      <c r="R12" s="254" t="s">
        <v>1425</v>
      </c>
      <c r="S12" s="251" t="s">
        <v>97</v>
      </c>
      <c r="T12" s="195" t="s">
        <v>69</v>
      </c>
      <c r="U12" s="195">
        <v>12</v>
      </c>
      <c r="V12" s="255"/>
      <c r="W12" s="186">
        <f t="shared" si="1"/>
        <v>12</v>
      </c>
      <c r="X12" s="186">
        <v>12</v>
      </c>
      <c r="Y12" s="195">
        <v>2020003630043</v>
      </c>
      <c r="Z12" s="251" t="s">
        <v>98</v>
      </c>
      <c r="AA12" s="251" t="s">
        <v>99</v>
      </c>
      <c r="AB12" s="256"/>
      <c r="AC12" s="256"/>
      <c r="AD12" s="256"/>
      <c r="AE12" s="256"/>
      <c r="AF12" s="256"/>
      <c r="AG12" s="256"/>
      <c r="AH12" s="185">
        <f>35000000+20000000</f>
        <v>55000000</v>
      </c>
      <c r="AI12" s="256"/>
      <c r="AJ12" s="256"/>
      <c r="AK12" s="256"/>
      <c r="AL12" s="187">
        <f t="shared" si="0"/>
        <v>55000000</v>
      </c>
      <c r="AM12" s="251" t="s">
        <v>15</v>
      </c>
    </row>
    <row r="13" spans="1:39" s="200" customFormat="1" ht="66.75" customHeight="1">
      <c r="A13" s="195">
        <v>305</v>
      </c>
      <c r="B13" s="251" t="s">
        <v>87</v>
      </c>
      <c r="C13" s="195">
        <v>4</v>
      </c>
      <c r="D13" s="251" t="s">
        <v>59</v>
      </c>
      <c r="E13" s="195">
        <v>45</v>
      </c>
      <c r="F13" s="251" t="s">
        <v>60</v>
      </c>
      <c r="G13" s="195" t="s">
        <v>61</v>
      </c>
      <c r="H13" s="251" t="s">
        <v>62</v>
      </c>
      <c r="I13" s="195">
        <v>4599</v>
      </c>
      <c r="J13" s="251" t="s">
        <v>63</v>
      </c>
      <c r="K13" s="251" t="s">
        <v>64</v>
      </c>
      <c r="L13" s="195" t="s">
        <v>61</v>
      </c>
      <c r="M13" s="191" t="s">
        <v>100</v>
      </c>
      <c r="N13" s="195">
        <v>4599018</v>
      </c>
      <c r="O13" s="251" t="s">
        <v>101</v>
      </c>
      <c r="P13" s="195" t="s">
        <v>61</v>
      </c>
      <c r="Q13" s="253" t="s">
        <v>102</v>
      </c>
      <c r="R13" s="254" t="s">
        <v>1426</v>
      </c>
      <c r="S13" s="251" t="s">
        <v>103</v>
      </c>
      <c r="T13" s="195" t="s">
        <v>104</v>
      </c>
      <c r="U13" s="195">
        <v>5</v>
      </c>
      <c r="V13" s="255"/>
      <c r="W13" s="186">
        <f t="shared" si="1"/>
        <v>5</v>
      </c>
      <c r="X13" s="186">
        <v>5</v>
      </c>
      <c r="Y13" s="195">
        <v>2020003630044</v>
      </c>
      <c r="Z13" s="251" t="s">
        <v>105</v>
      </c>
      <c r="AA13" s="251" t="s">
        <v>106</v>
      </c>
      <c r="AB13" s="256"/>
      <c r="AC13" s="256"/>
      <c r="AD13" s="256"/>
      <c r="AE13" s="256"/>
      <c r="AF13" s="256"/>
      <c r="AG13" s="256"/>
      <c r="AH13" s="185">
        <f>151334750+20000000+20000000+57214376+48000000+3000000</f>
        <v>299549126</v>
      </c>
      <c r="AI13" s="256"/>
      <c r="AJ13" s="256"/>
      <c r="AK13" s="256"/>
      <c r="AL13" s="187">
        <f t="shared" si="0"/>
        <v>299549126</v>
      </c>
      <c r="AM13" s="251" t="s">
        <v>15</v>
      </c>
    </row>
    <row r="14" spans="1:39" s="200" customFormat="1" ht="66.75" customHeight="1">
      <c r="A14" s="195">
        <v>305</v>
      </c>
      <c r="B14" s="252" t="s">
        <v>87</v>
      </c>
      <c r="C14" s="195">
        <v>4</v>
      </c>
      <c r="D14" s="252" t="s">
        <v>59</v>
      </c>
      <c r="E14" s="195">
        <v>45</v>
      </c>
      <c r="F14" s="252" t="s">
        <v>60</v>
      </c>
      <c r="G14" s="195" t="s">
        <v>61</v>
      </c>
      <c r="H14" s="252" t="s">
        <v>62</v>
      </c>
      <c r="I14" s="195">
        <v>4599</v>
      </c>
      <c r="J14" s="251" t="s">
        <v>63</v>
      </c>
      <c r="K14" s="252" t="s">
        <v>64</v>
      </c>
      <c r="L14" s="195" t="s">
        <v>61</v>
      </c>
      <c r="M14" s="191" t="s">
        <v>107</v>
      </c>
      <c r="N14" s="195">
        <v>4599025</v>
      </c>
      <c r="O14" s="251" t="s">
        <v>108</v>
      </c>
      <c r="P14" s="195" t="s">
        <v>61</v>
      </c>
      <c r="Q14" s="253" t="s">
        <v>109</v>
      </c>
      <c r="R14" s="254" t="s">
        <v>1427</v>
      </c>
      <c r="S14" s="251" t="s">
        <v>110</v>
      </c>
      <c r="T14" s="195" t="s">
        <v>104</v>
      </c>
      <c r="U14" s="195">
        <v>1</v>
      </c>
      <c r="V14" s="255"/>
      <c r="W14" s="186">
        <f t="shared" si="1"/>
        <v>1</v>
      </c>
      <c r="X14" s="186">
        <v>0.75</v>
      </c>
      <c r="Y14" s="195">
        <v>2020003630045</v>
      </c>
      <c r="Z14" s="251" t="s">
        <v>111</v>
      </c>
      <c r="AA14" s="251" t="s">
        <v>112</v>
      </c>
      <c r="AB14" s="256"/>
      <c r="AC14" s="256"/>
      <c r="AD14" s="256"/>
      <c r="AE14" s="256"/>
      <c r="AF14" s="256"/>
      <c r="AG14" s="256"/>
      <c r="AH14" s="185">
        <f>71317200+17750000+10300000</f>
        <v>99367200</v>
      </c>
      <c r="AI14" s="256"/>
      <c r="AJ14" s="256"/>
      <c r="AK14" s="256"/>
      <c r="AL14" s="187">
        <f t="shared" si="0"/>
        <v>99367200</v>
      </c>
      <c r="AM14" s="251" t="s">
        <v>15</v>
      </c>
    </row>
    <row r="15" spans="1:39" s="200" customFormat="1" ht="66.75" customHeight="1">
      <c r="A15" s="195">
        <v>305</v>
      </c>
      <c r="B15" s="252" t="s">
        <v>87</v>
      </c>
      <c r="C15" s="195">
        <v>4</v>
      </c>
      <c r="D15" s="252" t="s">
        <v>59</v>
      </c>
      <c r="E15" s="195">
        <v>45</v>
      </c>
      <c r="F15" s="252" t="s">
        <v>60</v>
      </c>
      <c r="G15" s="195" t="s">
        <v>61</v>
      </c>
      <c r="H15" s="252" t="s">
        <v>62</v>
      </c>
      <c r="I15" s="195">
        <v>4599</v>
      </c>
      <c r="J15" s="251" t="s">
        <v>63</v>
      </c>
      <c r="K15" s="252" t="s">
        <v>64</v>
      </c>
      <c r="L15" s="195" t="s">
        <v>61</v>
      </c>
      <c r="M15" s="191" t="s">
        <v>113</v>
      </c>
      <c r="N15" s="195">
        <v>4599025</v>
      </c>
      <c r="O15" s="251" t="s">
        <v>108</v>
      </c>
      <c r="P15" s="195" t="s">
        <v>61</v>
      </c>
      <c r="Q15" s="253" t="s">
        <v>114</v>
      </c>
      <c r="R15" s="195">
        <v>459902500</v>
      </c>
      <c r="S15" s="251" t="s">
        <v>110</v>
      </c>
      <c r="T15" s="195" t="s">
        <v>104</v>
      </c>
      <c r="U15" s="195">
        <v>1</v>
      </c>
      <c r="V15" s="255"/>
      <c r="W15" s="186">
        <f t="shared" si="1"/>
        <v>1</v>
      </c>
      <c r="X15" s="186">
        <v>0.75</v>
      </c>
      <c r="Y15" s="195">
        <v>2020003630046</v>
      </c>
      <c r="Z15" s="251" t="s">
        <v>115</v>
      </c>
      <c r="AA15" s="251" t="s">
        <v>116</v>
      </c>
      <c r="AB15" s="256"/>
      <c r="AC15" s="256"/>
      <c r="AD15" s="256"/>
      <c r="AE15" s="256"/>
      <c r="AF15" s="256"/>
      <c r="AG15" s="256"/>
      <c r="AH15" s="197">
        <f>293230700+160000000+112000000</f>
        <v>565230700</v>
      </c>
      <c r="AI15" s="256"/>
      <c r="AJ15" s="256"/>
      <c r="AK15" s="256"/>
      <c r="AL15" s="187">
        <f t="shared" si="0"/>
        <v>565230700</v>
      </c>
      <c r="AM15" s="251" t="s">
        <v>15</v>
      </c>
    </row>
    <row r="16" spans="1:39" s="200" customFormat="1" ht="66.75" customHeight="1">
      <c r="A16" s="195">
        <v>305</v>
      </c>
      <c r="B16" s="252" t="s">
        <v>87</v>
      </c>
      <c r="C16" s="195">
        <v>4</v>
      </c>
      <c r="D16" s="252" t="s">
        <v>59</v>
      </c>
      <c r="E16" s="195">
        <v>45</v>
      </c>
      <c r="F16" s="252" t="s">
        <v>60</v>
      </c>
      <c r="G16" s="195" t="s">
        <v>61</v>
      </c>
      <c r="H16" s="252" t="s">
        <v>62</v>
      </c>
      <c r="I16" s="195">
        <v>4599</v>
      </c>
      <c r="J16" s="251" t="s">
        <v>63</v>
      </c>
      <c r="K16" s="252" t="s">
        <v>117</v>
      </c>
      <c r="L16" s="195" t="s">
        <v>61</v>
      </c>
      <c r="M16" s="191" t="s">
        <v>118</v>
      </c>
      <c r="N16" s="195">
        <v>4599031</v>
      </c>
      <c r="O16" s="251" t="s">
        <v>119</v>
      </c>
      <c r="P16" s="195" t="s">
        <v>61</v>
      </c>
      <c r="Q16" s="253" t="s">
        <v>120</v>
      </c>
      <c r="R16" s="195">
        <v>459903101</v>
      </c>
      <c r="S16" s="251" t="s">
        <v>121</v>
      </c>
      <c r="T16" s="195" t="s">
        <v>104</v>
      </c>
      <c r="U16" s="195">
        <v>12</v>
      </c>
      <c r="V16" s="255"/>
      <c r="W16" s="186">
        <f t="shared" si="1"/>
        <v>12</v>
      </c>
      <c r="X16" s="186">
        <v>12</v>
      </c>
      <c r="Y16" s="195">
        <v>2020003630047</v>
      </c>
      <c r="Z16" s="251" t="s">
        <v>122</v>
      </c>
      <c r="AA16" s="251" t="s">
        <v>123</v>
      </c>
      <c r="AB16" s="256"/>
      <c r="AC16" s="256"/>
      <c r="AD16" s="256"/>
      <c r="AE16" s="256"/>
      <c r="AF16" s="256"/>
      <c r="AG16" s="256"/>
      <c r="AH16" s="185">
        <f>37080000+1987000+15900000</f>
        <v>54967000</v>
      </c>
      <c r="AI16" s="256"/>
      <c r="AJ16" s="256"/>
      <c r="AK16" s="256"/>
      <c r="AL16" s="187">
        <f t="shared" si="0"/>
        <v>54967000</v>
      </c>
      <c r="AM16" s="251" t="s">
        <v>15</v>
      </c>
    </row>
    <row r="17" spans="1:39" s="200" customFormat="1" ht="66.75" customHeight="1">
      <c r="A17" s="195">
        <v>305</v>
      </c>
      <c r="B17" s="252" t="s">
        <v>87</v>
      </c>
      <c r="C17" s="195">
        <v>4</v>
      </c>
      <c r="D17" s="252" t="s">
        <v>59</v>
      </c>
      <c r="E17" s="195">
        <v>45</v>
      </c>
      <c r="F17" s="252" t="s">
        <v>60</v>
      </c>
      <c r="G17" s="195" t="s">
        <v>61</v>
      </c>
      <c r="H17" s="252" t="s">
        <v>62</v>
      </c>
      <c r="I17" s="195">
        <v>4599</v>
      </c>
      <c r="J17" s="251" t="s">
        <v>63</v>
      </c>
      <c r="K17" s="252" t="s">
        <v>117</v>
      </c>
      <c r="L17" s="195" t="s">
        <v>61</v>
      </c>
      <c r="M17" s="191" t="s">
        <v>124</v>
      </c>
      <c r="N17" s="195">
        <v>4599031</v>
      </c>
      <c r="O17" s="251" t="s">
        <v>119</v>
      </c>
      <c r="P17" s="195" t="s">
        <v>61</v>
      </c>
      <c r="Q17" s="253" t="s">
        <v>125</v>
      </c>
      <c r="R17" s="195">
        <v>459903101</v>
      </c>
      <c r="S17" s="251" t="s">
        <v>121</v>
      </c>
      <c r="T17" s="195" t="s">
        <v>104</v>
      </c>
      <c r="U17" s="195">
        <v>12</v>
      </c>
      <c r="V17" s="255"/>
      <c r="W17" s="186">
        <f t="shared" si="1"/>
        <v>12</v>
      </c>
      <c r="X17" s="186">
        <v>12</v>
      </c>
      <c r="Y17" s="195">
        <v>2020003630047</v>
      </c>
      <c r="Z17" s="251" t="s">
        <v>122</v>
      </c>
      <c r="AA17" s="251" t="s">
        <v>123</v>
      </c>
      <c r="AB17" s="256"/>
      <c r="AC17" s="256"/>
      <c r="AD17" s="256"/>
      <c r="AE17" s="256"/>
      <c r="AF17" s="256"/>
      <c r="AG17" s="256"/>
      <c r="AH17" s="185">
        <f>30591000+3000000</f>
        <v>33591000</v>
      </c>
      <c r="AI17" s="256"/>
      <c r="AJ17" s="256"/>
      <c r="AK17" s="256"/>
      <c r="AL17" s="187">
        <f t="shared" si="0"/>
        <v>33591000</v>
      </c>
      <c r="AM17" s="251" t="s">
        <v>15</v>
      </c>
    </row>
    <row r="18" spans="1:39" s="200" customFormat="1" ht="66.75" customHeight="1">
      <c r="A18" s="195">
        <v>305</v>
      </c>
      <c r="B18" s="252" t="s">
        <v>87</v>
      </c>
      <c r="C18" s="195">
        <v>4</v>
      </c>
      <c r="D18" s="252" t="s">
        <v>59</v>
      </c>
      <c r="E18" s="195">
        <v>45</v>
      </c>
      <c r="F18" s="252" t="s">
        <v>60</v>
      </c>
      <c r="G18" s="195" t="s">
        <v>61</v>
      </c>
      <c r="H18" s="252" t="s">
        <v>62</v>
      </c>
      <c r="I18" s="195">
        <v>4599</v>
      </c>
      <c r="J18" s="251" t="s">
        <v>63</v>
      </c>
      <c r="K18" s="252" t="s">
        <v>117</v>
      </c>
      <c r="L18" s="195" t="s">
        <v>61</v>
      </c>
      <c r="M18" s="191" t="s">
        <v>126</v>
      </c>
      <c r="N18" s="195">
        <v>4599031</v>
      </c>
      <c r="O18" s="251" t="s">
        <v>119</v>
      </c>
      <c r="P18" s="195" t="s">
        <v>61</v>
      </c>
      <c r="Q18" s="253" t="s">
        <v>127</v>
      </c>
      <c r="R18" s="195">
        <v>459903101</v>
      </c>
      <c r="S18" s="251" t="s">
        <v>121</v>
      </c>
      <c r="T18" s="195" t="s">
        <v>104</v>
      </c>
      <c r="U18" s="195">
        <v>12</v>
      </c>
      <c r="V18" s="255"/>
      <c r="W18" s="186">
        <f t="shared" si="1"/>
        <v>12</v>
      </c>
      <c r="X18" s="186">
        <v>12</v>
      </c>
      <c r="Y18" s="195">
        <v>2020003630047</v>
      </c>
      <c r="Z18" s="251" t="s">
        <v>122</v>
      </c>
      <c r="AA18" s="251" t="s">
        <v>123</v>
      </c>
      <c r="AB18" s="256"/>
      <c r="AC18" s="256"/>
      <c r="AD18" s="256"/>
      <c r="AE18" s="256"/>
      <c r="AF18" s="256"/>
      <c r="AG18" s="256"/>
      <c r="AH18" s="185">
        <f>30591000-1987000+4800000</f>
        <v>33404000</v>
      </c>
      <c r="AI18" s="256"/>
      <c r="AJ18" s="256"/>
      <c r="AK18" s="256"/>
      <c r="AL18" s="187">
        <f t="shared" si="0"/>
        <v>33404000</v>
      </c>
      <c r="AM18" s="251" t="s">
        <v>15</v>
      </c>
    </row>
    <row r="19" spans="1:39" s="200" customFormat="1" ht="66.75" customHeight="1">
      <c r="A19" s="195">
        <v>305</v>
      </c>
      <c r="B19" s="252" t="s">
        <v>87</v>
      </c>
      <c r="C19" s="195">
        <v>4</v>
      </c>
      <c r="D19" s="252" t="s">
        <v>59</v>
      </c>
      <c r="E19" s="195">
        <v>45</v>
      </c>
      <c r="F19" s="252" t="s">
        <v>60</v>
      </c>
      <c r="G19" s="195" t="s">
        <v>61</v>
      </c>
      <c r="H19" s="252" t="s">
        <v>62</v>
      </c>
      <c r="I19" s="195">
        <v>4599</v>
      </c>
      <c r="J19" s="251" t="s">
        <v>63</v>
      </c>
      <c r="K19" s="252" t="s">
        <v>117</v>
      </c>
      <c r="L19" s="195" t="s">
        <v>61</v>
      </c>
      <c r="M19" s="191" t="s">
        <v>128</v>
      </c>
      <c r="N19" s="195">
        <v>4599031</v>
      </c>
      <c r="O19" s="251" t="s">
        <v>119</v>
      </c>
      <c r="P19" s="195" t="s">
        <v>61</v>
      </c>
      <c r="Q19" s="253" t="s">
        <v>127</v>
      </c>
      <c r="R19" s="195">
        <v>459903101</v>
      </c>
      <c r="S19" s="251" t="s">
        <v>121</v>
      </c>
      <c r="T19" s="195" t="s">
        <v>104</v>
      </c>
      <c r="U19" s="195">
        <v>12</v>
      </c>
      <c r="V19" s="255"/>
      <c r="W19" s="186">
        <f t="shared" si="1"/>
        <v>12</v>
      </c>
      <c r="X19" s="186">
        <v>12</v>
      </c>
      <c r="Y19" s="195">
        <v>2020003630047</v>
      </c>
      <c r="Z19" s="251" t="s">
        <v>122</v>
      </c>
      <c r="AA19" s="251" t="s">
        <v>123</v>
      </c>
      <c r="AB19" s="256"/>
      <c r="AC19" s="256"/>
      <c r="AD19" s="256"/>
      <c r="AE19" s="256"/>
      <c r="AF19" s="256"/>
      <c r="AG19" s="256"/>
      <c r="AH19" s="185">
        <f>30591000+3000000</f>
        <v>33591000</v>
      </c>
      <c r="AI19" s="256"/>
      <c r="AJ19" s="256"/>
      <c r="AK19" s="256"/>
      <c r="AL19" s="187">
        <f t="shared" si="0"/>
        <v>33591000</v>
      </c>
      <c r="AM19" s="251" t="s">
        <v>15</v>
      </c>
    </row>
    <row r="20" spans="1:39" s="200" customFormat="1" ht="66.75" customHeight="1">
      <c r="A20" s="195">
        <v>305</v>
      </c>
      <c r="B20" s="252" t="s">
        <v>87</v>
      </c>
      <c r="C20" s="195">
        <v>4</v>
      </c>
      <c r="D20" s="252" t="s">
        <v>59</v>
      </c>
      <c r="E20" s="195">
        <v>45</v>
      </c>
      <c r="F20" s="252" t="s">
        <v>60</v>
      </c>
      <c r="G20" s="195" t="s">
        <v>61</v>
      </c>
      <c r="H20" s="252" t="s">
        <v>62</v>
      </c>
      <c r="I20" s="195">
        <v>4599</v>
      </c>
      <c r="J20" s="251" t="s">
        <v>63</v>
      </c>
      <c r="K20" s="252" t="s">
        <v>117</v>
      </c>
      <c r="L20" s="195" t="s">
        <v>61</v>
      </c>
      <c r="M20" s="191" t="s">
        <v>129</v>
      </c>
      <c r="N20" s="195">
        <v>4599031</v>
      </c>
      <c r="O20" s="251" t="s">
        <v>119</v>
      </c>
      <c r="P20" s="195" t="s">
        <v>61</v>
      </c>
      <c r="Q20" s="253" t="s">
        <v>127</v>
      </c>
      <c r="R20" s="195">
        <v>459903101</v>
      </c>
      <c r="S20" s="251" t="s">
        <v>121</v>
      </c>
      <c r="T20" s="195" t="s">
        <v>104</v>
      </c>
      <c r="U20" s="195">
        <v>12</v>
      </c>
      <c r="V20" s="255"/>
      <c r="W20" s="186">
        <f t="shared" si="1"/>
        <v>12</v>
      </c>
      <c r="X20" s="186">
        <v>12</v>
      </c>
      <c r="Y20" s="195">
        <v>2020003630047</v>
      </c>
      <c r="Z20" s="251" t="s">
        <v>122</v>
      </c>
      <c r="AA20" s="251" t="s">
        <v>123</v>
      </c>
      <c r="AB20" s="256"/>
      <c r="AC20" s="256"/>
      <c r="AD20" s="256"/>
      <c r="AE20" s="256"/>
      <c r="AF20" s="256"/>
      <c r="AG20" s="256"/>
      <c r="AH20" s="185">
        <v>30591000</v>
      </c>
      <c r="AI20" s="256"/>
      <c r="AJ20" s="256"/>
      <c r="AK20" s="256"/>
      <c r="AL20" s="187">
        <f t="shared" si="0"/>
        <v>30591000</v>
      </c>
      <c r="AM20" s="251" t="s">
        <v>15</v>
      </c>
    </row>
    <row r="21" spans="1:39" s="200" customFormat="1" ht="66.75" customHeight="1">
      <c r="A21" s="195">
        <v>305</v>
      </c>
      <c r="B21" s="252" t="s">
        <v>87</v>
      </c>
      <c r="C21" s="195">
        <v>4</v>
      </c>
      <c r="D21" s="252" t="s">
        <v>59</v>
      </c>
      <c r="E21" s="195">
        <v>45</v>
      </c>
      <c r="F21" s="252" t="s">
        <v>60</v>
      </c>
      <c r="G21" s="195" t="s">
        <v>61</v>
      </c>
      <c r="H21" s="252" t="s">
        <v>62</v>
      </c>
      <c r="I21" s="195">
        <v>4599</v>
      </c>
      <c r="J21" s="251" t="s">
        <v>63</v>
      </c>
      <c r="K21" s="252" t="s">
        <v>117</v>
      </c>
      <c r="L21" s="195" t="s">
        <v>61</v>
      </c>
      <c r="M21" s="191" t="s">
        <v>130</v>
      </c>
      <c r="N21" s="195">
        <v>4599031</v>
      </c>
      <c r="O21" s="251" t="s">
        <v>119</v>
      </c>
      <c r="P21" s="195" t="s">
        <v>61</v>
      </c>
      <c r="Q21" s="253" t="s">
        <v>127</v>
      </c>
      <c r="R21" s="195">
        <v>459903101</v>
      </c>
      <c r="S21" s="251" t="s">
        <v>121</v>
      </c>
      <c r="T21" s="195" t="s">
        <v>104</v>
      </c>
      <c r="U21" s="195">
        <v>12</v>
      </c>
      <c r="V21" s="255"/>
      <c r="W21" s="186">
        <f t="shared" si="1"/>
        <v>12</v>
      </c>
      <c r="X21" s="186">
        <v>12</v>
      </c>
      <c r="Y21" s="195">
        <v>2020003630047</v>
      </c>
      <c r="Z21" s="251" t="s">
        <v>122</v>
      </c>
      <c r="AA21" s="251" t="s">
        <v>123</v>
      </c>
      <c r="AB21" s="256"/>
      <c r="AC21" s="256"/>
      <c r="AD21" s="256"/>
      <c r="AE21" s="256"/>
      <c r="AF21" s="256"/>
      <c r="AG21" s="256"/>
      <c r="AH21" s="185">
        <v>30591000</v>
      </c>
      <c r="AI21" s="256"/>
      <c r="AJ21" s="256"/>
      <c r="AK21" s="256"/>
      <c r="AL21" s="187">
        <f t="shared" si="0"/>
        <v>30591000</v>
      </c>
      <c r="AM21" s="251" t="s">
        <v>15</v>
      </c>
    </row>
    <row r="22" spans="1:39" s="200" customFormat="1" ht="66.75" customHeight="1">
      <c r="A22" s="195">
        <v>305</v>
      </c>
      <c r="B22" s="252" t="s">
        <v>87</v>
      </c>
      <c r="C22" s="195">
        <v>4</v>
      </c>
      <c r="D22" s="252" t="s">
        <v>59</v>
      </c>
      <c r="E22" s="195">
        <v>45</v>
      </c>
      <c r="F22" s="252" t="s">
        <v>60</v>
      </c>
      <c r="G22" s="195" t="s">
        <v>61</v>
      </c>
      <c r="H22" s="252" t="s">
        <v>62</v>
      </c>
      <c r="I22" s="195">
        <v>4599</v>
      </c>
      <c r="J22" s="251" t="s">
        <v>63</v>
      </c>
      <c r="K22" s="252" t="s">
        <v>64</v>
      </c>
      <c r="L22" s="195" t="s">
        <v>61</v>
      </c>
      <c r="M22" s="191" t="s">
        <v>65</v>
      </c>
      <c r="N22" s="195">
        <v>4599023</v>
      </c>
      <c r="O22" s="251" t="s">
        <v>131</v>
      </c>
      <c r="P22" s="195" t="s">
        <v>61</v>
      </c>
      <c r="Q22" s="191" t="s">
        <v>67</v>
      </c>
      <c r="R22" s="195">
        <v>459902300</v>
      </c>
      <c r="S22" s="251" t="s">
        <v>68</v>
      </c>
      <c r="T22" s="195" t="s">
        <v>104</v>
      </c>
      <c r="U22" s="195">
        <v>18</v>
      </c>
      <c r="V22" s="255"/>
      <c r="W22" s="186">
        <f t="shared" si="1"/>
        <v>18</v>
      </c>
      <c r="X22" s="186">
        <v>18</v>
      </c>
      <c r="Y22" s="195">
        <v>2020003630008</v>
      </c>
      <c r="Z22" s="251" t="s">
        <v>132</v>
      </c>
      <c r="AA22" s="251" t="s">
        <v>133</v>
      </c>
      <c r="AB22" s="256"/>
      <c r="AC22" s="256"/>
      <c r="AD22" s="256"/>
      <c r="AE22" s="256"/>
      <c r="AF22" s="256"/>
      <c r="AG22" s="256"/>
      <c r="AH22" s="185">
        <f>61182000+20000000</f>
        <v>81182000</v>
      </c>
      <c r="AI22" s="256"/>
      <c r="AJ22" s="256"/>
      <c r="AK22" s="256"/>
      <c r="AL22" s="187">
        <f t="shared" si="0"/>
        <v>81182000</v>
      </c>
      <c r="AM22" s="251" t="s">
        <v>15</v>
      </c>
    </row>
    <row r="23" spans="1:39" s="200" customFormat="1" ht="66.75" customHeight="1">
      <c r="A23" s="188">
        <v>307</v>
      </c>
      <c r="B23" s="189" t="s">
        <v>134</v>
      </c>
      <c r="C23" s="188">
        <v>4</v>
      </c>
      <c r="D23" s="189" t="s">
        <v>59</v>
      </c>
      <c r="E23" s="188">
        <v>45</v>
      </c>
      <c r="F23" s="189" t="s">
        <v>60</v>
      </c>
      <c r="G23" s="188" t="s">
        <v>61</v>
      </c>
      <c r="H23" s="189" t="s">
        <v>62</v>
      </c>
      <c r="I23" s="188">
        <v>4599</v>
      </c>
      <c r="J23" s="189" t="s">
        <v>63</v>
      </c>
      <c r="K23" s="189" t="s">
        <v>135</v>
      </c>
      <c r="L23" s="188" t="s">
        <v>61</v>
      </c>
      <c r="M23" s="191" t="s">
        <v>136</v>
      </c>
      <c r="N23" s="188">
        <v>4599002</v>
      </c>
      <c r="O23" s="257" t="s">
        <v>73</v>
      </c>
      <c r="P23" s="188" t="s">
        <v>61</v>
      </c>
      <c r="Q23" s="191" t="s">
        <v>137</v>
      </c>
      <c r="R23" s="188">
        <v>459900201</v>
      </c>
      <c r="S23" s="191" t="s">
        <v>138</v>
      </c>
      <c r="T23" s="192" t="s">
        <v>69</v>
      </c>
      <c r="U23" s="258">
        <v>1</v>
      </c>
      <c r="V23" s="258"/>
      <c r="W23" s="186">
        <f t="shared" si="1"/>
        <v>1</v>
      </c>
      <c r="X23" s="186">
        <v>0.75</v>
      </c>
      <c r="Y23" s="195">
        <v>2020003630048</v>
      </c>
      <c r="Z23" s="189" t="s">
        <v>139</v>
      </c>
      <c r="AA23" s="189" t="s">
        <v>140</v>
      </c>
      <c r="AB23" s="259"/>
      <c r="AC23" s="259"/>
      <c r="AD23" s="259"/>
      <c r="AE23" s="259"/>
      <c r="AF23" s="259"/>
      <c r="AG23" s="259"/>
      <c r="AH23" s="184">
        <f>1313767972+360000000+98000000+60000000+1000000000+50000000</f>
        <v>2881767972</v>
      </c>
      <c r="AI23" s="184"/>
      <c r="AJ23" s="184"/>
      <c r="AK23" s="341">
        <f>250000000+104509532.16+342877095-613335960.16+592877095</f>
        <v>676927762</v>
      </c>
      <c r="AL23" s="187">
        <f t="shared" si="0"/>
        <v>3558695734</v>
      </c>
      <c r="AM23" s="190" t="s">
        <v>7</v>
      </c>
    </row>
    <row r="24" spans="1:39" s="200" customFormat="1" ht="66.75" customHeight="1">
      <c r="A24" s="188">
        <v>307</v>
      </c>
      <c r="B24" s="189" t="s">
        <v>134</v>
      </c>
      <c r="C24" s="188">
        <v>4</v>
      </c>
      <c r="D24" s="189" t="s">
        <v>59</v>
      </c>
      <c r="E24" s="188">
        <v>45</v>
      </c>
      <c r="F24" s="189" t="s">
        <v>60</v>
      </c>
      <c r="G24" s="188" t="s">
        <v>61</v>
      </c>
      <c r="H24" s="189" t="s">
        <v>62</v>
      </c>
      <c r="I24" s="188">
        <v>4599</v>
      </c>
      <c r="J24" s="189" t="s">
        <v>63</v>
      </c>
      <c r="K24" s="189" t="s">
        <v>135</v>
      </c>
      <c r="L24" s="188" t="s">
        <v>61</v>
      </c>
      <c r="M24" s="191" t="s">
        <v>141</v>
      </c>
      <c r="N24" s="188">
        <v>4599002</v>
      </c>
      <c r="O24" s="257" t="s">
        <v>142</v>
      </c>
      <c r="P24" s="188" t="s">
        <v>61</v>
      </c>
      <c r="Q24" s="191" t="s">
        <v>143</v>
      </c>
      <c r="R24" s="188">
        <v>459900200</v>
      </c>
      <c r="S24" s="191" t="s">
        <v>144</v>
      </c>
      <c r="T24" s="192" t="s">
        <v>69</v>
      </c>
      <c r="U24" s="258">
        <v>1</v>
      </c>
      <c r="V24" s="258"/>
      <c r="W24" s="186">
        <f t="shared" si="1"/>
        <v>1</v>
      </c>
      <c r="X24" s="186">
        <v>0.72</v>
      </c>
      <c r="Y24" s="195">
        <v>2020003630049</v>
      </c>
      <c r="Z24" s="189" t="s">
        <v>145</v>
      </c>
      <c r="AA24" s="189" t="s">
        <v>146</v>
      </c>
      <c r="AB24" s="180"/>
      <c r="AC24" s="180"/>
      <c r="AD24" s="180"/>
      <c r="AE24" s="180"/>
      <c r="AF24" s="180"/>
      <c r="AG24" s="180"/>
      <c r="AH24" s="184">
        <f>230000000+440000000+1000000000</f>
        <v>1670000000</v>
      </c>
      <c r="AI24" s="180"/>
      <c r="AJ24" s="180"/>
      <c r="AK24" s="180"/>
      <c r="AL24" s="187">
        <f t="shared" si="0"/>
        <v>1670000000</v>
      </c>
      <c r="AM24" s="190" t="s">
        <v>7</v>
      </c>
    </row>
    <row r="25" spans="1:39" s="200" customFormat="1" ht="66.75" customHeight="1">
      <c r="A25" s="188">
        <v>308</v>
      </c>
      <c r="B25" s="189" t="s">
        <v>147</v>
      </c>
      <c r="C25" s="188">
        <v>1</v>
      </c>
      <c r="D25" s="189" t="s">
        <v>148</v>
      </c>
      <c r="E25" s="188">
        <v>12</v>
      </c>
      <c r="F25" s="189" t="s">
        <v>149</v>
      </c>
      <c r="G25" s="188">
        <v>1202</v>
      </c>
      <c r="H25" s="189" t="s">
        <v>150</v>
      </c>
      <c r="I25" s="188">
        <v>1202</v>
      </c>
      <c r="J25" s="189" t="s">
        <v>151</v>
      </c>
      <c r="K25" s="189" t="s">
        <v>152</v>
      </c>
      <c r="L25" s="188" t="s">
        <v>61</v>
      </c>
      <c r="M25" s="191" t="s">
        <v>153</v>
      </c>
      <c r="N25" s="188">
        <v>1202019</v>
      </c>
      <c r="O25" s="183" t="s">
        <v>154</v>
      </c>
      <c r="P25" s="188" t="s">
        <v>61</v>
      </c>
      <c r="Q25" s="183" t="s">
        <v>155</v>
      </c>
      <c r="R25" s="186">
        <v>120201900</v>
      </c>
      <c r="S25" s="183" t="s">
        <v>156</v>
      </c>
      <c r="T25" s="192" t="s">
        <v>157</v>
      </c>
      <c r="U25" s="194">
        <v>4</v>
      </c>
      <c r="V25" s="194">
        <v>2</v>
      </c>
      <c r="W25" s="194">
        <f>U25+V25</f>
        <v>6</v>
      </c>
      <c r="X25" s="194">
        <v>0</v>
      </c>
      <c r="Y25" s="195">
        <v>2020003630017</v>
      </c>
      <c r="Z25" s="189" t="s">
        <v>158</v>
      </c>
      <c r="AA25" s="190" t="s">
        <v>159</v>
      </c>
      <c r="AB25" s="260"/>
      <c r="AC25" s="180"/>
      <c r="AD25" s="180"/>
      <c r="AE25" s="180"/>
      <c r="AF25" s="180"/>
      <c r="AG25" s="180"/>
      <c r="AH25" s="184">
        <f>100000000-4639613-25000000+3966913+8000000</f>
        <v>82327300</v>
      </c>
      <c r="AI25" s="180"/>
      <c r="AJ25" s="180"/>
      <c r="AK25" s="256"/>
      <c r="AL25" s="187">
        <f t="shared" si="0"/>
        <v>82327300</v>
      </c>
      <c r="AM25" s="190" t="s">
        <v>10</v>
      </c>
    </row>
    <row r="26" spans="1:39" s="200" customFormat="1" ht="66.75" customHeight="1">
      <c r="A26" s="188">
        <v>308</v>
      </c>
      <c r="B26" s="189" t="s">
        <v>147</v>
      </c>
      <c r="C26" s="188">
        <v>1</v>
      </c>
      <c r="D26" s="189" t="s">
        <v>148</v>
      </c>
      <c r="E26" s="188">
        <v>22</v>
      </c>
      <c r="F26" s="189" t="s">
        <v>160</v>
      </c>
      <c r="G26" s="188">
        <v>2201</v>
      </c>
      <c r="H26" s="189" t="s">
        <v>161</v>
      </c>
      <c r="I26" s="188">
        <v>2201</v>
      </c>
      <c r="J26" s="189" t="s">
        <v>162</v>
      </c>
      <c r="K26" s="189" t="s">
        <v>163</v>
      </c>
      <c r="L26" s="188" t="s">
        <v>61</v>
      </c>
      <c r="M26" s="191" t="s">
        <v>164</v>
      </c>
      <c r="N26" s="188">
        <v>2201062</v>
      </c>
      <c r="O26" s="189" t="s">
        <v>165</v>
      </c>
      <c r="P26" s="188" t="s">
        <v>61</v>
      </c>
      <c r="Q26" s="191" t="s">
        <v>166</v>
      </c>
      <c r="R26" s="188">
        <v>220106200</v>
      </c>
      <c r="S26" s="191" t="s">
        <v>167</v>
      </c>
      <c r="T26" s="192" t="s">
        <v>157</v>
      </c>
      <c r="U26" s="194">
        <v>15</v>
      </c>
      <c r="V26" s="194">
        <v>7</v>
      </c>
      <c r="W26" s="194">
        <f t="shared" ref="W26:W27" si="2">U26+V26</f>
        <v>22</v>
      </c>
      <c r="X26" s="194">
        <v>2</v>
      </c>
      <c r="Y26" s="195">
        <v>2020003630050</v>
      </c>
      <c r="Z26" s="189" t="s">
        <v>168</v>
      </c>
      <c r="AA26" s="190" t="s">
        <v>169</v>
      </c>
      <c r="AB26" s="260">
        <f>2500000000+167024296+250000000</f>
        <v>2917024296</v>
      </c>
      <c r="AC26" s="180"/>
      <c r="AD26" s="180"/>
      <c r="AE26" s="180"/>
      <c r="AF26" s="180"/>
      <c r="AG26" s="180"/>
      <c r="AH26" s="184">
        <f>100000000+100000000+90000000</f>
        <v>290000000</v>
      </c>
      <c r="AI26" s="180"/>
      <c r="AJ26" s="180"/>
      <c r="AK26" s="256"/>
      <c r="AL26" s="187">
        <f t="shared" si="0"/>
        <v>3207024296</v>
      </c>
      <c r="AM26" s="190" t="s">
        <v>10</v>
      </c>
    </row>
    <row r="27" spans="1:39" s="200" customFormat="1" ht="66.75" customHeight="1">
      <c r="A27" s="188">
        <v>308</v>
      </c>
      <c r="B27" s="189" t="s">
        <v>147</v>
      </c>
      <c r="C27" s="188">
        <v>1</v>
      </c>
      <c r="D27" s="189" t="s">
        <v>148</v>
      </c>
      <c r="E27" s="188">
        <v>33</v>
      </c>
      <c r="F27" s="189" t="s">
        <v>170</v>
      </c>
      <c r="G27" s="188">
        <v>3301</v>
      </c>
      <c r="H27" s="189" t="s">
        <v>171</v>
      </c>
      <c r="I27" s="188">
        <v>3301</v>
      </c>
      <c r="J27" s="189" t="s">
        <v>172</v>
      </c>
      <c r="K27" s="189" t="s">
        <v>173</v>
      </c>
      <c r="L27" s="188" t="s">
        <v>174</v>
      </c>
      <c r="M27" s="191" t="s">
        <v>175</v>
      </c>
      <c r="N27" s="188" t="s">
        <v>174</v>
      </c>
      <c r="O27" s="189" t="s">
        <v>175</v>
      </c>
      <c r="P27" s="186" t="s">
        <v>176</v>
      </c>
      <c r="Q27" s="183" t="s">
        <v>177</v>
      </c>
      <c r="R27" s="186" t="s">
        <v>176</v>
      </c>
      <c r="S27" s="183" t="s">
        <v>177</v>
      </c>
      <c r="T27" s="192" t="s">
        <v>157</v>
      </c>
      <c r="U27" s="194">
        <v>3</v>
      </c>
      <c r="V27" s="194">
        <v>2</v>
      </c>
      <c r="W27" s="194">
        <f t="shared" si="2"/>
        <v>5</v>
      </c>
      <c r="X27" s="194">
        <v>0</v>
      </c>
      <c r="Y27" s="261">
        <v>2021003630001</v>
      </c>
      <c r="Z27" s="190" t="s">
        <v>178</v>
      </c>
      <c r="AA27" s="190" t="s">
        <v>179</v>
      </c>
      <c r="AB27" s="180"/>
      <c r="AC27" s="180"/>
      <c r="AD27" s="180"/>
      <c r="AE27" s="180"/>
      <c r="AF27" s="180"/>
      <c r="AG27" s="180"/>
      <c r="AH27" s="185">
        <f>70000000+3966912</f>
        <v>73966912</v>
      </c>
      <c r="AI27" s="180"/>
      <c r="AJ27" s="180"/>
      <c r="AK27" s="180"/>
      <c r="AL27" s="187">
        <f t="shared" si="0"/>
        <v>73966912</v>
      </c>
      <c r="AM27" s="190" t="s">
        <v>10</v>
      </c>
    </row>
    <row r="28" spans="1:39" s="200" customFormat="1" ht="66.75" customHeight="1">
      <c r="A28" s="188">
        <v>308</v>
      </c>
      <c r="B28" s="189" t="s">
        <v>147</v>
      </c>
      <c r="C28" s="188">
        <v>1</v>
      </c>
      <c r="D28" s="189" t="s">
        <v>148</v>
      </c>
      <c r="E28" s="188">
        <v>41</v>
      </c>
      <c r="F28" s="189" t="s">
        <v>180</v>
      </c>
      <c r="G28" s="188">
        <v>4104</v>
      </c>
      <c r="H28" s="189" t="s">
        <v>181</v>
      </c>
      <c r="I28" s="188">
        <v>4104</v>
      </c>
      <c r="J28" s="189" t="s">
        <v>182</v>
      </c>
      <c r="K28" s="189" t="s">
        <v>183</v>
      </c>
      <c r="L28" s="181">
        <v>4104036</v>
      </c>
      <c r="M28" s="191" t="s">
        <v>184</v>
      </c>
      <c r="N28" s="181">
        <v>4104036</v>
      </c>
      <c r="O28" s="189" t="s">
        <v>185</v>
      </c>
      <c r="P28" s="194">
        <v>410403600</v>
      </c>
      <c r="Q28" s="191" t="s">
        <v>186</v>
      </c>
      <c r="R28" s="194">
        <v>410403600</v>
      </c>
      <c r="S28" s="183" t="s">
        <v>187</v>
      </c>
      <c r="T28" s="192" t="s">
        <v>157</v>
      </c>
      <c r="U28" s="194" t="s">
        <v>257</v>
      </c>
      <c r="V28" s="194">
        <v>1</v>
      </c>
      <c r="W28" s="194">
        <f>V28</f>
        <v>1</v>
      </c>
      <c r="X28" s="194">
        <v>0</v>
      </c>
      <c r="Y28" s="261">
        <v>2021003630017</v>
      </c>
      <c r="Z28" s="189" t="s">
        <v>188</v>
      </c>
      <c r="AA28" s="262" t="s">
        <v>189</v>
      </c>
      <c r="AB28" s="180"/>
      <c r="AC28" s="180"/>
      <c r="AD28" s="180"/>
      <c r="AE28" s="180"/>
      <c r="AF28" s="180"/>
      <c r="AG28" s="180"/>
      <c r="AH28" s="184">
        <f>1000000+25000000+24000000+3000000000-400000000-700000000-250000000</f>
        <v>1700000000</v>
      </c>
      <c r="AI28" s="180"/>
      <c r="AJ28" s="180"/>
      <c r="AK28" s="180"/>
      <c r="AL28" s="187">
        <f t="shared" si="0"/>
        <v>1700000000</v>
      </c>
      <c r="AM28" s="190" t="s">
        <v>10</v>
      </c>
    </row>
    <row r="29" spans="1:39" s="200" customFormat="1" ht="66.75" customHeight="1">
      <c r="A29" s="188">
        <v>308</v>
      </c>
      <c r="B29" s="190" t="s">
        <v>147</v>
      </c>
      <c r="C29" s="188">
        <v>1</v>
      </c>
      <c r="D29" s="190" t="s">
        <v>148</v>
      </c>
      <c r="E29" s="188">
        <v>41</v>
      </c>
      <c r="F29" s="190" t="s">
        <v>180</v>
      </c>
      <c r="G29" s="188">
        <v>4104</v>
      </c>
      <c r="H29" s="190" t="s">
        <v>181</v>
      </c>
      <c r="I29" s="188">
        <v>4104</v>
      </c>
      <c r="J29" s="190" t="s">
        <v>182</v>
      </c>
      <c r="K29" s="190" t="s">
        <v>183</v>
      </c>
      <c r="L29" s="181">
        <v>4104036</v>
      </c>
      <c r="M29" s="191" t="s">
        <v>184</v>
      </c>
      <c r="N29" s="181">
        <v>4104036</v>
      </c>
      <c r="O29" s="190" t="s">
        <v>185</v>
      </c>
      <c r="P29" s="194">
        <v>410403600</v>
      </c>
      <c r="Q29" s="191" t="s">
        <v>186</v>
      </c>
      <c r="R29" s="194">
        <v>410403600</v>
      </c>
      <c r="S29" s="183" t="s">
        <v>187</v>
      </c>
      <c r="T29" s="192" t="s">
        <v>157</v>
      </c>
      <c r="U29" s="194" t="s">
        <v>257</v>
      </c>
      <c r="V29" s="194">
        <v>1</v>
      </c>
      <c r="W29" s="194">
        <f>V29</f>
        <v>1</v>
      </c>
      <c r="X29" s="179">
        <v>0</v>
      </c>
      <c r="Y29" s="195">
        <v>2022003630007</v>
      </c>
      <c r="Z29" s="190" t="s">
        <v>1453</v>
      </c>
      <c r="AA29" s="262" t="s">
        <v>1454</v>
      </c>
      <c r="AB29" s="180"/>
      <c r="AC29" s="180"/>
      <c r="AD29" s="180"/>
      <c r="AE29" s="180"/>
      <c r="AF29" s="180"/>
      <c r="AG29" s="180"/>
      <c r="AH29" s="184"/>
      <c r="AI29" s="180"/>
      <c r="AJ29" s="180">
        <v>3179932867</v>
      </c>
      <c r="AK29" s="180"/>
      <c r="AL29" s="187">
        <f t="shared" si="0"/>
        <v>3179932867</v>
      </c>
      <c r="AM29" s="190" t="s">
        <v>10</v>
      </c>
    </row>
    <row r="30" spans="1:39" s="200" customFormat="1" ht="66.75" customHeight="1">
      <c r="A30" s="188">
        <v>308</v>
      </c>
      <c r="B30" s="189" t="s">
        <v>147</v>
      </c>
      <c r="C30" s="188">
        <v>1</v>
      </c>
      <c r="D30" s="189" t="s">
        <v>148</v>
      </c>
      <c r="E30" s="188">
        <v>43</v>
      </c>
      <c r="F30" s="189" t="s">
        <v>190</v>
      </c>
      <c r="G30" s="188">
        <v>4301</v>
      </c>
      <c r="H30" s="189" t="s">
        <v>191</v>
      </c>
      <c r="I30" s="188">
        <v>4301</v>
      </c>
      <c r="J30" s="189" t="s">
        <v>192</v>
      </c>
      <c r="K30" s="189" t="s">
        <v>193</v>
      </c>
      <c r="L30" s="188" t="s">
        <v>61</v>
      </c>
      <c r="M30" s="191" t="s">
        <v>194</v>
      </c>
      <c r="N30" s="188">
        <v>4301004</v>
      </c>
      <c r="O30" s="183" t="s">
        <v>195</v>
      </c>
      <c r="P30" s="188" t="s">
        <v>61</v>
      </c>
      <c r="Q30" s="183" t="s">
        <v>196</v>
      </c>
      <c r="R30" s="188">
        <v>430100401</v>
      </c>
      <c r="S30" s="183" t="s">
        <v>197</v>
      </c>
      <c r="T30" s="192" t="s">
        <v>157</v>
      </c>
      <c r="U30" s="194">
        <v>3</v>
      </c>
      <c r="V30" s="194"/>
      <c r="W30" s="194">
        <f>U30+V30</f>
        <v>3</v>
      </c>
      <c r="X30" s="194">
        <v>0</v>
      </c>
      <c r="Y30" s="195">
        <v>2020003630052</v>
      </c>
      <c r="Z30" s="190" t="s">
        <v>198</v>
      </c>
      <c r="AA30" s="190" t="s">
        <v>199</v>
      </c>
      <c r="AB30" s="187">
        <f>1500000000+14872080+1664967+72946288+4376079954.1</f>
        <v>5965563289.1000004</v>
      </c>
      <c r="AC30" s="180"/>
      <c r="AD30" s="180"/>
      <c r="AE30" s="180"/>
      <c r="AF30" s="180"/>
      <c r="AG30" s="180"/>
      <c r="AH30" s="184">
        <f>100000000+100000000+90000000</f>
        <v>290000000</v>
      </c>
      <c r="AI30" s="180"/>
      <c r="AJ30" s="180"/>
      <c r="AK30" s="180"/>
      <c r="AL30" s="187">
        <f t="shared" si="0"/>
        <v>6255563289.1000004</v>
      </c>
      <c r="AM30" s="190" t="s">
        <v>10</v>
      </c>
    </row>
    <row r="31" spans="1:39" s="200" customFormat="1" ht="66.75" customHeight="1">
      <c r="A31" s="188">
        <v>308</v>
      </c>
      <c r="B31" s="189" t="s">
        <v>147</v>
      </c>
      <c r="C31" s="188">
        <v>2</v>
      </c>
      <c r="D31" s="189" t="s">
        <v>200</v>
      </c>
      <c r="E31" s="188">
        <v>17</v>
      </c>
      <c r="F31" s="189" t="s">
        <v>201</v>
      </c>
      <c r="G31" s="188">
        <v>1709</v>
      </c>
      <c r="H31" s="189" t="s">
        <v>202</v>
      </c>
      <c r="I31" s="188">
        <v>1709</v>
      </c>
      <c r="J31" s="189" t="s">
        <v>203</v>
      </c>
      <c r="K31" s="263" t="s">
        <v>204</v>
      </c>
      <c r="L31" s="181">
        <v>1709065</v>
      </c>
      <c r="M31" s="191" t="s">
        <v>205</v>
      </c>
      <c r="N31" s="181">
        <v>1709065</v>
      </c>
      <c r="O31" s="263" t="s">
        <v>205</v>
      </c>
      <c r="P31" s="181">
        <v>170906500</v>
      </c>
      <c r="Q31" s="263" t="s">
        <v>205</v>
      </c>
      <c r="R31" s="181">
        <v>170906500</v>
      </c>
      <c r="S31" s="263" t="s">
        <v>206</v>
      </c>
      <c r="T31" s="192" t="s">
        <v>69</v>
      </c>
      <c r="U31" s="188">
        <v>1</v>
      </c>
      <c r="V31" s="188"/>
      <c r="W31" s="194">
        <f>U31+V31</f>
        <v>1</v>
      </c>
      <c r="X31" s="194">
        <v>0</v>
      </c>
      <c r="Y31" s="261">
        <v>2021003630018</v>
      </c>
      <c r="Z31" s="263" t="s">
        <v>207</v>
      </c>
      <c r="AA31" s="262" t="s">
        <v>208</v>
      </c>
      <c r="AB31" s="187"/>
      <c r="AC31" s="264"/>
      <c r="AD31" s="264"/>
      <c r="AE31" s="264"/>
      <c r="AF31" s="264"/>
      <c r="AG31" s="264"/>
      <c r="AH31" s="184">
        <v>1000000</v>
      </c>
      <c r="AI31" s="264"/>
      <c r="AJ31" s="264"/>
      <c r="AK31" s="264"/>
      <c r="AL31" s="187">
        <f t="shared" si="0"/>
        <v>1000000</v>
      </c>
      <c r="AM31" s="190" t="s">
        <v>10</v>
      </c>
    </row>
    <row r="32" spans="1:39" s="200" customFormat="1" ht="66.75" customHeight="1">
      <c r="A32" s="188">
        <v>308</v>
      </c>
      <c r="B32" s="189" t="s">
        <v>147</v>
      </c>
      <c r="C32" s="188">
        <v>2</v>
      </c>
      <c r="D32" s="189" t="s">
        <v>200</v>
      </c>
      <c r="E32" s="188">
        <v>17</v>
      </c>
      <c r="F32" s="189" t="s">
        <v>201</v>
      </c>
      <c r="G32" s="188">
        <v>1709</v>
      </c>
      <c r="H32" s="189" t="s">
        <v>202</v>
      </c>
      <c r="I32" s="188">
        <v>1709</v>
      </c>
      <c r="J32" s="189" t="s">
        <v>203</v>
      </c>
      <c r="K32" s="263" t="s">
        <v>204</v>
      </c>
      <c r="L32" s="181">
        <v>1709078</v>
      </c>
      <c r="M32" s="191" t="s">
        <v>209</v>
      </c>
      <c r="N32" s="181">
        <v>1709078</v>
      </c>
      <c r="O32" s="263" t="s">
        <v>209</v>
      </c>
      <c r="P32" s="181">
        <v>170907800</v>
      </c>
      <c r="Q32" s="263" t="s">
        <v>209</v>
      </c>
      <c r="R32" s="181">
        <v>170907800</v>
      </c>
      <c r="S32" s="263" t="s">
        <v>209</v>
      </c>
      <c r="T32" s="192" t="s">
        <v>69</v>
      </c>
      <c r="U32" s="188">
        <v>1</v>
      </c>
      <c r="V32" s="188"/>
      <c r="W32" s="194">
        <f>U32+V32</f>
        <v>1</v>
      </c>
      <c r="X32" s="194">
        <v>0</v>
      </c>
      <c r="Y32" s="261">
        <v>2021003630019</v>
      </c>
      <c r="Z32" s="263" t="s">
        <v>210</v>
      </c>
      <c r="AA32" s="262" t="s">
        <v>211</v>
      </c>
      <c r="AB32" s="187"/>
      <c r="AC32" s="264"/>
      <c r="AD32" s="264"/>
      <c r="AE32" s="264"/>
      <c r="AF32" s="264"/>
      <c r="AG32" s="264"/>
      <c r="AH32" s="184">
        <v>40000000</v>
      </c>
      <c r="AI32" s="264"/>
      <c r="AJ32" s="264"/>
      <c r="AK32" s="264"/>
      <c r="AL32" s="187">
        <f t="shared" si="0"/>
        <v>40000000</v>
      </c>
      <c r="AM32" s="190" t="s">
        <v>10</v>
      </c>
    </row>
    <row r="33" spans="1:47" s="200" customFormat="1" ht="66.75" customHeight="1">
      <c r="A33" s="188">
        <v>308</v>
      </c>
      <c r="B33" s="189" t="s">
        <v>147</v>
      </c>
      <c r="C33" s="188">
        <v>3</v>
      </c>
      <c r="D33" s="189" t="s">
        <v>212</v>
      </c>
      <c r="E33" s="188">
        <v>24</v>
      </c>
      <c r="F33" s="189" t="s">
        <v>213</v>
      </c>
      <c r="G33" s="188">
        <v>2402</v>
      </c>
      <c r="H33" s="189" t="s">
        <v>214</v>
      </c>
      <c r="I33" s="188">
        <v>2402</v>
      </c>
      <c r="J33" s="189" t="s">
        <v>215</v>
      </c>
      <c r="K33" s="189" t="s">
        <v>216</v>
      </c>
      <c r="L33" s="188" t="s">
        <v>61</v>
      </c>
      <c r="M33" s="191" t="s">
        <v>217</v>
      </c>
      <c r="N33" s="188">
        <v>2402022</v>
      </c>
      <c r="O33" s="183" t="s">
        <v>218</v>
      </c>
      <c r="P33" s="188" t="s">
        <v>61</v>
      </c>
      <c r="Q33" s="183" t="s">
        <v>219</v>
      </c>
      <c r="R33" s="188">
        <v>240202200</v>
      </c>
      <c r="S33" s="183" t="s">
        <v>220</v>
      </c>
      <c r="T33" s="192" t="s">
        <v>69</v>
      </c>
      <c r="U33" s="181">
        <v>1</v>
      </c>
      <c r="V33" s="181"/>
      <c r="W33" s="194">
        <f>U33+V33</f>
        <v>1</v>
      </c>
      <c r="X33" s="194">
        <v>0</v>
      </c>
      <c r="Y33" s="195">
        <v>2020003630053</v>
      </c>
      <c r="Z33" s="189" t="s">
        <v>221</v>
      </c>
      <c r="AA33" s="189" t="s">
        <v>222</v>
      </c>
      <c r="AB33" s="180"/>
      <c r="AC33" s="180"/>
      <c r="AD33" s="180"/>
      <c r="AE33" s="180"/>
      <c r="AF33" s="180"/>
      <c r="AG33" s="180"/>
      <c r="AH33" s="184">
        <v>40000000</v>
      </c>
      <c r="AI33" s="185">
        <f>100000000+100000000-100000000</f>
        <v>100000000</v>
      </c>
      <c r="AJ33" s="185"/>
      <c r="AK33" s="180"/>
      <c r="AL33" s="187">
        <f t="shared" si="0"/>
        <v>140000000</v>
      </c>
      <c r="AM33" s="190" t="s">
        <v>10</v>
      </c>
    </row>
    <row r="34" spans="1:47" s="200" customFormat="1" ht="66.75" customHeight="1">
      <c r="A34" s="188">
        <v>308</v>
      </c>
      <c r="B34" s="189" t="s">
        <v>147</v>
      </c>
      <c r="C34" s="188">
        <v>3</v>
      </c>
      <c r="D34" s="189" t="s">
        <v>212</v>
      </c>
      <c r="E34" s="188">
        <v>24</v>
      </c>
      <c r="F34" s="189" t="s">
        <v>213</v>
      </c>
      <c r="G34" s="188">
        <v>2402</v>
      </c>
      <c r="H34" s="190" t="s">
        <v>214</v>
      </c>
      <c r="I34" s="188">
        <v>2402</v>
      </c>
      <c r="J34" s="190" t="s">
        <v>215</v>
      </c>
      <c r="K34" s="183" t="s">
        <v>216</v>
      </c>
      <c r="L34" s="188" t="s">
        <v>61</v>
      </c>
      <c r="M34" s="191" t="s">
        <v>223</v>
      </c>
      <c r="N34" s="265">
        <v>2402041</v>
      </c>
      <c r="O34" s="183" t="s">
        <v>224</v>
      </c>
      <c r="P34" s="188" t="s">
        <v>61</v>
      </c>
      <c r="Q34" s="183" t="s">
        <v>225</v>
      </c>
      <c r="R34" s="186">
        <v>240204100</v>
      </c>
      <c r="S34" s="183" t="s">
        <v>226</v>
      </c>
      <c r="T34" s="192" t="s">
        <v>69</v>
      </c>
      <c r="U34" s="181">
        <v>70.379000000000005</v>
      </c>
      <c r="V34" s="181"/>
      <c r="W34" s="194">
        <f>U34+V34</f>
        <v>70.379000000000005</v>
      </c>
      <c r="X34" s="194">
        <v>163.51</v>
      </c>
      <c r="Y34" s="195">
        <v>2020003630053</v>
      </c>
      <c r="Z34" s="189" t="s">
        <v>221</v>
      </c>
      <c r="AA34" s="189" t="s">
        <v>222</v>
      </c>
      <c r="AB34" s="180"/>
      <c r="AC34" s="180"/>
      <c r="AD34" s="180"/>
      <c r="AE34" s="180"/>
      <c r="AF34" s="180"/>
      <c r="AG34" s="180"/>
      <c r="AH34" s="184">
        <f>300000000+2200000000+180000000+450000000+70000000</f>
        <v>3200000000</v>
      </c>
      <c r="AI34" s="260">
        <f>400000000+45561481+460477394.52-42514047+800000000+150307.35</f>
        <v>1663675135.8699999</v>
      </c>
      <c r="AJ34" s="260"/>
      <c r="AK34" s="180">
        <f>19788720416+9326778094</f>
        <v>29115498510</v>
      </c>
      <c r="AL34" s="187">
        <f t="shared" si="0"/>
        <v>33979173645.869999</v>
      </c>
      <c r="AM34" s="190" t="s">
        <v>10</v>
      </c>
    </row>
    <row r="35" spans="1:47" s="200" customFormat="1" ht="66.75" customHeight="1">
      <c r="A35" s="188">
        <v>308</v>
      </c>
      <c r="B35" s="190" t="s">
        <v>147</v>
      </c>
      <c r="C35" s="188">
        <v>3</v>
      </c>
      <c r="D35" s="190" t="s">
        <v>212</v>
      </c>
      <c r="E35" s="188">
        <v>24</v>
      </c>
      <c r="F35" s="190" t="s">
        <v>213</v>
      </c>
      <c r="G35" s="188">
        <v>2402</v>
      </c>
      <c r="H35" s="190" t="s">
        <v>214</v>
      </c>
      <c r="I35" s="188">
        <v>2402</v>
      </c>
      <c r="J35" s="190" t="s">
        <v>215</v>
      </c>
      <c r="K35" s="183" t="s">
        <v>216</v>
      </c>
      <c r="L35" s="192" t="s">
        <v>61</v>
      </c>
      <c r="M35" s="191" t="s">
        <v>1431</v>
      </c>
      <c r="N35" s="188">
        <v>2402118</v>
      </c>
      <c r="O35" s="190" t="s">
        <v>1432</v>
      </c>
      <c r="P35" s="192" t="s">
        <v>61</v>
      </c>
      <c r="Q35" s="191" t="s">
        <v>1433</v>
      </c>
      <c r="R35" s="188">
        <v>240211800</v>
      </c>
      <c r="S35" s="191" t="s">
        <v>1434</v>
      </c>
      <c r="T35" s="192" t="s">
        <v>157</v>
      </c>
      <c r="U35" s="194" t="s">
        <v>257</v>
      </c>
      <c r="V35" s="193">
        <v>3</v>
      </c>
      <c r="W35" s="179">
        <f>SUM(U35:V35)</f>
        <v>3</v>
      </c>
      <c r="X35" s="179">
        <v>0</v>
      </c>
      <c r="Y35" s="195">
        <v>2020003630054</v>
      </c>
      <c r="Z35" s="191" t="s">
        <v>1435</v>
      </c>
      <c r="AA35" s="189" t="s">
        <v>1436</v>
      </c>
      <c r="AB35" s="180"/>
      <c r="AC35" s="180"/>
      <c r="AD35" s="180"/>
      <c r="AE35" s="180"/>
      <c r="AF35" s="180"/>
      <c r="AG35" s="180"/>
      <c r="AH35" s="184">
        <v>50000000</v>
      </c>
      <c r="AI35" s="184">
        <f>250000000+142514047-290000000</f>
        <v>102514047</v>
      </c>
      <c r="AJ35" s="260"/>
      <c r="AK35" s="180"/>
      <c r="AL35" s="187">
        <f t="shared" si="0"/>
        <v>152514047</v>
      </c>
      <c r="AM35" s="190" t="s">
        <v>10</v>
      </c>
    </row>
    <row r="36" spans="1:47" s="200" customFormat="1" ht="66.75" customHeight="1">
      <c r="A36" s="195">
        <v>308</v>
      </c>
      <c r="B36" s="190" t="s">
        <v>147</v>
      </c>
      <c r="C36" s="195">
        <v>3</v>
      </c>
      <c r="D36" s="190" t="s">
        <v>212</v>
      </c>
      <c r="E36" s="195">
        <v>24</v>
      </c>
      <c r="F36" s="190" t="s">
        <v>213</v>
      </c>
      <c r="G36" s="195">
        <v>2402</v>
      </c>
      <c r="H36" s="190" t="s">
        <v>214</v>
      </c>
      <c r="I36" s="195">
        <v>2402</v>
      </c>
      <c r="J36" s="190" t="s">
        <v>215</v>
      </c>
      <c r="K36" s="183" t="s">
        <v>1437</v>
      </c>
      <c r="L36" s="192" t="s">
        <v>61</v>
      </c>
      <c r="M36" s="191" t="s">
        <v>223</v>
      </c>
      <c r="N36" s="195">
        <v>2402006</v>
      </c>
      <c r="O36" s="190" t="s">
        <v>1438</v>
      </c>
      <c r="P36" s="192" t="s">
        <v>61</v>
      </c>
      <c r="Q36" s="191" t="s">
        <v>1439</v>
      </c>
      <c r="R36" s="195">
        <v>240200606</v>
      </c>
      <c r="S36" s="191" t="s">
        <v>1440</v>
      </c>
      <c r="T36" s="192" t="s">
        <v>157</v>
      </c>
      <c r="U36" s="242">
        <v>4.6950000000000003</v>
      </c>
      <c r="V36" s="241"/>
      <c r="W36" s="246">
        <f>U36</f>
        <v>4.6950000000000003</v>
      </c>
      <c r="X36" s="246">
        <v>3.7949999999999999</v>
      </c>
      <c r="Y36" s="195">
        <v>2018000040059</v>
      </c>
      <c r="Z36" s="191" t="s">
        <v>1441</v>
      </c>
      <c r="AA36" s="190" t="s">
        <v>1442</v>
      </c>
      <c r="AB36" s="180"/>
      <c r="AC36" s="180"/>
      <c r="AD36" s="180"/>
      <c r="AE36" s="180"/>
      <c r="AF36" s="180"/>
      <c r="AG36" s="180"/>
      <c r="AH36" s="184"/>
      <c r="AI36" s="185"/>
      <c r="AJ36" s="185">
        <v>6536661612</v>
      </c>
      <c r="AK36" s="243"/>
      <c r="AL36" s="187">
        <f t="shared" si="0"/>
        <v>6536661612</v>
      </c>
      <c r="AM36" s="192" t="s">
        <v>10</v>
      </c>
    </row>
    <row r="37" spans="1:47" s="200" customFormat="1" ht="66.75" customHeight="1">
      <c r="A37" s="195">
        <v>308</v>
      </c>
      <c r="B37" s="190" t="s">
        <v>147</v>
      </c>
      <c r="C37" s="195">
        <v>3</v>
      </c>
      <c r="D37" s="190" t="s">
        <v>212</v>
      </c>
      <c r="E37" s="195">
        <v>24</v>
      </c>
      <c r="F37" s="190" t="s">
        <v>213</v>
      </c>
      <c r="G37" s="195">
        <v>2402</v>
      </c>
      <c r="H37" s="190" t="s">
        <v>214</v>
      </c>
      <c r="I37" s="195">
        <v>2402</v>
      </c>
      <c r="J37" s="190" t="s">
        <v>215</v>
      </c>
      <c r="K37" s="183" t="s">
        <v>1437</v>
      </c>
      <c r="L37" s="192" t="s">
        <v>61</v>
      </c>
      <c r="M37" s="191" t="s">
        <v>223</v>
      </c>
      <c r="N37" s="195">
        <v>2402006</v>
      </c>
      <c r="O37" s="190" t="s">
        <v>1438</v>
      </c>
      <c r="P37" s="192" t="s">
        <v>61</v>
      </c>
      <c r="Q37" s="191" t="s">
        <v>1439</v>
      </c>
      <c r="R37" s="195">
        <v>240200606</v>
      </c>
      <c r="S37" s="191" t="s">
        <v>1440</v>
      </c>
      <c r="T37" s="192" t="s">
        <v>157</v>
      </c>
      <c r="U37" s="241">
        <v>1.02</v>
      </c>
      <c r="V37" s="241"/>
      <c r="W37" s="182">
        <f>U37</f>
        <v>1.02</v>
      </c>
      <c r="X37" s="179">
        <v>0</v>
      </c>
      <c r="Y37" s="195">
        <v>2022003630010</v>
      </c>
      <c r="Z37" s="191" t="s">
        <v>1443</v>
      </c>
      <c r="AA37" s="190" t="s">
        <v>1444</v>
      </c>
      <c r="AB37" s="180"/>
      <c r="AC37" s="180"/>
      <c r="AD37" s="180"/>
      <c r="AE37" s="180"/>
      <c r="AF37" s="180"/>
      <c r="AG37" s="180"/>
      <c r="AH37" s="184"/>
      <c r="AI37" s="185"/>
      <c r="AJ37" s="185">
        <v>9133426135</v>
      </c>
      <c r="AK37" s="243"/>
      <c r="AL37" s="187">
        <f t="shared" si="0"/>
        <v>9133426135</v>
      </c>
      <c r="AM37" s="192" t="s">
        <v>10</v>
      </c>
    </row>
    <row r="38" spans="1:47" s="200" customFormat="1" ht="66.75" customHeight="1">
      <c r="A38" s="188">
        <v>308</v>
      </c>
      <c r="B38" s="189" t="s">
        <v>147</v>
      </c>
      <c r="C38" s="188">
        <v>3</v>
      </c>
      <c r="D38" s="189" t="s">
        <v>212</v>
      </c>
      <c r="E38" s="188">
        <v>32</v>
      </c>
      <c r="F38" s="189" t="s">
        <v>227</v>
      </c>
      <c r="G38" s="188">
        <v>3205</v>
      </c>
      <c r="H38" s="189" t="s">
        <v>228</v>
      </c>
      <c r="I38" s="188">
        <v>3205</v>
      </c>
      <c r="J38" s="189" t="s">
        <v>229</v>
      </c>
      <c r="K38" s="189" t="s">
        <v>230</v>
      </c>
      <c r="L38" s="186">
        <v>3205010</v>
      </c>
      <c r="M38" s="191" t="s">
        <v>231</v>
      </c>
      <c r="N38" s="186">
        <v>3205010</v>
      </c>
      <c r="O38" s="189" t="s">
        <v>231</v>
      </c>
      <c r="P38" s="186" t="s">
        <v>232</v>
      </c>
      <c r="Q38" s="191" t="s">
        <v>233</v>
      </c>
      <c r="R38" s="186" t="s">
        <v>232</v>
      </c>
      <c r="S38" s="191" t="s">
        <v>233</v>
      </c>
      <c r="T38" s="192" t="s">
        <v>157</v>
      </c>
      <c r="U38" s="194">
        <v>3</v>
      </c>
      <c r="V38" s="194">
        <v>3</v>
      </c>
      <c r="W38" s="194">
        <f>U38+V38</f>
        <v>6</v>
      </c>
      <c r="X38" s="194">
        <v>0</v>
      </c>
      <c r="Y38" s="261">
        <v>2021003630004</v>
      </c>
      <c r="Z38" s="191" t="s">
        <v>234</v>
      </c>
      <c r="AA38" s="189" t="s">
        <v>235</v>
      </c>
      <c r="AB38" s="180"/>
      <c r="AC38" s="180"/>
      <c r="AD38" s="180"/>
      <c r="AE38" s="180"/>
      <c r="AF38" s="180"/>
      <c r="AG38" s="180"/>
      <c r="AH38" s="184">
        <v>35000000</v>
      </c>
      <c r="AI38" s="185">
        <f>400000000+300000000</f>
        <v>700000000</v>
      </c>
      <c r="AJ38" s="185"/>
      <c r="AK38" s="180"/>
      <c r="AL38" s="187">
        <f t="shared" si="0"/>
        <v>735000000</v>
      </c>
      <c r="AM38" s="190" t="s">
        <v>10</v>
      </c>
      <c r="AN38" s="266"/>
      <c r="AO38" s="267"/>
      <c r="AP38" s="266"/>
      <c r="AQ38" s="266"/>
      <c r="AR38" s="266"/>
      <c r="AS38" s="266"/>
      <c r="AT38" s="266"/>
      <c r="AU38" s="266"/>
    </row>
    <row r="39" spans="1:47" s="200" customFormat="1" ht="66.75" customHeight="1">
      <c r="A39" s="188">
        <v>308</v>
      </c>
      <c r="B39" s="189" t="s">
        <v>147</v>
      </c>
      <c r="C39" s="188">
        <v>3</v>
      </c>
      <c r="D39" s="189" t="s">
        <v>212</v>
      </c>
      <c r="E39" s="188">
        <v>32</v>
      </c>
      <c r="F39" s="189" t="s">
        <v>227</v>
      </c>
      <c r="G39" s="188">
        <v>3205</v>
      </c>
      <c r="H39" s="189" t="s">
        <v>228</v>
      </c>
      <c r="I39" s="188">
        <v>3205</v>
      </c>
      <c r="J39" s="189" t="s">
        <v>229</v>
      </c>
      <c r="K39" s="189" t="s">
        <v>236</v>
      </c>
      <c r="L39" s="186">
        <v>3205021</v>
      </c>
      <c r="M39" s="191" t="s">
        <v>237</v>
      </c>
      <c r="N39" s="186">
        <v>3205021</v>
      </c>
      <c r="O39" s="189" t="s">
        <v>237</v>
      </c>
      <c r="P39" s="186">
        <v>320502100</v>
      </c>
      <c r="Q39" s="191" t="s">
        <v>238</v>
      </c>
      <c r="R39" s="186">
        <v>320502100</v>
      </c>
      <c r="S39" s="191" t="s">
        <v>238</v>
      </c>
      <c r="T39" s="192" t="s">
        <v>157</v>
      </c>
      <c r="U39" s="194">
        <v>4</v>
      </c>
      <c r="V39" s="194">
        <v>3</v>
      </c>
      <c r="W39" s="194">
        <f>U39+V39</f>
        <v>7</v>
      </c>
      <c r="X39" s="194">
        <v>0</v>
      </c>
      <c r="Y39" s="261">
        <v>2021003630002</v>
      </c>
      <c r="Z39" s="191" t="s">
        <v>239</v>
      </c>
      <c r="AA39" s="190" t="s">
        <v>240</v>
      </c>
      <c r="AB39" s="180"/>
      <c r="AC39" s="180"/>
      <c r="AD39" s="180"/>
      <c r="AE39" s="180"/>
      <c r="AF39" s="180"/>
      <c r="AG39" s="180"/>
      <c r="AH39" s="184">
        <v>35000000</v>
      </c>
      <c r="AI39" s="185">
        <f>300000000+770000000</f>
        <v>1070000000</v>
      </c>
      <c r="AJ39" s="185"/>
      <c r="AK39" s="180"/>
      <c r="AL39" s="187">
        <f t="shared" si="0"/>
        <v>1105000000</v>
      </c>
      <c r="AM39" s="190" t="s">
        <v>10</v>
      </c>
    </row>
    <row r="40" spans="1:47" s="200" customFormat="1" ht="66.75" customHeight="1">
      <c r="A40" s="188">
        <v>308</v>
      </c>
      <c r="B40" s="189" t="s">
        <v>147</v>
      </c>
      <c r="C40" s="188">
        <v>3</v>
      </c>
      <c r="D40" s="189" t="s">
        <v>212</v>
      </c>
      <c r="E40" s="188">
        <v>40</v>
      </c>
      <c r="F40" s="189" t="s">
        <v>241</v>
      </c>
      <c r="G40" s="188">
        <v>4001</v>
      </c>
      <c r="H40" s="189" t="s">
        <v>242</v>
      </c>
      <c r="I40" s="188">
        <v>4001</v>
      </c>
      <c r="J40" s="189" t="s">
        <v>243</v>
      </c>
      <c r="K40" s="189" t="s">
        <v>244</v>
      </c>
      <c r="L40" s="265">
        <v>4001015</v>
      </c>
      <c r="M40" s="191" t="s">
        <v>245</v>
      </c>
      <c r="N40" s="265">
        <v>4001015</v>
      </c>
      <c r="O40" s="189" t="s">
        <v>245</v>
      </c>
      <c r="P40" s="194" t="s">
        <v>246</v>
      </c>
      <c r="Q40" s="191" t="s">
        <v>247</v>
      </c>
      <c r="R40" s="194" t="s">
        <v>246</v>
      </c>
      <c r="S40" s="191" t="s">
        <v>247</v>
      </c>
      <c r="T40" s="192" t="s">
        <v>157</v>
      </c>
      <c r="U40" s="194">
        <v>120</v>
      </c>
      <c r="V40" s="194">
        <v>166</v>
      </c>
      <c r="W40" s="194">
        <f>U40+V40</f>
        <v>286</v>
      </c>
      <c r="X40" s="194">
        <v>0</v>
      </c>
      <c r="Y40" s="195">
        <v>2020003630057</v>
      </c>
      <c r="Z40" s="191" t="s">
        <v>248</v>
      </c>
      <c r="AA40" s="190" t="s">
        <v>249</v>
      </c>
      <c r="AB40" s="180">
        <f>250000000+80000000</f>
        <v>330000000</v>
      </c>
      <c r="AC40" s="180"/>
      <c r="AD40" s="180"/>
      <c r="AE40" s="180"/>
      <c r="AF40" s="180"/>
      <c r="AG40" s="180"/>
      <c r="AH40" s="184">
        <v>20000000</v>
      </c>
      <c r="AI40" s="185"/>
      <c r="AJ40" s="185"/>
      <c r="AK40" s="180"/>
      <c r="AL40" s="187">
        <f t="shared" si="0"/>
        <v>350000000</v>
      </c>
      <c r="AM40" s="190" t="s">
        <v>10</v>
      </c>
    </row>
    <row r="41" spans="1:47" s="200" customFormat="1" ht="66.75" customHeight="1">
      <c r="A41" s="188">
        <v>308</v>
      </c>
      <c r="B41" s="189" t="s">
        <v>147</v>
      </c>
      <c r="C41" s="188">
        <v>3</v>
      </c>
      <c r="D41" s="189" t="s">
        <v>212</v>
      </c>
      <c r="E41" s="188">
        <v>40</v>
      </c>
      <c r="F41" s="189" t="s">
        <v>241</v>
      </c>
      <c r="G41" s="188">
        <v>4003</v>
      </c>
      <c r="H41" s="189" t="s">
        <v>250</v>
      </c>
      <c r="I41" s="188">
        <v>4003</v>
      </c>
      <c r="J41" s="189" t="s">
        <v>251</v>
      </c>
      <c r="K41" s="183" t="s">
        <v>252</v>
      </c>
      <c r="L41" s="186" t="s">
        <v>61</v>
      </c>
      <c r="M41" s="191" t="s">
        <v>253</v>
      </c>
      <c r="N41" s="188">
        <v>4003006</v>
      </c>
      <c r="O41" s="189" t="s">
        <v>254</v>
      </c>
      <c r="P41" s="186" t="s">
        <v>61</v>
      </c>
      <c r="Q41" s="191" t="s">
        <v>255</v>
      </c>
      <c r="R41" s="188">
        <v>400300600</v>
      </c>
      <c r="S41" s="191" t="s">
        <v>256</v>
      </c>
      <c r="T41" s="192" t="s">
        <v>69</v>
      </c>
      <c r="U41" s="181" t="s">
        <v>257</v>
      </c>
      <c r="V41" s="181">
        <v>1</v>
      </c>
      <c r="W41" s="194">
        <f>V41</f>
        <v>1</v>
      </c>
      <c r="X41" s="194">
        <v>0.5</v>
      </c>
      <c r="Y41" s="195">
        <v>2020003630014</v>
      </c>
      <c r="Z41" s="191" t="s">
        <v>258</v>
      </c>
      <c r="AA41" s="189" t="s">
        <v>259</v>
      </c>
      <c r="AB41" s="180"/>
      <c r="AC41" s="180"/>
      <c r="AD41" s="180"/>
      <c r="AE41" s="180"/>
      <c r="AF41" s="180"/>
      <c r="AG41" s="180">
        <v>100000000</v>
      </c>
      <c r="AH41" s="184"/>
      <c r="AI41" s="185"/>
      <c r="AJ41" s="185"/>
      <c r="AK41" s="180"/>
      <c r="AL41" s="187">
        <f t="shared" si="0"/>
        <v>100000000</v>
      </c>
      <c r="AM41" s="190" t="s">
        <v>10</v>
      </c>
    </row>
    <row r="42" spans="1:47" s="200" customFormat="1" ht="66.75" customHeight="1">
      <c r="A42" s="188">
        <v>308</v>
      </c>
      <c r="B42" s="189" t="s">
        <v>147</v>
      </c>
      <c r="C42" s="188">
        <v>3</v>
      </c>
      <c r="D42" s="189" t="s">
        <v>212</v>
      </c>
      <c r="E42" s="188">
        <v>40</v>
      </c>
      <c r="F42" s="189" t="s">
        <v>241</v>
      </c>
      <c r="G42" s="188">
        <v>4003</v>
      </c>
      <c r="H42" s="189" t="s">
        <v>250</v>
      </c>
      <c r="I42" s="188">
        <v>4003</v>
      </c>
      <c r="J42" s="189" t="s">
        <v>251</v>
      </c>
      <c r="K42" s="183" t="s">
        <v>260</v>
      </c>
      <c r="L42" s="186">
        <v>4003018</v>
      </c>
      <c r="M42" s="191" t="s">
        <v>261</v>
      </c>
      <c r="N42" s="186">
        <v>4003018</v>
      </c>
      <c r="O42" s="183" t="s">
        <v>261</v>
      </c>
      <c r="P42" s="186">
        <v>400301802</v>
      </c>
      <c r="Q42" s="191" t="s">
        <v>262</v>
      </c>
      <c r="R42" s="186">
        <v>400301802</v>
      </c>
      <c r="S42" s="191" t="s">
        <v>262</v>
      </c>
      <c r="T42" s="192" t="s">
        <v>157</v>
      </c>
      <c r="U42" s="181" t="s">
        <v>257</v>
      </c>
      <c r="V42" s="181">
        <v>1</v>
      </c>
      <c r="W42" s="194">
        <f>V42</f>
        <v>1</v>
      </c>
      <c r="X42" s="194">
        <v>0.6</v>
      </c>
      <c r="Y42" s="195">
        <v>2020003630014</v>
      </c>
      <c r="Z42" s="191" t="s">
        <v>258</v>
      </c>
      <c r="AA42" s="189" t="s">
        <v>259</v>
      </c>
      <c r="AB42" s="180"/>
      <c r="AC42" s="180"/>
      <c r="AD42" s="180"/>
      <c r="AE42" s="180"/>
      <c r="AF42" s="180"/>
      <c r="AG42" s="180">
        <f>700000000+748115568</f>
        <v>1448115568</v>
      </c>
      <c r="AH42" s="184"/>
      <c r="AI42" s="185"/>
      <c r="AJ42" s="185"/>
      <c r="AK42" s="180"/>
      <c r="AL42" s="187">
        <f t="shared" si="0"/>
        <v>1448115568</v>
      </c>
      <c r="AM42" s="190" t="s">
        <v>10</v>
      </c>
    </row>
    <row r="43" spans="1:47" s="200" customFormat="1" ht="66.75" customHeight="1">
      <c r="A43" s="188">
        <v>308</v>
      </c>
      <c r="B43" s="189" t="s">
        <v>147</v>
      </c>
      <c r="C43" s="188">
        <v>3</v>
      </c>
      <c r="D43" s="189" t="s">
        <v>212</v>
      </c>
      <c r="E43" s="188">
        <v>40</v>
      </c>
      <c r="F43" s="189" t="s">
        <v>241</v>
      </c>
      <c r="G43" s="188">
        <v>4003</v>
      </c>
      <c r="H43" s="189" t="s">
        <v>250</v>
      </c>
      <c r="I43" s="188">
        <v>4003</v>
      </c>
      <c r="J43" s="189" t="s">
        <v>251</v>
      </c>
      <c r="K43" s="183" t="s">
        <v>252</v>
      </c>
      <c r="L43" s="186">
        <v>4003025</v>
      </c>
      <c r="M43" s="191" t="s">
        <v>263</v>
      </c>
      <c r="N43" s="186">
        <v>4003025</v>
      </c>
      <c r="O43" s="183" t="s">
        <v>263</v>
      </c>
      <c r="P43" s="181">
        <v>400302500</v>
      </c>
      <c r="Q43" s="263" t="s">
        <v>264</v>
      </c>
      <c r="R43" s="181">
        <v>400302500</v>
      </c>
      <c r="S43" s="263" t="s">
        <v>264</v>
      </c>
      <c r="T43" s="192" t="s">
        <v>157</v>
      </c>
      <c r="U43" s="181">
        <v>3</v>
      </c>
      <c r="V43" s="183"/>
      <c r="W43" s="194">
        <f t="shared" ref="W43:W51" si="3">U43+V43</f>
        <v>3</v>
      </c>
      <c r="X43" s="194">
        <v>0</v>
      </c>
      <c r="Y43" s="195">
        <v>2020003630014</v>
      </c>
      <c r="Z43" s="191" t="s">
        <v>258</v>
      </c>
      <c r="AA43" s="189" t="s">
        <v>259</v>
      </c>
      <c r="AB43" s="180">
        <f>1000000000+172154353+324265291</f>
        <v>1496419644</v>
      </c>
      <c r="AC43" s="180"/>
      <c r="AD43" s="180"/>
      <c r="AE43" s="180"/>
      <c r="AF43" s="180"/>
      <c r="AG43" s="180">
        <f>500000000+311522</f>
        <v>500311522</v>
      </c>
      <c r="AH43" s="184"/>
      <c r="AI43" s="185"/>
      <c r="AJ43" s="185"/>
      <c r="AK43" s="180"/>
      <c r="AL43" s="187">
        <f t="shared" si="0"/>
        <v>1996731166</v>
      </c>
      <c r="AM43" s="190" t="s">
        <v>10</v>
      </c>
    </row>
    <row r="44" spans="1:47" s="200" customFormat="1" ht="66.75" customHeight="1">
      <c r="A44" s="188">
        <v>308</v>
      </c>
      <c r="B44" s="189" t="s">
        <v>147</v>
      </c>
      <c r="C44" s="188">
        <v>3</v>
      </c>
      <c r="D44" s="189" t="s">
        <v>212</v>
      </c>
      <c r="E44" s="188">
        <v>40</v>
      </c>
      <c r="F44" s="189" t="s">
        <v>241</v>
      </c>
      <c r="G44" s="188">
        <v>4003</v>
      </c>
      <c r="H44" s="189" t="s">
        <v>250</v>
      </c>
      <c r="I44" s="188">
        <v>4003</v>
      </c>
      <c r="J44" s="189" t="s">
        <v>251</v>
      </c>
      <c r="K44" s="183" t="s">
        <v>252</v>
      </c>
      <c r="L44" s="186">
        <v>4003028</v>
      </c>
      <c r="M44" s="191" t="s">
        <v>265</v>
      </c>
      <c r="N44" s="186">
        <v>4003028</v>
      </c>
      <c r="O44" s="183" t="s">
        <v>265</v>
      </c>
      <c r="P44" s="186">
        <v>400302801</v>
      </c>
      <c r="Q44" s="191" t="s">
        <v>266</v>
      </c>
      <c r="R44" s="186">
        <v>400302801</v>
      </c>
      <c r="S44" s="191" t="s">
        <v>266</v>
      </c>
      <c r="T44" s="192" t="s">
        <v>69</v>
      </c>
      <c r="U44" s="181">
        <v>4</v>
      </c>
      <c r="V44" s="181"/>
      <c r="W44" s="194">
        <f t="shared" si="3"/>
        <v>4</v>
      </c>
      <c r="X44" s="194">
        <v>3</v>
      </c>
      <c r="Y44" s="195">
        <v>2020003630014</v>
      </c>
      <c r="Z44" s="191" t="s">
        <v>258</v>
      </c>
      <c r="AA44" s="189" t="s">
        <v>259</v>
      </c>
      <c r="AB44" s="180"/>
      <c r="AC44" s="180"/>
      <c r="AD44" s="180"/>
      <c r="AE44" s="180"/>
      <c r="AF44" s="180"/>
      <c r="AG44" s="180">
        <v>300000000</v>
      </c>
      <c r="AH44" s="184"/>
      <c r="AI44" s="185"/>
      <c r="AJ44" s="185"/>
      <c r="AK44" s="180"/>
      <c r="AL44" s="187">
        <f t="shared" si="0"/>
        <v>300000000</v>
      </c>
      <c r="AM44" s="190" t="s">
        <v>10</v>
      </c>
    </row>
    <row r="45" spans="1:47" s="200" customFormat="1" ht="66.75" customHeight="1">
      <c r="A45" s="188">
        <v>308</v>
      </c>
      <c r="B45" s="189" t="s">
        <v>147</v>
      </c>
      <c r="C45" s="188">
        <v>3</v>
      </c>
      <c r="D45" s="189" t="s">
        <v>212</v>
      </c>
      <c r="E45" s="188">
        <v>40</v>
      </c>
      <c r="F45" s="189" t="s">
        <v>241</v>
      </c>
      <c r="G45" s="188">
        <v>4003</v>
      </c>
      <c r="H45" s="189" t="s">
        <v>250</v>
      </c>
      <c r="I45" s="188">
        <v>4003</v>
      </c>
      <c r="J45" s="189" t="s">
        <v>251</v>
      </c>
      <c r="K45" s="183" t="s">
        <v>252</v>
      </c>
      <c r="L45" s="186">
        <v>4003042</v>
      </c>
      <c r="M45" s="191" t="s">
        <v>267</v>
      </c>
      <c r="N45" s="186">
        <v>4003042</v>
      </c>
      <c r="O45" s="183" t="s">
        <v>267</v>
      </c>
      <c r="P45" s="186">
        <v>400304200</v>
      </c>
      <c r="Q45" s="191" t="s">
        <v>268</v>
      </c>
      <c r="R45" s="186">
        <v>400304200</v>
      </c>
      <c r="S45" s="268" t="s">
        <v>268</v>
      </c>
      <c r="T45" s="192" t="s">
        <v>157</v>
      </c>
      <c r="U45" s="181">
        <v>2</v>
      </c>
      <c r="V45" s="181"/>
      <c r="W45" s="194">
        <f t="shared" si="3"/>
        <v>2</v>
      </c>
      <c r="X45" s="194">
        <v>2</v>
      </c>
      <c r="Y45" s="195">
        <v>2020003630014</v>
      </c>
      <c r="Z45" s="191" t="s">
        <v>258</v>
      </c>
      <c r="AA45" s="189" t="s">
        <v>259</v>
      </c>
      <c r="AB45" s="180"/>
      <c r="AC45" s="180"/>
      <c r="AD45" s="180"/>
      <c r="AE45" s="180"/>
      <c r="AF45" s="180"/>
      <c r="AG45" s="180">
        <v>200000000</v>
      </c>
      <c r="AH45" s="184"/>
      <c r="AI45" s="185"/>
      <c r="AJ45" s="185"/>
      <c r="AK45" s="180"/>
      <c r="AL45" s="187">
        <f t="shared" si="0"/>
        <v>200000000</v>
      </c>
      <c r="AM45" s="190" t="s">
        <v>10</v>
      </c>
    </row>
    <row r="46" spans="1:47" s="200" customFormat="1" ht="66.75" customHeight="1">
      <c r="A46" s="188">
        <v>308</v>
      </c>
      <c r="B46" s="189" t="s">
        <v>147</v>
      </c>
      <c r="C46" s="188">
        <v>3</v>
      </c>
      <c r="D46" s="189" t="s">
        <v>212</v>
      </c>
      <c r="E46" s="188">
        <v>40</v>
      </c>
      <c r="F46" s="189" t="s">
        <v>241</v>
      </c>
      <c r="G46" s="188">
        <v>4003</v>
      </c>
      <c r="H46" s="189" t="s">
        <v>250</v>
      </c>
      <c r="I46" s="188">
        <v>4003</v>
      </c>
      <c r="J46" s="189" t="s">
        <v>251</v>
      </c>
      <c r="K46" s="183" t="s">
        <v>252</v>
      </c>
      <c r="L46" s="186" t="s">
        <v>269</v>
      </c>
      <c r="M46" s="191" t="s">
        <v>270</v>
      </c>
      <c r="N46" s="186" t="s">
        <v>269</v>
      </c>
      <c r="O46" s="183" t="s">
        <v>270</v>
      </c>
      <c r="P46" s="181">
        <v>400302600</v>
      </c>
      <c r="Q46" s="263" t="s">
        <v>271</v>
      </c>
      <c r="R46" s="181">
        <v>400302600</v>
      </c>
      <c r="S46" s="263" t="s">
        <v>271</v>
      </c>
      <c r="T46" s="192" t="s">
        <v>157</v>
      </c>
      <c r="U46" s="181">
        <v>0.4</v>
      </c>
      <c r="V46" s="181">
        <v>1.1000000000000001</v>
      </c>
      <c r="W46" s="194">
        <f t="shared" si="3"/>
        <v>1.5</v>
      </c>
      <c r="X46" s="194">
        <v>1.5</v>
      </c>
      <c r="Y46" s="195">
        <v>2020003630014</v>
      </c>
      <c r="Z46" s="191" t="s">
        <v>258</v>
      </c>
      <c r="AA46" s="189" t="s">
        <v>272</v>
      </c>
      <c r="AB46" s="180"/>
      <c r="AC46" s="180"/>
      <c r="AD46" s="180"/>
      <c r="AE46" s="180"/>
      <c r="AF46" s="180"/>
      <c r="AG46" s="180">
        <f>1152931316+19052645.84</f>
        <v>1171983961.8399999</v>
      </c>
      <c r="AH46" s="184"/>
      <c r="AI46" s="185"/>
      <c r="AJ46" s="185"/>
      <c r="AK46" s="180"/>
      <c r="AL46" s="187">
        <f t="shared" si="0"/>
        <v>1171983961.8399999</v>
      </c>
      <c r="AM46" s="190" t="s">
        <v>10</v>
      </c>
    </row>
    <row r="47" spans="1:47" s="200" customFormat="1" ht="66.75" customHeight="1">
      <c r="A47" s="188">
        <v>308</v>
      </c>
      <c r="B47" s="189" t="s">
        <v>147</v>
      </c>
      <c r="C47" s="188">
        <v>4</v>
      </c>
      <c r="D47" s="189" t="s">
        <v>59</v>
      </c>
      <c r="E47" s="188">
        <v>45</v>
      </c>
      <c r="F47" s="189" t="s">
        <v>60</v>
      </c>
      <c r="G47" s="188" t="s">
        <v>61</v>
      </c>
      <c r="H47" s="189" t="s">
        <v>62</v>
      </c>
      <c r="I47" s="188">
        <v>4599</v>
      </c>
      <c r="J47" s="189" t="s">
        <v>63</v>
      </c>
      <c r="K47" s="189" t="s">
        <v>64</v>
      </c>
      <c r="L47" s="188" t="s">
        <v>61</v>
      </c>
      <c r="M47" s="191" t="s">
        <v>273</v>
      </c>
      <c r="N47" s="186" t="s">
        <v>274</v>
      </c>
      <c r="O47" s="189" t="s">
        <v>167</v>
      </c>
      <c r="P47" s="188" t="s">
        <v>61</v>
      </c>
      <c r="Q47" s="191" t="s">
        <v>275</v>
      </c>
      <c r="R47" s="186">
        <v>459901600</v>
      </c>
      <c r="S47" s="190" t="s">
        <v>167</v>
      </c>
      <c r="T47" s="192" t="s">
        <v>69</v>
      </c>
      <c r="U47" s="194">
        <v>4</v>
      </c>
      <c r="V47" s="194"/>
      <c r="W47" s="194">
        <f t="shared" si="3"/>
        <v>4</v>
      </c>
      <c r="X47" s="194">
        <v>0</v>
      </c>
      <c r="Y47" s="261">
        <v>2021003630003</v>
      </c>
      <c r="Z47" s="191" t="s">
        <v>276</v>
      </c>
      <c r="AA47" s="191" t="s">
        <v>277</v>
      </c>
      <c r="AB47" s="187"/>
      <c r="AC47" s="180"/>
      <c r="AD47" s="180"/>
      <c r="AE47" s="180"/>
      <c r="AF47" s="180"/>
      <c r="AG47" s="180"/>
      <c r="AH47" s="184">
        <f>50000000+263000000+250000000+10000000</f>
        <v>573000000</v>
      </c>
      <c r="AI47" s="180"/>
      <c r="AJ47" s="180"/>
      <c r="AK47" s="180"/>
      <c r="AL47" s="187">
        <f t="shared" si="0"/>
        <v>573000000</v>
      </c>
      <c r="AM47" s="190" t="s">
        <v>10</v>
      </c>
    </row>
    <row r="48" spans="1:47" s="200" customFormat="1" ht="66.75" customHeight="1">
      <c r="A48" s="195">
        <v>308</v>
      </c>
      <c r="B48" s="190" t="s">
        <v>147</v>
      </c>
      <c r="C48" s="188">
        <v>4</v>
      </c>
      <c r="D48" s="190" t="s">
        <v>59</v>
      </c>
      <c r="E48" s="195">
        <v>45</v>
      </c>
      <c r="F48" s="190" t="s">
        <v>60</v>
      </c>
      <c r="G48" s="192" t="s">
        <v>61</v>
      </c>
      <c r="H48" s="190" t="s">
        <v>62</v>
      </c>
      <c r="I48" s="195">
        <v>4599</v>
      </c>
      <c r="J48" s="190" t="s">
        <v>63</v>
      </c>
      <c r="K48" s="190" t="s">
        <v>64</v>
      </c>
      <c r="L48" s="192" t="s">
        <v>61</v>
      </c>
      <c r="M48" s="191" t="s">
        <v>273</v>
      </c>
      <c r="N48" s="186" t="s">
        <v>274</v>
      </c>
      <c r="O48" s="190" t="s">
        <v>167</v>
      </c>
      <c r="P48" s="192" t="s">
        <v>61</v>
      </c>
      <c r="Q48" s="191" t="s">
        <v>275</v>
      </c>
      <c r="R48" s="186">
        <v>459901600</v>
      </c>
      <c r="S48" s="190" t="s">
        <v>167</v>
      </c>
      <c r="T48" s="192" t="s">
        <v>69</v>
      </c>
      <c r="U48" s="247">
        <v>1</v>
      </c>
      <c r="V48" s="241"/>
      <c r="W48" s="194">
        <f t="shared" si="3"/>
        <v>1</v>
      </c>
      <c r="X48" s="179">
        <v>0</v>
      </c>
      <c r="Y48" s="261">
        <v>2022003630008</v>
      </c>
      <c r="Z48" s="354" t="s">
        <v>1445</v>
      </c>
      <c r="AA48" s="191" t="s">
        <v>1446</v>
      </c>
      <c r="AB48" s="187"/>
      <c r="AC48" s="180"/>
      <c r="AD48" s="180"/>
      <c r="AE48" s="180"/>
      <c r="AF48" s="180"/>
      <c r="AG48" s="180"/>
      <c r="AH48" s="184"/>
      <c r="AI48" s="184"/>
      <c r="AJ48" s="184">
        <v>499979386</v>
      </c>
      <c r="AK48" s="243"/>
      <c r="AL48" s="187">
        <f t="shared" si="0"/>
        <v>499979386</v>
      </c>
      <c r="AM48" s="190" t="s">
        <v>10</v>
      </c>
    </row>
    <row r="49" spans="1:39" s="200" customFormat="1" ht="66.75" customHeight="1">
      <c r="A49" s="188">
        <v>308</v>
      </c>
      <c r="B49" s="189" t="s">
        <v>147</v>
      </c>
      <c r="C49" s="188">
        <v>4</v>
      </c>
      <c r="D49" s="189" t="s">
        <v>59</v>
      </c>
      <c r="E49" s="188">
        <v>45</v>
      </c>
      <c r="F49" s="189" t="s">
        <v>60</v>
      </c>
      <c r="G49" s="188">
        <v>4502</v>
      </c>
      <c r="H49" s="189" t="s">
        <v>78</v>
      </c>
      <c r="I49" s="188">
        <v>4502</v>
      </c>
      <c r="J49" s="189" t="s">
        <v>79</v>
      </c>
      <c r="K49" s="189" t="s">
        <v>88</v>
      </c>
      <c r="L49" s="186">
        <v>4502003</v>
      </c>
      <c r="M49" s="191" t="s">
        <v>278</v>
      </c>
      <c r="N49" s="186">
        <v>4502003</v>
      </c>
      <c r="O49" s="183" t="s">
        <v>279</v>
      </c>
      <c r="P49" s="186">
        <v>450200300</v>
      </c>
      <c r="Q49" s="191" t="s">
        <v>278</v>
      </c>
      <c r="R49" s="186">
        <v>450200300</v>
      </c>
      <c r="S49" s="191" t="s">
        <v>278</v>
      </c>
      <c r="T49" s="192" t="s">
        <v>157</v>
      </c>
      <c r="U49" s="194">
        <v>2</v>
      </c>
      <c r="V49" s="194"/>
      <c r="W49" s="194">
        <f t="shared" si="3"/>
        <v>2</v>
      </c>
      <c r="X49" s="194">
        <v>0</v>
      </c>
      <c r="Y49" s="261">
        <v>2021003630006</v>
      </c>
      <c r="Z49" s="191" t="s">
        <v>280</v>
      </c>
      <c r="AA49" s="191" t="s">
        <v>281</v>
      </c>
      <c r="AB49" s="187"/>
      <c r="AC49" s="180"/>
      <c r="AD49" s="180"/>
      <c r="AE49" s="180"/>
      <c r="AF49" s="180"/>
      <c r="AG49" s="180"/>
      <c r="AH49" s="184">
        <f>40000000+10000000</f>
        <v>50000000</v>
      </c>
      <c r="AI49" s="180">
        <v>74640634</v>
      </c>
      <c r="AJ49" s="180"/>
      <c r="AK49" s="180"/>
      <c r="AL49" s="187">
        <f t="shared" si="0"/>
        <v>124640634</v>
      </c>
      <c r="AM49" s="190" t="s">
        <v>10</v>
      </c>
    </row>
    <row r="50" spans="1:39" s="200" customFormat="1" ht="66.75" customHeight="1">
      <c r="A50" s="188">
        <v>308</v>
      </c>
      <c r="B50" s="189" t="s">
        <v>147</v>
      </c>
      <c r="C50" s="188">
        <v>1</v>
      </c>
      <c r="D50" s="189" t="s">
        <v>148</v>
      </c>
      <c r="E50" s="188">
        <v>19</v>
      </c>
      <c r="F50" s="189" t="s">
        <v>756</v>
      </c>
      <c r="G50" s="188" t="s">
        <v>61</v>
      </c>
      <c r="H50" s="189" t="s">
        <v>62</v>
      </c>
      <c r="I50" s="188">
        <v>1903</v>
      </c>
      <c r="J50" s="190" t="s">
        <v>935</v>
      </c>
      <c r="K50" s="190" t="s">
        <v>1450</v>
      </c>
      <c r="L50" s="186" t="s">
        <v>61</v>
      </c>
      <c r="M50" s="191" t="s">
        <v>273</v>
      </c>
      <c r="N50" s="186">
        <v>1903043</v>
      </c>
      <c r="O50" s="183" t="s">
        <v>1447</v>
      </c>
      <c r="P50" s="188" t="s">
        <v>61</v>
      </c>
      <c r="Q50" s="191" t="s">
        <v>275</v>
      </c>
      <c r="R50" s="186">
        <v>190304300</v>
      </c>
      <c r="S50" s="191" t="s">
        <v>1451</v>
      </c>
      <c r="T50" s="192" t="s">
        <v>1452</v>
      </c>
      <c r="U50" s="193">
        <v>1</v>
      </c>
      <c r="V50" s="193"/>
      <c r="W50" s="179">
        <f t="shared" si="3"/>
        <v>1</v>
      </c>
      <c r="X50" s="179">
        <v>0</v>
      </c>
      <c r="Y50" s="261">
        <v>2022000040007</v>
      </c>
      <c r="Z50" s="354" t="s">
        <v>1448</v>
      </c>
      <c r="AA50" s="191" t="s">
        <v>1449</v>
      </c>
      <c r="AB50" s="187"/>
      <c r="AC50" s="180"/>
      <c r="AD50" s="180"/>
      <c r="AE50" s="180"/>
      <c r="AF50" s="180"/>
      <c r="AG50" s="180"/>
      <c r="AH50" s="184"/>
      <c r="AI50" s="269"/>
      <c r="AJ50" s="197">
        <f>6000000000-6000000000</f>
        <v>0</v>
      </c>
      <c r="AK50" s="180">
        <f>15612200000-15612200000</f>
        <v>0</v>
      </c>
      <c r="AL50" s="187">
        <f t="shared" si="0"/>
        <v>0</v>
      </c>
      <c r="AM50" s="190" t="s">
        <v>10</v>
      </c>
    </row>
    <row r="51" spans="1:39" s="200" customFormat="1" ht="66.75" customHeight="1">
      <c r="A51" s="188">
        <v>308</v>
      </c>
      <c r="B51" s="189" t="s">
        <v>147</v>
      </c>
      <c r="C51" s="188">
        <v>1</v>
      </c>
      <c r="D51" s="189" t="s">
        <v>148</v>
      </c>
      <c r="E51" s="188">
        <v>19</v>
      </c>
      <c r="F51" s="189" t="s">
        <v>756</v>
      </c>
      <c r="G51" s="188" t="s">
        <v>61</v>
      </c>
      <c r="H51" s="189" t="s">
        <v>62</v>
      </c>
      <c r="I51" s="188">
        <v>1903</v>
      </c>
      <c r="J51" s="190" t="s">
        <v>935</v>
      </c>
      <c r="K51" s="190" t="s">
        <v>1450</v>
      </c>
      <c r="L51" s="186" t="s">
        <v>61</v>
      </c>
      <c r="M51" s="191" t="s">
        <v>273</v>
      </c>
      <c r="N51" s="186">
        <v>1903043</v>
      </c>
      <c r="O51" s="183" t="s">
        <v>1447</v>
      </c>
      <c r="P51" s="188" t="s">
        <v>61</v>
      </c>
      <c r="Q51" s="191" t="s">
        <v>275</v>
      </c>
      <c r="R51" s="186">
        <v>190304300</v>
      </c>
      <c r="S51" s="191" t="s">
        <v>1451</v>
      </c>
      <c r="T51" s="192" t="s">
        <v>1452</v>
      </c>
      <c r="U51" s="193">
        <v>1</v>
      </c>
      <c r="V51" s="193"/>
      <c r="W51" s="179">
        <f t="shared" si="3"/>
        <v>1</v>
      </c>
      <c r="X51" s="179">
        <v>0</v>
      </c>
      <c r="Y51" s="261">
        <v>2023003630002</v>
      </c>
      <c r="Z51" s="354" t="s">
        <v>1448</v>
      </c>
      <c r="AA51" s="191" t="s">
        <v>1449</v>
      </c>
      <c r="AB51" s="187"/>
      <c r="AC51" s="180"/>
      <c r="AD51" s="180"/>
      <c r="AE51" s="180"/>
      <c r="AF51" s="180"/>
      <c r="AG51" s="180"/>
      <c r="AH51" s="184"/>
      <c r="AI51" s="269"/>
      <c r="AJ51" s="197">
        <v>6000000000</v>
      </c>
      <c r="AK51" s="180">
        <f>15612200000</f>
        <v>15612200000</v>
      </c>
      <c r="AL51" s="187">
        <f t="shared" si="0"/>
        <v>21612200000</v>
      </c>
      <c r="AM51" s="190" t="s">
        <v>10</v>
      </c>
    </row>
    <row r="52" spans="1:39" s="200" customFormat="1" ht="66.75" customHeight="1">
      <c r="A52" s="188">
        <v>308</v>
      </c>
      <c r="B52" s="190" t="s">
        <v>147</v>
      </c>
      <c r="C52" s="188">
        <v>3</v>
      </c>
      <c r="D52" s="190" t="s">
        <v>212</v>
      </c>
      <c r="E52" s="188">
        <v>24</v>
      </c>
      <c r="F52" s="190" t="s">
        <v>213</v>
      </c>
      <c r="G52" s="188">
        <v>2402</v>
      </c>
      <c r="H52" s="190" t="s">
        <v>214</v>
      </c>
      <c r="I52" s="188">
        <v>2402</v>
      </c>
      <c r="J52" s="190" t="s">
        <v>215</v>
      </c>
      <c r="K52" s="183" t="s">
        <v>216</v>
      </c>
      <c r="L52" s="192" t="s">
        <v>61</v>
      </c>
      <c r="M52" s="191" t="s">
        <v>1431</v>
      </c>
      <c r="N52" s="188">
        <v>2402118</v>
      </c>
      <c r="O52" s="190" t="s">
        <v>1432</v>
      </c>
      <c r="P52" s="192" t="s">
        <v>61</v>
      </c>
      <c r="Q52" s="191" t="s">
        <v>1433</v>
      </c>
      <c r="R52" s="188">
        <v>240211800</v>
      </c>
      <c r="S52" s="191" t="s">
        <v>1434</v>
      </c>
      <c r="T52" s="192" t="s">
        <v>157</v>
      </c>
      <c r="U52" s="194" t="s">
        <v>257</v>
      </c>
      <c r="V52" s="193">
        <v>1</v>
      </c>
      <c r="W52" s="179">
        <f>SUM(U52:V52)</f>
        <v>1</v>
      </c>
      <c r="X52" s="179">
        <v>0</v>
      </c>
      <c r="Y52" s="261">
        <v>2022003630009</v>
      </c>
      <c r="Z52" s="270" t="s">
        <v>1481</v>
      </c>
      <c r="AA52" s="191" t="s">
        <v>1482</v>
      </c>
      <c r="AB52" s="187"/>
      <c r="AC52" s="180"/>
      <c r="AD52" s="180"/>
      <c r="AE52" s="180"/>
      <c r="AF52" s="180"/>
      <c r="AG52" s="180"/>
      <c r="AH52" s="184"/>
      <c r="AI52" s="197">
        <v>290000000</v>
      </c>
      <c r="AJ52" s="197"/>
      <c r="AK52" s="180"/>
      <c r="AL52" s="187">
        <f t="shared" si="0"/>
        <v>290000000</v>
      </c>
      <c r="AM52" s="190" t="s">
        <v>10</v>
      </c>
    </row>
    <row r="53" spans="1:39" s="200" customFormat="1" ht="66.75" customHeight="1">
      <c r="A53" s="188">
        <v>308</v>
      </c>
      <c r="B53" s="355" t="s">
        <v>147</v>
      </c>
      <c r="C53" s="188">
        <v>2</v>
      </c>
      <c r="D53" s="189" t="s">
        <v>200</v>
      </c>
      <c r="E53" s="188">
        <v>35</v>
      </c>
      <c r="F53" s="190" t="s">
        <v>418</v>
      </c>
      <c r="G53" s="188">
        <v>3502</v>
      </c>
      <c r="H53" s="190" t="s">
        <v>419</v>
      </c>
      <c r="I53" s="188">
        <v>3502</v>
      </c>
      <c r="J53" s="190" t="s">
        <v>420</v>
      </c>
      <c r="K53" s="183" t="s">
        <v>1485</v>
      </c>
      <c r="L53" s="188">
        <v>3502039</v>
      </c>
      <c r="M53" s="191" t="s">
        <v>436</v>
      </c>
      <c r="N53" s="188">
        <v>3502039</v>
      </c>
      <c r="O53" s="190" t="s">
        <v>436</v>
      </c>
      <c r="P53" s="186">
        <v>350203910</v>
      </c>
      <c r="Q53" s="191" t="s">
        <v>440</v>
      </c>
      <c r="R53" s="188">
        <v>350203910</v>
      </c>
      <c r="S53" s="191" t="s">
        <v>440</v>
      </c>
      <c r="T53" s="192" t="s">
        <v>157</v>
      </c>
      <c r="U53" s="194">
        <v>2</v>
      </c>
      <c r="V53" s="193">
        <v>1</v>
      </c>
      <c r="W53" s="194">
        <f t="shared" ref="W53:W84" si="4">U53+V53</f>
        <v>3</v>
      </c>
      <c r="X53" s="194">
        <v>0</v>
      </c>
      <c r="Y53" s="261">
        <v>2023003630004</v>
      </c>
      <c r="Z53" s="270" t="s">
        <v>1486</v>
      </c>
      <c r="AA53" s="191" t="s">
        <v>1487</v>
      </c>
      <c r="AB53" s="187"/>
      <c r="AC53" s="180"/>
      <c r="AD53" s="180"/>
      <c r="AE53" s="180"/>
      <c r="AF53" s="180"/>
      <c r="AG53" s="180"/>
      <c r="AH53" s="184">
        <v>400000000</v>
      </c>
      <c r="AI53" s="197"/>
      <c r="AJ53" s="197"/>
      <c r="AK53" s="180"/>
      <c r="AL53" s="187">
        <f t="shared" si="0"/>
        <v>400000000</v>
      </c>
      <c r="AM53" s="190" t="s">
        <v>10</v>
      </c>
    </row>
    <row r="54" spans="1:39" s="271" customFormat="1" ht="92.25" customHeight="1">
      <c r="A54" s="188">
        <v>309</v>
      </c>
      <c r="B54" s="189" t="s">
        <v>282</v>
      </c>
      <c r="C54" s="188">
        <v>1</v>
      </c>
      <c r="D54" s="189" t="s">
        <v>148</v>
      </c>
      <c r="E54" s="188">
        <v>12</v>
      </c>
      <c r="F54" s="189" t="s">
        <v>149</v>
      </c>
      <c r="G54" s="188">
        <v>1202</v>
      </c>
      <c r="H54" s="189" t="s">
        <v>150</v>
      </c>
      <c r="I54" s="188">
        <v>1202</v>
      </c>
      <c r="J54" s="189" t="s">
        <v>151</v>
      </c>
      <c r="K54" s="189" t="s">
        <v>152</v>
      </c>
      <c r="L54" s="188">
        <v>1202004</v>
      </c>
      <c r="M54" s="191" t="s">
        <v>283</v>
      </c>
      <c r="N54" s="188">
        <v>1202004</v>
      </c>
      <c r="O54" s="189" t="s">
        <v>283</v>
      </c>
      <c r="P54" s="186">
        <v>120200400</v>
      </c>
      <c r="Q54" s="191" t="s">
        <v>121</v>
      </c>
      <c r="R54" s="186">
        <v>120200400</v>
      </c>
      <c r="S54" s="191" t="s">
        <v>121</v>
      </c>
      <c r="T54" s="192" t="s">
        <v>69</v>
      </c>
      <c r="U54" s="194">
        <v>12</v>
      </c>
      <c r="V54" s="194"/>
      <c r="W54" s="194">
        <f t="shared" si="4"/>
        <v>12</v>
      </c>
      <c r="X54" s="194">
        <v>12</v>
      </c>
      <c r="Y54" s="195">
        <v>2020003630060</v>
      </c>
      <c r="Z54" s="191" t="s">
        <v>284</v>
      </c>
      <c r="AA54" s="191" t="s">
        <v>285</v>
      </c>
      <c r="AB54" s="180"/>
      <c r="AC54" s="180"/>
      <c r="AD54" s="180"/>
      <c r="AE54" s="180"/>
      <c r="AF54" s="180"/>
      <c r="AG54" s="180"/>
      <c r="AH54" s="184">
        <f>74000000+20000000+45000000+30255000</f>
        <v>169255000</v>
      </c>
      <c r="AI54" s="180"/>
      <c r="AJ54" s="180"/>
      <c r="AK54" s="180"/>
      <c r="AL54" s="187">
        <f t="shared" si="0"/>
        <v>169255000</v>
      </c>
      <c r="AM54" s="190" t="s">
        <v>8</v>
      </c>
    </row>
    <row r="55" spans="1:39" s="271" customFormat="1" ht="92.25" customHeight="1">
      <c r="A55" s="188">
        <v>309</v>
      </c>
      <c r="B55" s="189" t="s">
        <v>282</v>
      </c>
      <c r="C55" s="188">
        <v>1</v>
      </c>
      <c r="D55" s="189" t="s">
        <v>148</v>
      </c>
      <c r="E55" s="188">
        <v>12</v>
      </c>
      <c r="F55" s="189" t="s">
        <v>149</v>
      </c>
      <c r="G55" s="188">
        <v>1203</v>
      </c>
      <c r="H55" s="189" t="s">
        <v>286</v>
      </c>
      <c r="I55" s="188">
        <v>1203</v>
      </c>
      <c r="J55" s="189" t="s">
        <v>287</v>
      </c>
      <c r="K55" s="189" t="s">
        <v>152</v>
      </c>
      <c r="L55" s="188">
        <v>1203002</v>
      </c>
      <c r="M55" s="191" t="s">
        <v>288</v>
      </c>
      <c r="N55" s="188">
        <v>1203002</v>
      </c>
      <c r="O55" s="189" t="s">
        <v>288</v>
      </c>
      <c r="P55" s="188">
        <v>120300200</v>
      </c>
      <c r="Q55" s="191" t="s">
        <v>289</v>
      </c>
      <c r="R55" s="188">
        <v>120300200</v>
      </c>
      <c r="S55" s="191" t="s">
        <v>289</v>
      </c>
      <c r="T55" s="272" t="s">
        <v>157</v>
      </c>
      <c r="U55" s="194">
        <v>50</v>
      </c>
      <c r="V55" s="194"/>
      <c r="W55" s="194">
        <f t="shared" si="4"/>
        <v>50</v>
      </c>
      <c r="X55" s="194">
        <v>32</v>
      </c>
      <c r="Y55" s="195">
        <v>2020003630061</v>
      </c>
      <c r="Z55" s="191" t="s">
        <v>290</v>
      </c>
      <c r="AA55" s="191" t="s">
        <v>291</v>
      </c>
      <c r="AB55" s="180"/>
      <c r="AC55" s="180"/>
      <c r="AD55" s="180"/>
      <c r="AE55" s="180"/>
      <c r="AF55" s="180"/>
      <c r="AG55" s="180"/>
      <c r="AH55" s="184">
        <f>34000000+15000000+18000000</f>
        <v>67000000</v>
      </c>
      <c r="AI55" s="180"/>
      <c r="AJ55" s="180"/>
      <c r="AK55" s="187"/>
      <c r="AL55" s="187">
        <f t="shared" si="0"/>
        <v>67000000</v>
      </c>
      <c r="AM55" s="190" t="s">
        <v>8</v>
      </c>
    </row>
    <row r="56" spans="1:39" s="271" customFormat="1" ht="92.25" customHeight="1">
      <c r="A56" s="188">
        <v>309</v>
      </c>
      <c r="B56" s="189" t="s">
        <v>282</v>
      </c>
      <c r="C56" s="188">
        <v>1</v>
      </c>
      <c r="D56" s="189" t="s">
        <v>148</v>
      </c>
      <c r="E56" s="188">
        <v>12</v>
      </c>
      <c r="F56" s="189" t="s">
        <v>149</v>
      </c>
      <c r="G56" s="188">
        <v>1206</v>
      </c>
      <c r="H56" s="189" t="s">
        <v>292</v>
      </c>
      <c r="I56" s="188">
        <v>1206</v>
      </c>
      <c r="J56" s="189" t="s">
        <v>293</v>
      </c>
      <c r="K56" s="189" t="s">
        <v>152</v>
      </c>
      <c r="L56" s="188">
        <v>1206005</v>
      </c>
      <c r="M56" s="191" t="s">
        <v>294</v>
      </c>
      <c r="N56" s="188">
        <v>1206005</v>
      </c>
      <c r="O56" s="189" t="s">
        <v>294</v>
      </c>
      <c r="P56" s="186">
        <v>120600500</v>
      </c>
      <c r="Q56" s="190" t="s">
        <v>295</v>
      </c>
      <c r="R56" s="186">
        <v>120600500</v>
      </c>
      <c r="S56" s="191" t="s">
        <v>295</v>
      </c>
      <c r="T56" s="272" t="s">
        <v>157</v>
      </c>
      <c r="U56" s="194">
        <v>35</v>
      </c>
      <c r="V56" s="194"/>
      <c r="W56" s="194">
        <f t="shared" si="4"/>
        <v>35</v>
      </c>
      <c r="X56" s="194">
        <v>30</v>
      </c>
      <c r="Y56" s="195">
        <v>2020003630062</v>
      </c>
      <c r="Z56" s="191" t="s">
        <v>296</v>
      </c>
      <c r="AA56" s="190" t="s">
        <v>297</v>
      </c>
      <c r="AB56" s="180"/>
      <c r="AC56" s="180"/>
      <c r="AD56" s="180"/>
      <c r="AE56" s="180"/>
      <c r="AF56" s="180"/>
      <c r="AG56" s="180"/>
      <c r="AH56" s="184">
        <f>34000000+33000000</f>
        <v>67000000</v>
      </c>
      <c r="AI56" s="180"/>
      <c r="AJ56" s="180"/>
      <c r="AK56" s="180"/>
      <c r="AL56" s="187">
        <f t="shared" si="0"/>
        <v>67000000</v>
      </c>
      <c r="AM56" s="190" t="s">
        <v>8</v>
      </c>
    </row>
    <row r="57" spans="1:39" s="271" customFormat="1" ht="66.75" customHeight="1">
      <c r="A57" s="188">
        <v>309</v>
      </c>
      <c r="B57" s="189" t="s">
        <v>282</v>
      </c>
      <c r="C57" s="188">
        <v>1</v>
      </c>
      <c r="D57" s="189" t="s">
        <v>148</v>
      </c>
      <c r="E57" s="188">
        <v>22</v>
      </c>
      <c r="F57" s="189" t="s">
        <v>160</v>
      </c>
      <c r="G57" s="188">
        <v>2201</v>
      </c>
      <c r="H57" s="189" t="s">
        <v>298</v>
      </c>
      <c r="I57" s="188">
        <v>2201</v>
      </c>
      <c r="J57" s="189" t="s">
        <v>162</v>
      </c>
      <c r="K57" s="189" t="s">
        <v>299</v>
      </c>
      <c r="L57" s="265">
        <v>2201068</v>
      </c>
      <c r="M57" s="191" t="s">
        <v>300</v>
      </c>
      <c r="N57" s="265">
        <v>2201068</v>
      </c>
      <c r="O57" s="189" t="s">
        <v>300</v>
      </c>
      <c r="P57" s="186">
        <v>220106800</v>
      </c>
      <c r="Q57" s="191" t="s">
        <v>301</v>
      </c>
      <c r="R57" s="186">
        <v>220106800</v>
      </c>
      <c r="S57" s="191" t="s">
        <v>301</v>
      </c>
      <c r="T57" s="272" t="s">
        <v>157</v>
      </c>
      <c r="U57" s="194">
        <v>72</v>
      </c>
      <c r="V57" s="194"/>
      <c r="W57" s="194">
        <f t="shared" si="4"/>
        <v>72</v>
      </c>
      <c r="X57" s="194">
        <v>65</v>
      </c>
      <c r="Y57" s="195">
        <v>2020003630063</v>
      </c>
      <c r="Z57" s="191" t="s">
        <v>302</v>
      </c>
      <c r="AA57" s="190" t="s">
        <v>303</v>
      </c>
      <c r="AB57" s="180"/>
      <c r="AC57" s="180"/>
      <c r="AD57" s="180"/>
      <c r="AE57" s="180"/>
      <c r="AF57" s="180"/>
      <c r="AG57" s="180"/>
      <c r="AH57" s="184">
        <f>30000000+10000000+30000000+6720000+41369677</f>
        <v>118089677</v>
      </c>
      <c r="AI57" s="180"/>
      <c r="AJ57" s="180"/>
      <c r="AK57" s="180"/>
      <c r="AL57" s="187">
        <f t="shared" si="0"/>
        <v>118089677</v>
      </c>
      <c r="AM57" s="190" t="s">
        <v>8</v>
      </c>
    </row>
    <row r="58" spans="1:39" s="271" customFormat="1" ht="66.75" customHeight="1">
      <c r="A58" s="188">
        <v>309</v>
      </c>
      <c r="B58" s="189" t="s">
        <v>282</v>
      </c>
      <c r="C58" s="188">
        <v>1</v>
      </c>
      <c r="D58" s="189" t="s">
        <v>148</v>
      </c>
      <c r="E58" s="188">
        <v>41</v>
      </c>
      <c r="F58" s="189" t="s">
        <v>304</v>
      </c>
      <c r="G58" s="188">
        <v>4101</v>
      </c>
      <c r="H58" s="189" t="s">
        <v>305</v>
      </c>
      <c r="I58" s="188">
        <v>4101</v>
      </c>
      <c r="J58" s="189" t="s">
        <v>306</v>
      </c>
      <c r="K58" s="189" t="s">
        <v>307</v>
      </c>
      <c r="L58" s="186">
        <v>4101023</v>
      </c>
      <c r="M58" s="191" t="s">
        <v>308</v>
      </c>
      <c r="N58" s="186">
        <v>4101023</v>
      </c>
      <c r="O58" s="189" t="s">
        <v>308</v>
      </c>
      <c r="P58" s="186">
        <v>410102300</v>
      </c>
      <c r="Q58" s="191" t="s">
        <v>309</v>
      </c>
      <c r="R58" s="186">
        <v>410102300</v>
      </c>
      <c r="S58" s="191" t="s">
        <v>309</v>
      </c>
      <c r="T58" s="272" t="s">
        <v>157</v>
      </c>
      <c r="U58" s="194">
        <v>900</v>
      </c>
      <c r="V58" s="194"/>
      <c r="W58" s="194">
        <f t="shared" si="4"/>
        <v>900</v>
      </c>
      <c r="X58" s="194">
        <v>750</v>
      </c>
      <c r="Y58" s="195">
        <v>2020003630064</v>
      </c>
      <c r="Z58" s="191" t="s">
        <v>310</v>
      </c>
      <c r="AA58" s="189" t="s">
        <v>311</v>
      </c>
      <c r="AB58" s="180"/>
      <c r="AC58" s="180"/>
      <c r="AD58" s="180"/>
      <c r="AE58" s="180"/>
      <c r="AF58" s="180"/>
      <c r="AG58" s="180"/>
      <c r="AH58" s="184">
        <f>67000000+40000000+34000000+9750000+132243164+55490000</f>
        <v>338483164</v>
      </c>
      <c r="AI58" s="180"/>
      <c r="AJ58" s="180"/>
      <c r="AK58" s="180"/>
      <c r="AL58" s="187">
        <f t="shared" si="0"/>
        <v>338483164</v>
      </c>
      <c r="AM58" s="190" t="s">
        <v>8</v>
      </c>
    </row>
    <row r="59" spans="1:39" s="271" customFormat="1" ht="66.75" customHeight="1">
      <c r="A59" s="188">
        <v>309</v>
      </c>
      <c r="B59" s="189" t="s">
        <v>282</v>
      </c>
      <c r="C59" s="188">
        <v>1</v>
      </c>
      <c r="D59" s="189" t="s">
        <v>148</v>
      </c>
      <c r="E59" s="188">
        <v>41</v>
      </c>
      <c r="F59" s="189" t="s">
        <v>304</v>
      </c>
      <c r="G59" s="188">
        <v>4101</v>
      </c>
      <c r="H59" s="189" t="s">
        <v>305</v>
      </c>
      <c r="I59" s="188">
        <v>4101</v>
      </c>
      <c r="J59" s="189" t="s">
        <v>306</v>
      </c>
      <c r="K59" s="189" t="s">
        <v>307</v>
      </c>
      <c r="L59" s="181">
        <v>4101025</v>
      </c>
      <c r="M59" s="191" t="s">
        <v>312</v>
      </c>
      <c r="N59" s="186">
        <v>4101025</v>
      </c>
      <c r="O59" s="189" t="s">
        <v>312</v>
      </c>
      <c r="P59" s="186">
        <v>410102511</v>
      </c>
      <c r="Q59" s="191" t="s">
        <v>313</v>
      </c>
      <c r="R59" s="186">
        <v>410102511</v>
      </c>
      <c r="S59" s="191" t="s">
        <v>313</v>
      </c>
      <c r="T59" s="272" t="s">
        <v>157</v>
      </c>
      <c r="U59" s="194">
        <v>50</v>
      </c>
      <c r="V59" s="194"/>
      <c r="W59" s="194">
        <f t="shared" si="4"/>
        <v>50</v>
      </c>
      <c r="X59" s="194">
        <v>40</v>
      </c>
      <c r="Y59" s="195">
        <v>2020003630064</v>
      </c>
      <c r="Z59" s="191" t="s">
        <v>310</v>
      </c>
      <c r="AA59" s="189" t="s">
        <v>311</v>
      </c>
      <c r="AB59" s="180"/>
      <c r="AC59" s="180"/>
      <c r="AD59" s="180"/>
      <c r="AE59" s="180"/>
      <c r="AF59" s="180"/>
      <c r="AG59" s="180"/>
      <c r="AH59" s="184">
        <v>38000000</v>
      </c>
      <c r="AI59" s="180"/>
      <c r="AJ59" s="180"/>
      <c r="AK59" s="180"/>
      <c r="AL59" s="187">
        <f t="shared" si="0"/>
        <v>38000000</v>
      </c>
      <c r="AM59" s="190" t="s">
        <v>8</v>
      </c>
    </row>
    <row r="60" spans="1:39" s="271" customFormat="1" ht="66.75" customHeight="1">
      <c r="A60" s="188">
        <v>309</v>
      </c>
      <c r="B60" s="189" t="s">
        <v>282</v>
      </c>
      <c r="C60" s="188">
        <v>1</v>
      </c>
      <c r="D60" s="189" t="s">
        <v>148</v>
      </c>
      <c r="E60" s="188">
        <v>41</v>
      </c>
      <c r="F60" s="189" t="s">
        <v>304</v>
      </c>
      <c r="G60" s="188">
        <v>4101</v>
      </c>
      <c r="H60" s="189" t="s">
        <v>305</v>
      </c>
      <c r="I60" s="188">
        <v>4101</v>
      </c>
      <c r="J60" s="189" t="s">
        <v>306</v>
      </c>
      <c r="K60" s="189" t="s">
        <v>307</v>
      </c>
      <c r="L60" s="186">
        <v>4101038</v>
      </c>
      <c r="M60" s="191" t="s">
        <v>314</v>
      </c>
      <c r="N60" s="186">
        <v>4101038</v>
      </c>
      <c r="O60" s="189" t="s">
        <v>314</v>
      </c>
      <c r="P60" s="186">
        <v>410103800</v>
      </c>
      <c r="Q60" s="191" t="s">
        <v>315</v>
      </c>
      <c r="R60" s="186">
        <v>410103800</v>
      </c>
      <c r="S60" s="191" t="s">
        <v>315</v>
      </c>
      <c r="T60" s="272" t="s">
        <v>157</v>
      </c>
      <c r="U60" s="194">
        <v>12</v>
      </c>
      <c r="V60" s="194"/>
      <c r="W60" s="194">
        <f t="shared" si="4"/>
        <v>12</v>
      </c>
      <c r="X60" s="194">
        <v>10</v>
      </c>
      <c r="Y60" s="195">
        <v>2020003630064</v>
      </c>
      <c r="Z60" s="191" t="s">
        <v>310</v>
      </c>
      <c r="AA60" s="189" t="s">
        <v>311</v>
      </c>
      <c r="AB60" s="180"/>
      <c r="AC60" s="180"/>
      <c r="AD60" s="180"/>
      <c r="AE60" s="180"/>
      <c r="AF60" s="180"/>
      <c r="AG60" s="180"/>
      <c r="AH60" s="184">
        <f>39000000+4000000+5633333</f>
        <v>48633333</v>
      </c>
      <c r="AI60" s="180"/>
      <c r="AJ60" s="180"/>
      <c r="AK60" s="180"/>
      <c r="AL60" s="187">
        <f t="shared" si="0"/>
        <v>48633333</v>
      </c>
      <c r="AM60" s="190" t="s">
        <v>8</v>
      </c>
    </row>
    <row r="61" spans="1:39" s="271" customFormat="1" ht="66.75" customHeight="1">
      <c r="A61" s="188">
        <v>309</v>
      </c>
      <c r="B61" s="189" t="s">
        <v>282</v>
      </c>
      <c r="C61" s="188">
        <v>1</v>
      </c>
      <c r="D61" s="189" t="s">
        <v>148</v>
      </c>
      <c r="E61" s="188">
        <v>41</v>
      </c>
      <c r="F61" s="189" t="s">
        <v>304</v>
      </c>
      <c r="G61" s="188">
        <v>4101</v>
      </c>
      <c r="H61" s="189" t="s">
        <v>305</v>
      </c>
      <c r="I61" s="188">
        <v>4101</v>
      </c>
      <c r="J61" s="189" t="s">
        <v>306</v>
      </c>
      <c r="K61" s="189" t="s">
        <v>316</v>
      </c>
      <c r="L61" s="186">
        <v>4101073</v>
      </c>
      <c r="M61" s="191" t="s">
        <v>317</v>
      </c>
      <c r="N61" s="186">
        <v>4101073</v>
      </c>
      <c r="O61" s="189" t="s">
        <v>317</v>
      </c>
      <c r="P61" s="186">
        <v>410107300</v>
      </c>
      <c r="Q61" s="191" t="s">
        <v>318</v>
      </c>
      <c r="R61" s="186">
        <v>410107300</v>
      </c>
      <c r="S61" s="191" t="s">
        <v>318</v>
      </c>
      <c r="T61" s="272" t="s">
        <v>157</v>
      </c>
      <c r="U61" s="194">
        <v>75</v>
      </c>
      <c r="V61" s="194"/>
      <c r="W61" s="194">
        <f t="shared" si="4"/>
        <v>75</v>
      </c>
      <c r="X61" s="194">
        <v>75</v>
      </c>
      <c r="Y61" s="195">
        <v>2020003630064</v>
      </c>
      <c r="Z61" s="191" t="s">
        <v>310</v>
      </c>
      <c r="AA61" s="189" t="s">
        <v>311</v>
      </c>
      <c r="AB61" s="180"/>
      <c r="AC61" s="180"/>
      <c r="AD61" s="180"/>
      <c r="AE61" s="180"/>
      <c r="AF61" s="180"/>
      <c r="AG61" s="180"/>
      <c r="AH61" s="184">
        <v>38000000</v>
      </c>
      <c r="AI61" s="180"/>
      <c r="AJ61" s="180"/>
      <c r="AK61" s="180"/>
      <c r="AL61" s="187">
        <f t="shared" si="0"/>
        <v>38000000</v>
      </c>
      <c r="AM61" s="190" t="s">
        <v>8</v>
      </c>
    </row>
    <row r="62" spans="1:39" s="200" customFormat="1" ht="66.75" customHeight="1">
      <c r="A62" s="188">
        <v>309</v>
      </c>
      <c r="B62" s="189" t="s">
        <v>282</v>
      </c>
      <c r="C62" s="188">
        <v>1</v>
      </c>
      <c r="D62" s="189" t="s">
        <v>148</v>
      </c>
      <c r="E62" s="188">
        <v>41</v>
      </c>
      <c r="F62" s="189" t="s">
        <v>304</v>
      </c>
      <c r="G62" s="188">
        <v>4101</v>
      </c>
      <c r="H62" s="189" t="s">
        <v>305</v>
      </c>
      <c r="I62" s="188">
        <v>4101</v>
      </c>
      <c r="J62" s="189" t="s">
        <v>306</v>
      </c>
      <c r="K62" s="189" t="s">
        <v>319</v>
      </c>
      <c r="L62" s="186">
        <v>4101011</v>
      </c>
      <c r="M62" s="191" t="s">
        <v>320</v>
      </c>
      <c r="N62" s="186">
        <v>4101011</v>
      </c>
      <c r="O62" s="189" t="s">
        <v>320</v>
      </c>
      <c r="P62" s="186">
        <v>410101100</v>
      </c>
      <c r="Q62" s="191" t="s">
        <v>321</v>
      </c>
      <c r="R62" s="186">
        <v>410101100</v>
      </c>
      <c r="S62" s="191" t="s">
        <v>321</v>
      </c>
      <c r="T62" s="272" t="s">
        <v>157</v>
      </c>
      <c r="U62" s="194">
        <v>3</v>
      </c>
      <c r="V62" s="194"/>
      <c r="W62" s="194">
        <f t="shared" si="4"/>
        <v>3</v>
      </c>
      <c r="X62" s="194">
        <v>3</v>
      </c>
      <c r="Y62" s="195">
        <v>2020003630064</v>
      </c>
      <c r="Z62" s="191" t="s">
        <v>310</v>
      </c>
      <c r="AA62" s="189" t="s">
        <v>311</v>
      </c>
      <c r="AB62" s="180"/>
      <c r="AC62" s="180"/>
      <c r="AD62" s="180"/>
      <c r="AE62" s="180"/>
      <c r="AF62" s="180"/>
      <c r="AG62" s="180"/>
      <c r="AH62" s="184">
        <f>13000000+10000000+5000000+6000000</f>
        <v>34000000</v>
      </c>
      <c r="AI62" s="180"/>
      <c r="AJ62" s="180"/>
      <c r="AK62" s="180"/>
      <c r="AL62" s="187">
        <f t="shared" si="0"/>
        <v>34000000</v>
      </c>
      <c r="AM62" s="190" t="s">
        <v>8</v>
      </c>
    </row>
    <row r="63" spans="1:39" s="200" customFormat="1" ht="66.75" customHeight="1">
      <c r="A63" s="188">
        <v>309</v>
      </c>
      <c r="B63" s="189" t="s">
        <v>282</v>
      </c>
      <c r="C63" s="188">
        <v>1</v>
      </c>
      <c r="D63" s="189" t="s">
        <v>148</v>
      </c>
      <c r="E63" s="188">
        <v>41</v>
      </c>
      <c r="F63" s="189" t="s">
        <v>304</v>
      </c>
      <c r="G63" s="188">
        <v>4103</v>
      </c>
      <c r="H63" s="189" t="s">
        <v>322</v>
      </c>
      <c r="I63" s="188">
        <v>4103</v>
      </c>
      <c r="J63" s="189" t="s">
        <v>323</v>
      </c>
      <c r="K63" s="189" t="s">
        <v>324</v>
      </c>
      <c r="L63" s="188" t="s">
        <v>61</v>
      </c>
      <c r="M63" s="191" t="s">
        <v>325</v>
      </c>
      <c r="N63" s="186">
        <v>4103052</v>
      </c>
      <c r="O63" s="189" t="s">
        <v>326</v>
      </c>
      <c r="P63" s="188" t="s">
        <v>61</v>
      </c>
      <c r="Q63" s="191" t="s">
        <v>327</v>
      </c>
      <c r="R63" s="186">
        <v>410305201</v>
      </c>
      <c r="S63" s="191" t="s">
        <v>328</v>
      </c>
      <c r="T63" s="272" t="s">
        <v>157</v>
      </c>
      <c r="U63" s="194">
        <v>25</v>
      </c>
      <c r="V63" s="194"/>
      <c r="W63" s="194">
        <f t="shared" si="4"/>
        <v>25</v>
      </c>
      <c r="X63" s="194">
        <v>20</v>
      </c>
      <c r="Y63" s="195">
        <v>2020003630065</v>
      </c>
      <c r="Z63" s="191" t="s">
        <v>329</v>
      </c>
      <c r="AA63" s="189" t="s">
        <v>330</v>
      </c>
      <c r="AB63" s="180"/>
      <c r="AC63" s="180"/>
      <c r="AD63" s="180"/>
      <c r="AE63" s="180"/>
      <c r="AF63" s="180"/>
      <c r="AG63" s="180"/>
      <c r="AH63" s="184">
        <f>18000000+14000000+3500000</f>
        <v>35500000</v>
      </c>
      <c r="AI63" s="180"/>
      <c r="AJ63" s="180"/>
      <c r="AK63" s="180"/>
      <c r="AL63" s="187">
        <f t="shared" si="0"/>
        <v>35500000</v>
      </c>
      <c r="AM63" s="190" t="s">
        <v>8</v>
      </c>
    </row>
    <row r="64" spans="1:39" s="200" customFormat="1" ht="96.75" customHeight="1">
      <c r="A64" s="188">
        <v>309</v>
      </c>
      <c r="B64" s="189" t="s">
        <v>282</v>
      </c>
      <c r="C64" s="188">
        <v>1</v>
      </c>
      <c r="D64" s="189" t="s">
        <v>148</v>
      </c>
      <c r="E64" s="188">
        <v>45</v>
      </c>
      <c r="F64" s="189" t="s">
        <v>60</v>
      </c>
      <c r="G64" s="188">
        <v>4501</v>
      </c>
      <c r="H64" s="189" t="s">
        <v>331</v>
      </c>
      <c r="I64" s="188">
        <v>4501</v>
      </c>
      <c r="J64" s="189" t="s">
        <v>332</v>
      </c>
      <c r="K64" s="189" t="s">
        <v>152</v>
      </c>
      <c r="L64" s="188" t="s">
        <v>61</v>
      </c>
      <c r="M64" s="191" t="s">
        <v>333</v>
      </c>
      <c r="N64" s="186">
        <v>4501029</v>
      </c>
      <c r="O64" s="189" t="s">
        <v>334</v>
      </c>
      <c r="P64" s="188" t="s">
        <v>61</v>
      </c>
      <c r="Q64" s="191" t="s">
        <v>335</v>
      </c>
      <c r="R64" s="186">
        <v>450102900</v>
      </c>
      <c r="S64" s="191" t="s">
        <v>336</v>
      </c>
      <c r="T64" s="272" t="s">
        <v>69</v>
      </c>
      <c r="U64" s="194">
        <v>5</v>
      </c>
      <c r="V64" s="194"/>
      <c r="W64" s="194">
        <f t="shared" si="4"/>
        <v>5</v>
      </c>
      <c r="X64" s="194">
        <v>2</v>
      </c>
      <c r="Y64" s="195">
        <v>2020003630066</v>
      </c>
      <c r="Z64" s="191" t="s">
        <v>337</v>
      </c>
      <c r="AA64" s="189" t="s">
        <v>338</v>
      </c>
      <c r="AB64" s="180"/>
      <c r="AC64" s="180"/>
      <c r="AD64" s="180"/>
      <c r="AE64" s="180"/>
      <c r="AF64" s="180"/>
      <c r="AG64" s="180"/>
      <c r="AH64" s="184"/>
      <c r="AI64" s="180">
        <f>2314305+3159539006+4131423250.14</f>
        <v>7293276561.1399994</v>
      </c>
      <c r="AJ64" s="180"/>
      <c r="AK64" s="180"/>
      <c r="AL64" s="187">
        <f t="shared" si="0"/>
        <v>7293276561.1399994</v>
      </c>
      <c r="AM64" s="190" t="s">
        <v>8</v>
      </c>
    </row>
    <row r="65" spans="1:39" s="200" customFormat="1" ht="96.75" customHeight="1">
      <c r="A65" s="188">
        <v>309</v>
      </c>
      <c r="B65" s="189" t="s">
        <v>282</v>
      </c>
      <c r="C65" s="188">
        <v>1</v>
      </c>
      <c r="D65" s="189" t="s">
        <v>148</v>
      </c>
      <c r="E65" s="188">
        <v>45</v>
      </c>
      <c r="F65" s="189" t="s">
        <v>60</v>
      </c>
      <c r="G65" s="188">
        <v>4501</v>
      </c>
      <c r="H65" s="189" t="s">
        <v>331</v>
      </c>
      <c r="I65" s="188">
        <v>4501</v>
      </c>
      <c r="J65" s="189" t="s">
        <v>332</v>
      </c>
      <c r="K65" s="189" t="s">
        <v>152</v>
      </c>
      <c r="L65" s="188">
        <v>4501001</v>
      </c>
      <c r="M65" s="191" t="s">
        <v>119</v>
      </c>
      <c r="N65" s="188">
        <v>4501001</v>
      </c>
      <c r="O65" s="189" t="s">
        <v>119</v>
      </c>
      <c r="P65" s="188">
        <v>450100100</v>
      </c>
      <c r="Q65" s="191" t="s">
        <v>339</v>
      </c>
      <c r="R65" s="188">
        <v>450100100</v>
      </c>
      <c r="S65" s="191" t="s">
        <v>339</v>
      </c>
      <c r="T65" s="272" t="s">
        <v>69</v>
      </c>
      <c r="U65" s="194">
        <v>12</v>
      </c>
      <c r="V65" s="194"/>
      <c r="W65" s="194">
        <f t="shared" si="4"/>
        <v>12</v>
      </c>
      <c r="X65" s="194">
        <v>6</v>
      </c>
      <c r="Y65" s="195">
        <v>2020003630068</v>
      </c>
      <c r="Z65" s="191" t="s">
        <v>340</v>
      </c>
      <c r="AA65" s="189" t="s">
        <v>341</v>
      </c>
      <c r="AB65" s="273"/>
      <c r="AC65" s="180"/>
      <c r="AD65" s="180"/>
      <c r="AE65" s="180"/>
      <c r="AF65" s="180"/>
      <c r="AG65" s="180"/>
      <c r="AH65" s="184">
        <f>34000000+20000000+23000000+8000000</f>
        <v>85000000</v>
      </c>
      <c r="AI65" s="180"/>
      <c r="AJ65" s="180"/>
      <c r="AK65" s="180"/>
      <c r="AL65" s="187">
        <f t="shared" si="0"/>
        <v>85000000</v>
      </c>
      <c r="AM65" s="190" t="s">
        <v>8</v>
      </c>
    </row>
    <row r="66" spans="1:39" s="200" customFormat="1" ht="66.75" customHeight="1">
      <c r="A66" s="188">
        <v>309</v>
      </c>
      <c r="B66" s="189" t="s">
        <v>282</v>
      </c>
      <c r="C66" s="188">
        <v>3</v>
      </c>
      <c r="D66" s="189" t="s">
        <v>212</v>
      </c>
      <c r="E66" s="188">
        <v>32</v>
      </c>
      <c r="F66" s="189" t="s">
        <v>227</v>
      </c>
      <c r="G66" s="188">
        <v>3205</v>
      </c>
      <c r="H66" s="189" t="s">
        <v>228</v>
      </c>
      <c r="I66" s="188">
        <v>3205</v>
      </c>
      <c r="J66" s="189" t="s">
        <v>229</v>
      </c>
      <c r="K66" s="189" t="s">
        <v>342</v>
      </c>
      <c r="L66" s="188">
        <v>3205002</v>
      </c>
      <c r="M66" s="191" t="s">
        <v>343</v>
      </c>
      <c r="N66" s="188">
        <v>3205002</v>
      </c>
      <c r="O66" s="189" t="s">
        <v>343</v>
      </c>
      <c r="P66" s="188">
        <v>320500200</v>
      </c>
      <c r="Q66" s="191" t="s">
        <v>344</v>
      </c>
      <c r="R66" s="188">
        <v>320500200</v>
      </c>
      <c r="S66" s="191" t="s">
        <v>344</v>
      </c>
      <c r="T66" s="272" t="s">
        <v>157</v>
      </c>
      <c r="U66" s="194">
        <v>3</v>
      </c>
      <c r="V66" s="194">
        <v>2</v>
      </c>
      <c r="W66" s="194">
        <f t="shared" si="4"/>
        <v>5</v>
      </c>
      <c r="X66" s="194">
        <v>2</v>
      </c>
      <c r="Y66" s="195">
        <v>2020003630069</v>
      </c>
      <c r="Z66" s="191" t="s">
        <v>345</v>
      </c>
      <c r="AA66" s="189" t="s">
        <v>346</v>
      </c>
      <c r="AB66" s="180"/>
      <c r="AC66" s="180"/>
      <c r="AD66" s="180"/>
      <c r="AE66" s="180"/>
      <c r="AF66" s="180"/>
      <c r="AG66" s="180"/>
      <c r="AH66" s="342">
        <f>45000000+10000000+19373333+61602499+8655000</f>
        <v>144630832</v>
      </c>
      <c r="AI66" s="180"/>
      <c r="AJ66" s="180"/>
      <c r="AK66" s="180"/>
      <c r="AL66" s="187">
        <f t="shared" si="0"/>
        <v>144630832</v>
      </c>
      <c r="AM66" s="190" t="s">
        <v>8</v>
      </c>
    </row>
    <row r="67" spans="1:39" s="200" customFormat="1" ht="66.75" customHeight="1">
      <c r="A67" s="188">
        <v>309</v>
      </c>
      <c r="B67" s="189" t="s">
        <v>282</v>
      </c>
      <c r="C67" s="188">
        <v>3</v>
      </c>
      <c r="D67" s="189" t="s">
        <v>212</v>
      </c>
      <c r="E67" s="188">
        <v>45</v>
      </c>
      <c r="F67" s="189" t="s">
        <v>60</v>
      </c>
      <c r="G67" s="188">
        <v>4503</v>
      </c>
      <c r="H67" s="189" t="s">
        <v>347</v>
      </c>
      <c r="I67" s="188">
        <v>4503</v>
      </c>
      <c r="J67" s="189" t="s">
        <v>348</v>
      </c>
      <c r="K67" s="189" t="s">
        <v>349</v>
      </c>
      <c r="L67" s="188">
        <v>4503002</v>
      </c>
      <c r="M67" s="191" t="s">
        <v>350</v>
      </c>
      <c r="N67" s="188">
        <v>4503002</v>
      </c>
      <c r="O67" s="189" t="s">
        <v>350</v>
      </c>
      <c r="P67" s="188">
        <v>450300200</v>
      </c>
      <c r="Q67" s="190" t="s">
        <v>351</v>
      </c>
      <c r="R67" s="188">
        <v>450300200</v>
      </c>
      <c r="S67" s="191" t="s">
        <v>351</v>
      </c>
      <c r="T67" s="272" t="s">
        <v>157</v>
      </c>
      <c r="U67" s="194">
        <v>5000</v>
      </c>
      <c r="V67" s="194"/>
      <c r="W67" s="194">
        <f t="shared" si="4"/>
        <v>5000</v>
      </c>
      <c r="X67" s="194">
        <v>4500</v>
      </c>
      <c r="Y67" s="195">
        <v>2020003630070</v>
      </c>
      <c r="Z67" s="262" t="s">
        <v>352</v>
      </c>
      <c r="AA67" s="189" t="s">
        <v>353</v>
      </c>
      <c r="AB67" s="180"/>
      <c r="AC67" s="180"/>
      <c r="AD67" s="180"/>
      <c r="AE67" s="180"/>
      <c r="AF67" s="180"/>
      <c r="AG67" s="180"/>
      <c r="AH67" s="184">
        <f>18000000+12000000+10000000+20344499</f>
        <v>60344499</v>
      </c>
      <c r="AI67" s="180"/>
      <c r="AJ67" s="180"/>
      <c r="AK67" s="180"/>
      <c r="AL67" s="187">
        <f t="shared" si="0"/>
        <v>60344499</v>
      </c>
      <c r="AM67" s="190" t="s">
        <v>8</v>
      </c>
    </row>
    <row r="68" spans="1:39" s="200" customFormat="1" ht="66.75" customHeight="1">
      <c r="A68" s="188">
        <v>309</v>
      </c>
      <c r="B68" s="189" t="s">
        <v>282</v>
      </c>
      <c r="C68" s="188">
        <v>3</v>
      </c>
      <c r="D68" s="189" t="s">
        <v>212</v>
      </c>
      <c r="E68" s="188">
        <v>45</v>
      </c>
      <c r="F68" s="189" t="s">
        <v>60</v>
      </c>
      <c r="G68" s="188">
        <v>4503</v>
      </c>
      <c r="H68" s="189" t="s">
        <v>347</v>
      </c>
      <c r="I68" s="188">
        <v>4503</v>
      </c>
      <c r="J68" s="189" t="s">
        <v>348</v>
      </c>
      <c r="K68" s="189" t="s">
        <v>354</v>
      </c>
      <c r="L68" s="188">
        <v>4503003</v>
      </c>
      <c r="M68" s="191" t="s">
        <v>119</v>
      </c>
      <c r="N68" s="188">
        <v>4503003</v>
      </c>
      <c r="O68" s="189" t="s">
        <v>119</v>
      </c>
      <c r="P68" s="188">
        <v>450300300</v>
      </c>
      <c r="Q68" s="191" t="s">
        <v>355</v>
      </c>
      <c r="R68" s="188">
        <v>450300300</v>
      </c>
      <c r="S68" s="191" t="s">
        <v>355</v>
      </c>
      <c r="T68" s="192" t="s">
        <v>69</v>
      </c>
      <c r="U68" s="194">
        <v>12</v>
      </c>
      <c r="V68" s="194"/>
      <c r="W68" s="194">
        <f t="shared" si="4"/>
        <v>12</v>
      </c>
      <c r="X68" s="194">
        <v>10</v>
      </c>
      <c r="Y68" s="195">
        <v>2020003630070</v>
      </c>
      <c r="Z68" s="262" t="s">
        <v>352</v>
      </c>
      <c r="AA68" s="262" t="s">
        <v>353</v>
      </c>
      <c r="AB68" s="180"/>
      <c r="AC68" s="180"/>
      <c r="AD68" s="180"/>
      <c r="AE68" s="180"/>
      <c r="AF68" s="180"/>
      <c r="AG68" s="180"/>
      <c r="AH68" s="184">
        <f>100000000-6610512+60000000+80000000-10000000+21656667+218584996-20000000+100000000+43055000</f>
        <v>586686151</v>
      </c>
      <c r="AI68" s="180"/>
      <c r="AJ68" s="180"/>
      <c r="AK68" s="180"/>
      <c r="AL68" s="187">
        <f t="shared" si="0"/>
        <v>586686151</v>
      </c>
      <c r="AM68" s="190" t="s">
        <v>8</v>
      </c>
    </row>
    <row r="69" spans="1:39" s="200" customFormat="1" ht="66.75" customHeight="1">
      <c r="A69" s="188">
        <v>309</v>
      </c>
      <c r="B69" s="189" t="s">
        <v>282</v>
      </c>
      <c r="C69" s="188">
        <v>3</v>
      </c>
      <c r="D69" s="189" t="s">
        <v>212</v>
      </c>
      <c r="E69" s="188">
        <v>45</v>
      </c>
      <c r="F69" s="189" t="s">
        <v>60</v>
      </c>
      <c r="G69" s="188">
        <v>4503</v>
      </c>
      <c r="H69" s="189" t="s">
        <v>347</v>
      </c>
      <c r="I69" s="188">
        <v>4503</v>
      </c>
      <c r="J69" s="189" t="s">
        <v>348</v>
      </c>
      <c r="K69" s="189" t="s">
        <v>354</v>
      </c>
      <c r="L69" s="188">
        <v>4503004</v>
      </c>
      <c r="M69" s="191" t="s">
        <v>356</v>
      </c>
      <c r="N69" s="188">
        <v>4503016</v>
      </c>
      <c r="O69" s="189" t="s">
        <v>357</v>
      </c>
      <c r="P69" s="188" t="s">
        <v>61</v>
      </c>
      <c r="Q69" s="191" t="s">
        <v>358</v>
      </c>
      <c r="R69" s="188">
        <v>450301600</v>
      </c>
      <c r="S69" s="191" t="s">
        <v>359</v>
      </c>
      <c r="T69" s="192" t="s">
        <v>69</v>
      </c>
      <c r="U69" s="194">
        <v>1</v>
      </c>
      <c r="V69" s="194"/>
      <c r="W69" s="194">
        <f t="shared" si="4"/>
        <v>1</v>
      </c>
      <c r="X69" s="194">
        <v>0</v>
      </c>
      <c r="Y69" s="195">
        <v>2020003630070</v>
      </c>
      <c r="Z69" s="262" t="s">
        <v>352</v>
      </c>
      <c r="AA69" s="262" t="s">
        <v>353</v>
      </c>
      <c r="AB69" s="180"/>
      <c r="AC69" s="180"/>
      <c r="AD69" s="180"/>
      <c r="AE69" s="180"/>
      <c r="AF69" s="180"/>
      <c r="AG69" s="180"/>
      <c r="AH69" s="184">
        <f>30000000-3000000+20000000</f>
        <v>47000000</v>
      </c>
      <c r="AI69" s="180"/>
      <c r="AJ69" s="180"/>
      <c r="AK69" s="180"/>
      <c r="AL69" s="187">
        <f t="shared" si="0"/>
        <v>47000000</v>
      </c>
      <c r="AM69" s="190" t="s">
        <v>8</v>
      </c>
    </row>
    <row r="70" spans="1:39" s="200" customFormat="1" ht="66.75" customHeight="1">
      <c r="A70" s="188">
        <v>309</v>
      </c>
      <c r="B70" s="189" t="s">
        <v>282</v>
      </c>
      <c r="C70" s="188">
        <v>4</v>
      </c>
      <c r="D70" s="189" t="s">
        <v>59</v>
      </c>
      <c r="E70" s="188">
        <v>45</v>
      </c>
      <c r="F70" s="189" t="s">
        <v>60</v>
      </c>
      <c r="G70" s="188">
        <v>4502</v>
      </c>
      <c r="H70" s="189" t="s">
        <v>78</v>
      </c>
      <c r="I70" s="188">
        <v>4502</v>
      </c>
      <c r="J70" s="189" t="s">
        <v>79</v>
      </c>
      <c r="K70" s="189" t="s">
        <v>360</v>
      </c>
      <c r="L70" s="188">
        <v>4502024</v>
      </c>
      <c r="M70" s="191" t="s">
        <v>361</v>
      </c>
      <c r="N70" s="188">
        <v>4502024</v>
      </c>
      <c r="O70" s="189" t="s">
        <v>361</v>
      </c>
      <c r="P70" s="194">
        <v>450202400</v>
      </c>
      <c r="Q70" s="191" t="s">
        <v>362</v>
      </c>
      <c r="R70" s="194">
        <v>450202400</v>
      </c>
      <c r="S70" s="191" t="s">
        <v>362</v>
      </c>
      <c r="T70" s="192" t="s">
        <v>69</v>
      </c>
      <c r="U70" s="194">
        <v>10</v>
      </c>
      <c r="V70" s="194"/>
      <c r="W70" s="194">
        <f t="shared" si="4"/>
        <v>10</v>
      </c>
      <c r="X70" s="194">
        <v>7</v>
      </c>
      <c r="Y70" s="195">
        <v>2020003630067</v>
      </c>
      <c r="Z70" s="262" t="s">
        <v>363</v>
      </c>
      <c r="AA70" s="189" t="s">
        <v>364</v>
      </c>
      <c r="AB70" s="180"/>
      <c r="AC70" s="180"/>
      <c r="AD70" s="180"/>
      <c r="AE70" s="180"/>
      <c r="AF70" s="180"/>
      <c r="AG70" s="180"/>
      <c r="AH70" s="184">
        <f>50000000+20000000+35000000+26735499+16195000</f>
        <v>147930499</v>
      </c>
      <c r="AI70" s="180"/>
      <c r="AJ70" s="180"/>
      <c r="AK70" s="180"/>
      <c r="AL70" s="187">
        <f t="shared" si="0"/>
        <v>147930499</v>
      </c>
      <c r="AM70" s="190" t="s">
        <v>8</v>
      </c>
    </row>
    <row r="71" spans="1:39" s="200" customFormat="1" ht="66.75" customHeight="1">
      <c r="A71" s="188">
        <v>309</v>
      </c>
      <c r="B71" s="189" t="s">
        <v>282</v>
      </c>
      <c r="C71" s="188">
        <v>4</v>
      </c>
      <c r="D71" s="189" t="s">
        <v>59</v>
      </c>
      <c r="E71" s="188">
        <v>45</v>
      </c>
      <c r="F71" s="189" t="s">
        <v>60</v>
      </c>
      <c r="G71" s="188">
        <v>4502</v>
      </c>
      <c r="H71" s="189" t="s">
        <v>78</v>
      </c>
      <c r="I71" s="188">
        <v>4502</v>
      </c>
      <c r="J71" s="189" t="s">
        <v>79</v>
      </c>
      <c r="K71" s="189" t="s">
        <v>80</v>
      </c>
      <c r="L71" s="188">
        <v>4502001</v>
      </c>
      <c r="M71" s="191" t="s">
        <v>90</v>
      </c>
      <c r="N71" s="274">
        <v>4502001</v>
      </c>
      <c r="O71" s="189" t="s">
        <v>90</v>
      </c>
      <c r="P71" s="188">
        <v>450200100</v>
      </c>
      <c r="Q71" s="191" t="s">
        <v>365</v>
      </c>
      <c r="R71" s="188">
        <v>450200100</v>
      </c>
      <c r="S71" s="191" t="s">
        <v>92</v>
      </c>
      <c r="T71" s="272" t="s">
        <v>69</v>
      </c>
      <c r="U71" s="194">
        <v>3</v>
      </c>
      <c r="V71" s="194"/>
      <c r="W71" s="194">
        <f t="shared" si="4"/>
        <v>3</v>
      </c>
      <c r="X71" s="194">
        <v>3</v>
      </c>
      <c r="Y71" s="195">
        <v>2020003630071</v>
      </c>
      <c r="Z71" s="262" t="s">
        <v>366</v>
      </c>
      <c r="AA71" s="189" t="s">
        <v>367</v>
      </c>
      <c r="AB71" s="180"/>
      <c r="AC71" s="180"/>
      <c r="AD71" s="180"/>
      <c r="AE71" s="180"/>
      <c r="AF71" s="180"/>
      <c r="AG71" s="180"/>
      <c r="AH71" s="184">
        <f>128000000+35000000+47000000+1000000+73453000-1000000+38350000-3675000</f>
        <v>318128000</v>
      </c>
      <c r="AI71" s="180"/>
      <c r="AJ71" s="180"/>
      <c r="AK71" s="180"/>
      <c r="AL71" s="187">
        <f t="shared" ref="AL71:AL134" si="5">AB71+AC71+AD71+AE71+AF71+AG71+AH71+AI71+AK71+AJ71</f>
        <v>318128000</v>
      </c>
      <c r="AM71" s="190" t="s">
        <v>8</v>
      </c>
    </row>
    <row r="72" spans="1:39" s="200" customFormat="1" ht="66.75" customHeight="1">
      <c r="A72" s="188">
        <v>309</v>
      </c>
      <c r="B72" s="189" t="s">
        <v>282</v>
      </c>
      <c r="C72" s="188">
        <v>4</v>
      </c>
      <c r="D72" s="189" t="s">
        <v>59</v>
      </c>
      <c r="E72" s="188">
        <v>45</v>
      </c>
      <c r="F72" s="189" t="s">
        <v>60</v>
      </c>
      <c r="G72" s="188">
        <v>4502</v>
      </c>
      <c r="H72" s="189" t="s">
        <v>78</v>
      </c>
      <c r="I72" s="188">
        <v>4502</v>
      </c>
      <c r="J72" s="189" t="s">
        <v>79</v>
      </c>
      <c r="K72" s="189" t="s">
        <v>80</v>
      </c>
      <c r="L72" s="188" t="s">
        <v>61</v>
      </c>
      <c r="M72" s="191" t="s">
        <v>368</v>
      </c>
      <c r="N72" s="274">
        <v>4502001</v>
      </c>
      <c r="O72" s="189" t="s">
        <v>90</v>
      </c>
      <c r="P72" s="188" t="s">
        <v>61</v>
      </c>
      <c r="Q72" s="191" t="s">
        <v>369</v>
      </c>
      <c r="R72" s="274">
        <v>450200111</v>
      </c>
      <c r="S72" s="191" t="s">
        <v>370</v>
      </c>
      <c r="T72" s="272" t="s">
        <v>69</v>
      </c>
      <c r="U72" s="275">
        <v>1</v>
      </c>
      <c r="V72" s="275"/>
      <c r="W72" s="194">
        <f t="shared" si="4"/>
        <v>1</v>
      </c>
      <c r="X72" s="194">
        <v>0.75</v>
      </c>
      <c r="Y72" s="195">
        <v>2020003630071</v>
      </c>
      <c r="Z72" s="262" t="s">
        <v>366</v>
      </c>
      <c r="AA72" s="189" t="s">
        <v>367</v>
      </c>
      <c r="AB72" s="180"/>
      <c r="AC72" s="180"/>
      <c r="AD72" s="180"/>
      <c r="AE72" s="180"/>
      <c r="AF72" s="180"/>
      <c r="AG72" s="180"/>
      <c r="AH72" s="184">
        <f>72000000+25000000+10000000+6675000</f>
        <v>113675000</v>
      </c>
      <c r="AI72" s="180"/>
      <c r="AJ72" s="180"/>
      <c r="AK72" s="180"/>
      <c r="AL72" s="187">
        <f t="shared" si="5"/>
        <v>113675000</v>
      </c>
      <c r="AM72" s="190" t="s">
        <v>8</v>
      </c>
    </row>
    <row r="73" spans="1:39" s="200" customFormat="1" ht="90" customHeight="1">
      <c r="A73" s="188">
        <v>309</v>
      </c>
      <c r="B73" s="189" t="s">
        <v>282</v>
      </c>
      <c r="C73" s="188">
        <v>4</v>
      </c>
      <c r="D73" s="189" t="s">
        <v>59</v>
      </c>
      <c r="E73" s="188">
        <v>45</v>
      </c>
      <c r="F73" s="189" t="s">
        <v>60</v>
      </c>
      <c r="G73" s="188">
        <v>4502</v>
      </c>
      <c r="H73" s="189" t="s">
        <v>78</v>
      </c>
      <c r="I73" s="188">
        <v>4502</v>
      </c>
      <c r="J73" s="189" t="s">
        <v>79</v>
      </c>
      <c r="K73" s="189" t="s">
        <v>80</v>
      </c>
      <c r="L73" s="188" t="s">
        <v>61</v>
      </c>
      <c r="M73" s="191" t="s">
        <v>371</v>
      </c>
      <c r="N73" s="188">
        <v>4502001</v>
      </c>
      <c r="O73" s="189" t="s">
        <v>90</v>
      </c>
      <c r="P73" s="188" t="s">
        <v>61</v>
      </c>
      <c r="Q73" s="191" t="s">
        <v>372</v>
      </c>
      <c r="R73" s="188">
        <v>450200109</v>
      </c>
      <c r="S73" s="191" t="s">
        <v>373</v>
      </c>
      <c r="T73" s="272" t="s">
        <v>69</v>
      </c>
      <c r="U73" s="194">
        <v>12</v>
      </c>
      <c r="V73" s="194"/>
      <c r="W73" s="194">
        <f t="shared" si="4"/>
        <v>12</v>
      </c>
      <c r="X73" s="194">
        <v>12</v>
      </c>
      <c r="Y73" s="195">
        <v>2020003630071</v>
      </c>
      <c r="Z73" s="262" t="s">
        <v>366</v>
      </c>
      <c r="AA73" s="189" t="s">
        <v>367</v>
      </c>
      <c r="AB73" s="180"/>
      <c r="AC73" s="180"/>
      <c r="AD73" s="180"/>
      <c r="AE73" s="180"/>
      <c r="AF73" s="180"/>
      <c r="AG73" s="180"/>
      <c r="AH73" s="184">
        <f>35000000+20000000+100000000-3000000</f>
        <v>152000000</v>
      </c>
      <c r="AI73" s="180"/>
      <c r="AJ73" s="180"/>
      <c r="AK73" s="180"/>
      <c r="AL73" s="187">
        <f t="shared" si="5"/>
        <v>152000000</v>
      </c>
      <c r="AM73" s="190" t="s">
        <v>8</v>
      </c>
    </row>
    <row r="74" spans="1:39" s="200" customFormat="1" ht="66.75" customHeight="1">
      <c r="A74" s="188">
        <v>309</v>
      </c>
      <c r="B74" s="189" t="s">
        <v>282</v>
      </c>
      <c r="C74" s="188">
        <v>4</v>
      </c>
      <c r="D74" s="189" t="s">
        <v>59</v>
      </c>
      <c r="E74" s="188">
        <v>45</v>
      </c>
      <c r="F74" s="189" t="s">
        <v>60</v>
      </c>
      <c r="G74" s="188">
        <v>4502</v>
      </c>
      <c r="H74" s="189" t="s">
        <v>78</v>
      </c>
      <c r="I74" s="188">
        <v>4502</v>
      </c>
      <c r="J74" s="189" t="s">
        <v>79</v>
      </c>
      <c r="K74" s="189" t="s">
        <v>80</v>
      </c>
      <c r="L74" s="188" t="s">
        <v>61</v>
      </c>
      <c r="M74" s="191" t="s">
        <v>374</v>
      </c>
      <c r="N74" s="274">
        <v>4502035</v>
      </c>
      <c r="O74" s="189" t="s">
        <v>375</v>
      </c>
      <c r="P74" s="188" t="s">
        <v>61</v>
      </c>
      <c r="Q74" s="191" t="s">
        <v>376</v>
      </c>
      <c r="R74" s="274">
        <v>450203501</v>
      </c>
      <c r="S74" s="191" t="s">
        <v>377</v>
      </c>
      <c r="T74" s="272" t="s">
        <v>157</v>
      </c>
      <c r="U74" s="194">
        <v>0.2</v>
      </c>
      <c r="V74" s="194"/>
      <c r="W74" s="194">
        <f t="shared" si="4"/>
        <v>0.2</v>
      </c>
      <c r="X74" s="194">
        <v>0.15</v>
      </c>
      <c r="Y74" s="195">
        <v>2020003630071</v>
      </c>
      <c r="Z74" s="262" t="s">
        <v>366</v>
      </c>
      <c r="AA74" s="189" t="s">
        <v>367</v>
      </c>
      <c r="AB74" s="180"/>
      <c r="AC74" s="180"/>
      <c r="AD74" s="180"/>
      <c r="AE74" s="180"/>
      <c r="AF74" s="180"/>
      <c r="AG74" s="180"/>
      <c r="AH74" s="184">
        <f>25000000+25000000+5533333+1000000</f>
        <v>56533333</v>
      </c>
      <c r="AI74" s="180"/>
      <c r="AJ74" s="180"/>
      <c r="AK74" s="180"/>
      <c r="AL74" s="187">
        <f t="shared" si="5"/>
        <v>56533333</v>
      </c>
      <c r="AM74" s="190" t="s">
        <v>8</v>
      </c>
    </row>
    <row r="75" spans="1:39" s="200" customFormat="1" ht="66.75" customHeight="1">
      <c r="A75" s="188">
        <v>310</v>
      </c>
      <c r="B75" s="189" t="s">
        <v>378</v>
      </c>
      <c r="C75" s="188">
        <v>1</v>
      </c>
      <c r="D75" s="189" t="s">
        <v>148</v>
      </c>
      <c r="E75" s="188">
        <v>33</v>
      </c>
      <c r="F75" s="189" t="s">
        <v>170</v>
      </c>
      <c r="G75" s="188">
        <v>3301</v>
      </c>
      <c r="H75" s="189" t="s">
        <v>171</v>
      </c>
      <c r="I75" s="188">
        <v>3301</v>
      </c>
      <c r="J75" s="189" t="s">
        <v>172</v>
      </c>
      <c r="K75" s="189" t="s">
        <v>379</v>
      </c>
      <c r="L75" s="188">
        <v>3301087</v>
      </c>
      <c r="M75" s="191" t="s">
        <v>380</v>
      </c>
      <c r="N75" s="188">
        <v>3301087</v>
      </c>
      <c r="O75" s="189" t="s">
        <v>380</v>
      </c>
      <c r="P75" s="188">
        <v>330108701</v>
      </c>
      <c r="Q75" s="190" t="s">
        <v>351</v>
      </c>
      <c r="R75" s="188">
        <v>330108701</v>
      </c>
      <c r="S75" s="191" t="s">
        <v>351</v>
      </c>
      <c r="T75" s="192" t="s">
        <v>157</v>
      </c>
      <c r="U75" s="194">
        <v>5750</v>
      </c>
      <c r="V75" s="194"/>
      <c r="W75" s="194">
        <f t="shared" si="4"/>
        <v>5750</v>
      </c>
      <c r="X75" s="194">
        <v>5400</v>
      </c>
      <c r="Y75" s="195">
        <v>2020003630021</v>
      </c>
      <c r="Z75" s="262" t="s">
        <v>381</v>
      </c>
      <c r="AA75" s="189" t="s">
        <v>382</v>
      </c>
      <c r="AB75" s="256"/>
      <c r="AC75" s="180"/>
      <c r="AD75" s="180"/>
      <c r="AE75" s="180"/>
      <c r="AF75" s="180"/>
      <c r="AG75" s="180"/>
      <c r="AH75" s="185">
        <f>336838679+100000000+80000000</f>
        <v>516838679</v>
      </c>
      <c r="AI75" s="180"/>
      <c r="AJ75" s="180"/>
      <c r="AK75" s="180"/>
      <c r="AL75" s="187">
        <f t="shared" si="5"/>
        <v>516838679</v>
      </c>
      <c r="AM75" s="190" t="s">
        <v>11</v>
      </c>
    </row>
    <row r="76" spans="1:39" s="200" customFormat="1" ht="66.75" customHeight="1">
      <c r="A76" s="188">
        <v>310</v>
      </c>
      <c r="B76" s="189" t="s">
        <v>378</v>
      </c>
      <c r="C76" s="188">
        <v>1</v>
      </c>
      <c r="D76" s="189" t="s">
        <v>148</v>
      </c>
      <c r="E76" s="188">
        <v>33</v>
      </c>
      <c r="F76" s="189" t="s">
        <v>170</v>
      </c>
      <c r="G76" s="188">
        <v>3301</v>
      </c>
      <c r="H76" s="189" t="s">
        <v>171</v>
      </c>
      <c r="I76" s="188">
        <v>3301</v>
      </c>
      <c r="J76" s="189" t="s">
        <v>172</v>
      </c>
      <c r="K76" s="189" t="s">
        <v>383</v>
      </c>
      <c r="L76" s="188">
        <v>3301073</v>
      </c>
      <c r="M76" s="191" t="s">
        <v>384</v>
      </c>
      <c r="N76" s="188">
        <v>3301073</v>
      </c>
      <c r="O76" s="189" t="s">
        <v>384</v>
      </c>
      <c r="P76" s="188">
        <v>330107301</v>
      </c>
      <c r="Q76" s="191" t="s">
        <v>385</v>
      </c>
      <c r="R76" s="188">
        <v>330107301</v>
      </c>
      <c r="S76" s="191" t="s">
        <v>385</v>
      </c>
      <c r="T76" s="192" t="s">
        <v>157</v>
      </c>
      <c r="U76" s="194">
        <v>550</v>
      </c>
      <c r="V76" s="194"/>
      <c r="W76" s="194">
        <f t="shared" si="4"/>
        <v>550</v>
      </c>
      <c r="X76" s="194">
        <v>208</v>
      </c>
      <c r="Y76" s="195">
        <v>2020003630021</v>
      </c>
      <c r="Z76" s="262" t="s">
        <v>381</v>
      </c>
      <c r="AA76" s="189" t="s">
        <v>382</v>
      </c>
      <c r="AB76" s="180">
        <f>1498231249+405865979.33+71938618.98</f>
        <v>1976035847.3099999</v>
      </c>
      <c r="AC76" s="180"/>
      <c r="AD76" s="180"/>
      <c r="AE76" s="180"/>
      <c r="AF76" s="180"/>
      <c r="AG76" s="180"/>
      <c r="AH76" s="184">
        <f>150000000+320000000+100000000+170000000+90000000+70000000-64000000</f>
        <v>836000000</v>
      </c>
      <c r="AI76" s="180"/>
      <c r="AJ76" s="180"/>
      <c r="AK76" s="180"/>
      <c r="AL76" s="187">
        <f t="shared" si="5"/>
        <v>2812035847.3099999</v>
      </c>
      <c r="AM76" s="190" t="s">
        <v>11</v>
      </c>
    </row>
    <row r="77" spans="1:39" s="271" customFormat="1" ht="66.75" customHeight="1">
      <c r="A77" s="188">
        <v>310</v>
      </c>
      <c r="B77" s="189" t="s">
        <v>378</v>
      </c>
      <c r="C77" s="188">
        <v>1</v>
      </c>
      <c r="D77" s="189" t="s">
        <v>148</v>
      </c>
      <c r="E77" s="188">
        <v>33</v>
      </c>
      <c r="F77" s="189" t="s">
        <v>170</v>
      </c>
      <c r="G77" s="188">
        <v>3301</v>
      </c>
      <c r="H77" s="189" t="s">
        <v>171</v>
      </c>
      <c r="I77" s="188">
        <v>3301</v>
      </c>
      <c r="J77" s="189" t="s">
        <v>172</v>
      </c>
      <c r="K77" s="191" t="s">
        <v>173</v>
      </c>
      <c r="L77" s="188" t="s">
        <v>61</v>
      </c>
      <c r="M77" s="191" t="s">
        <v>386</v>
      </c>
      <c r="N77" s="188">
        <v>3301070</v>
      </c>
      <c r="O77" s="189" t="s">
        <v>387</v>
      </c>
      <c r="P77" s="188" t="s">
        <v>61</v>
      </c>
      <c r="Q77" s="191" t="s">
        <v>388</v>
      </c>
      <c r="R77" s="188">
        <v>330107000</v>
      </c>
      <c r="S77" s="191" t="s">
        <v>103</v>
      </c>
      <c r="T77" s="192" t="s">
        <v>157</v>
      </c>
      <c r="U77" s="194">
        <v>0.3</v>
      </c>
      <c r="V77" s="194">
        <v>0.05</v>
      </c>
      <c r="W77" s="194">
        <f t="shared" si="4"/>
        <v>0.35</v>
      </c>
      <c r="X77" s="194">
        <v>0.2</v>
      </c>
      <c r="Y77" s="195">
        <v>2020003630021</v>
      </c>
      <c r="Z77" s="262" t="s">
        <v>381</v>
      </c>
      <c r="AA77" s="189" t="s">
        <v>382</v>
      </c>
      <c r="AB77" s="276"/>
      <c r="AC77" s="180"/>
      <c r="AD77" s="180"/>
      <c r="AE77" s="180"/>
      <c r="AF77" s="180"/>
      <c r="AG77" s="180"/>
      <c r="AH77" s="185">
        <f>36000000+15000000</f>
        <v>51000000</v>
      </c>
      <c r="AI77" s="180"/>
      <c r="AJ77" s="180"/>
      <c r="AK77" s="180"/>
      <c r="AL77" s="187">
        <f t="shared" si="5"/>
        <v>51000000</v>
      </c>
      <c r="AM77" s="190" t="s">
        <v>11</v>
      </c>
    </row>
    <row r="78" spans="1:39" s="271" customFormat="1" ht="66.75" customHeight="1">
      <c r="A78" s="188">
        <v>310</v>
      </c>
      <c r="B78" s="189" t="s">
        <v>378</v>
      </c>
      <c r="C78" s="188">
        <v>1</v>
      </c>
      <c r="D78" s="189" t="s">
        <v>148</v>
      </c>
      <c r="E78" s="188">
        <v>33</v>
      </c>
      <c r="F78" s="189" t="s">
        <v>170</v>
      </c>
      <c r="G78" s="188">
        <v>3301</v>
      </c>
      <c r="H78" s="189" t="s">
        <v>171</v>
      </c>
      <c r="I78" s="188">
        <v>3301</v>
      </c>
      <c r="J78" s="189" t="s">
        <v>172</v>
      </c>
      <c r="K78" s="189" t="s">
        <v>383</v>
      </c>
      <c r="L78" s="188">
        <v>3301099</v>
      </c>
      <c r="M78" s="191" t="s">
        <v>389</v>
      </c>
      <c r="N78" s="188">
        <v>3301099</v>
      </c>
      <c r="O78" s="189" t="s">
        <v>389</v>
      </c>
      <c r="P78" s="188">
        <v>330109900</v>
      </c>
      <c r="Q78" s="191" t="s">
        <v>390</v>
      </c>
      <c r="R78" s="188">
        <v>330109900</v>
      </c>
      <c r="S78" s="191" t="s">
        <v>390</v>
      </c>
      <c r="T78" s="194" t="s">
        <v>69</v>
      </c>
      <c r="U78" s="194">
        <v>1</v>
      </c>
      <c r="V78" s="194"/>
      <c r="W78" s="194">
        <f t="shared" si="4"/>
        <v>1</v>
      </c>
      <c r="X78" s="194">
        <v>0.8</v>
      </c>
      <c r="Y78" s="195">
        <v>2020003630021</v>
      </c>
      <c r="Z78" s="262" t="s">
        <v>381</v>
      </c>
      <c r="AA78" s="189" t="s">
        <v>382</v>
      </c>
      <c r="AB78" s="276"/>
      <c r="AC78" s="180"/>
      <c r="AD78" s="180"/>
      <c r="AE78" s="180"/>
      <c r="AF78" s="180"/>
      <c r="AG78" s="180"/>
      <c r="AH78" s="185">
        <f>30000000+10000000</f>
        <v>40000000</v>
      </c>
      <c r="AI78" s="180"/>
      <c r="AJ78" s="180"/>
      <c r="AK78" s="180"/>
      <c r="AL78" s="187">
        <f t="shared" si="5"/>
        <v>40000000</v>
      </c>
      <c r="AM78" s="190" t="s">
        <v>11</v>
      </c>
    </row>
    <row r="79" spans="1:39" s="271" customFormat="1" ht="66.75" customHeight="1">
      <c r="A79" s="188">
        <v>310</v>
      </c>
      <c r="B79" s="189" t="s">
        <v>378</v>
      </c>
      <c r="C79" s="188">
        <v>1</v>
      </c>
      <c r="D79" s="189" t="s">
        <v>148</v>
      </c>
      <c r="E79" s="188">
        <v>33</v>
      </c>
      <c r="F79" s="189" t="s">
        <v>170</v>
      </c>
      <c r="G79" s="188">
        <v>3301</v>
      </c>
      <c r="H79" s="189" t="s">
        <v>171</v>
      </c>
      <c r="I79" s="188">
        <v>3301</v>
      </c>
      <c r="J79" s="189" t="s">
        <v>172</v>
      </c>
      <c r="K79" s="189" t="s">
        <v>379</v>
      </c>
      <c r="L79" s="188">
        <v>3301052</v>
      </c>
      <c r="M79" s="191" t="s">
        <v>391</v>
      </c>
      <c r="N79" s="188">
        <v>3301052</v>
      </c>
      <c r="O79" s="189" t="s">
        <v>391</v>
      </c>
      <c r="P79" s="277">
        <v>330105203</v>
      </c>
      <c r="Q79" s="191" t="s">
        <v>392</v>
      </c>
      <c r="R79" s="277">
        <v>330105203</v>
      </c>
      <c r="S79" s="191" t="s">
        <v>392</v>
      </c>
      <c r="T79" s="194" t="s">
        <v>69</v>
      </c>
      <c r="U79" s="194">
        <v>135</v>
      </c>
      <c r="V79" s="194"/>
      <c r="W79" s="194">
        <f t="shared" si="4"/>
        <v>135</v>
      </c>
      <c r="X79" s="194">
        <v>65</v>
      </c>
      <c r="Y79" s="195">
        <v>2020003630021</v>
      </c>
      <c r="Z79" s="262" t="s">
        <v>381</v>
      </c>
      <c r="AA79" s="189" t="s">
        <v>382</v>
      </c>
      <c r="AB79" s="276"/>
      <c r="AC79" s="180"/>
      <c r="AD79" s="180"/>
      <c r="AE79" s="180"/>
      <c r="AF79" s="180"/>
      <c r="AG79" s="180"/>
      <c r="AH79" s="185">
        <v>20000000</v>
      </c>
      <c r="AI79" s="180"/>
      <c r="AJ79" s="180"/>
      <c r="AK79" s="180"/>
      <c r="AL79" s="187">
        <f t="shared" si="5"/>
        <v>20000000</v>
      </c>
      <c r="AM79" s="190" t="s">
        <v>11</v>
      </c>
    </row>
    <row r="80" spans="1:39" s="271" customFormat="1" ht="66.75" customHeight="1">
      <c r="A80" s="188">
        <v>310</v>
      </c>
      <c r="B80" s="189" t="s">
        <v>378</v>
      </c>
      <c r="C80" s="188">
        <v>1</v>
      </c>
      <c r="D80" s="189" t="s">
        <v>148</v>
      </c>
      <c r="E80" s="188">
        <v>33</v>
      </c>
      <c r="F80" s="189" t="s">
        <v>170</v>
      </c>
      <c r="G80" s="188">
        <v>3301</v>
      </c>
      <c r="H80" s="189" t="s">
        <v>171</v>
      </c>
      <c r="I80" s="188">
        <v>3301</v>
      </c>
      <c r="J80" s="189" t="s">
        <v>172</v>
      </c>
      <c r="K80" s="189" t="s">
        <v>393</v>
      </c>
      <c r="L80" s="188">
        <v>3301085</v>
      </c>
      <c r="M80" s="191" t="s">
        <v>394</v>
      </c>
      <c r="N80" s="188">
        <v>3301085</v>
      </c>
      <c r="O80" s="189" t="s">
        <v>394</v>
      </c>
      <c r="P80" s="188" t="s">
        <v>395</v>
      </c>
      <c r="Q80" s="191" t="s">
        <v>396</v>
      </c>
      <c r="R80" s="188" t="s">
        <v>395</v>
      </c>
      <c r="S80" s="191" t="s">
        <v>396</v>
      </c>
      <c r="T80" s="192" t="s">
        <v>157</v>
      </c>
      <c r="U80" s="278">
        <v>115000</v>
      </c>
      <c r="V80" s="278"/>
      <c r="W80" s="279">
        <f t="shared" si="4"/>
        <v>115000</v>
      </c>
      <c r="X80" s="279">
        <v>107201</v>
      </c>
      <c r="Y80" s="195">
        <v>2020003630020</v>
      </c>
      <c r="Z80" s="262" t="s">
        <v>397</v>
      </c>
      <c r="AA80" s="262" t="s">
        <v>398</v>
      </c>
      <c r="AB80" s="185">
        <f>139705208+73048930.18</f>
        <v>212754138.18000001</v>
      </c>
      <c r="AC80" s="180"/>
      <c r="AD80" s="180"/>
      <c r="AE80" s="180"/>
      <c r="AF80" s="180"/>
      <c r="AG80" s="180"/>
      <c r="AH80" s="184">
        <f>20000000+35000000+160000000-5000000+69000000</f>
        <v>279000000</v>
      </c>
      <c r="AI80" s="180"/>
      <c r="AJ80" s="180"/>
      <c r="AK80" s="180"/>
      <c r="AL80" s="187">
        <f t="shared" si="5"/>
        <v>491754138.18000001</v>
      </c>
      <c r="AM80" s="190" t="s">
        <v>11</v>
      </c>
    </row>
    <row r="81" spans="1:39" s="271" customFormat="1" ht="66.75" customHeight="1">
      <c r="A81" s="188">
        <v>310</v>
      </c>
      <c r="B81" s="189" t="s">
        <v>378</v>
      </c>
      <c r="C81" s="188">
        <v>1</v>
      </c>
      <c r="D81" s="189" t="s">
        <v>148</v>
      </c>
      <c r="E81" s="188">
        <v>33</v>
      </c>
      <c r="F81" s="189" t="s">
        <v>170</v>
      </c>
      <c r="G81" s="188">
        <v>3301</v>
      </c>
      <c r="H81" s="189" t="s">
        <v>171</v>
      </c>
      <c r="I81" s="188">
        <v>3301</v>
      </c>
      <c r="J81" s="189" t="s">
        <v>172</v>
      </c>
      <c r="K81" s="189" t="s">
        <v>393</v>
      </c>
      <c r="L81" s="188">
        <v>3301100</v>
      </c>
      <c r="M81" s="191" t="s">
        <v>399</v>
      </c>
      <c r="N81" s="188">
        <v>3301100</v>
      </c>
      <c r="O81" s="189" t="s">
        <v>399</v>
      </c>
      <c r="P81" s="277" t="s">
        <v>400</v>
      </c>
      <c r="Q81" s="191" t="s">
        <v>401</v>
      </c>
      <c r="R81" s="277" t="s">
        <v>400</v>
      </c>
      <c r="S81" s="191" t="s">
        <v>401</v>
      </c>
      <c r="T81" s="192" t="s">
        <v>157</v>
      </c>
      <c r="U81" s="194">
        <v>10</v>
      </c>
      <c r="V81" s="194"/>
      <c r="W81" s="194">
        <f t="shared" si="4"/>
        <v>10</v>
      </c>
      <c r="X81" s="194">
        <v>0</v>
      </c>
      <c r="Y81" s="195">
        <v>2020003630020</v>
      </c>
      <c r="Z81" s="190" t="s">
        <v>397</v>
      </c>
      <c r="AA81" s="262" t="s">
        <v>398</v>
      </c>
      <c r="AB81" s="185">
        <v>110000000</v>
      </c>
      <c r="AC81" s="180"/>
      <c r="AD81" s="180"/>
      <c r="AE81" s="180"/>
      <c r="AF81" s="180"/>
      <c r="AG81" s="180"/>
      <c r="AH81" s="180">
        <f>18000000+100000000+15000000+40000000</f>
        <v>173000000</v>
      </c>
      <c r="AI81" s="180"/>
      <c r="AJ81" s="180"/>
      <c r="AK81" s="180"/>
      <c r="AL81" s="187">
        <f t="shared" si="5"/>
        <v>283000000</v>
      </c>
      <c r="AM81" s="190" t="s">
        <v>11</v>
      </c>
    </row>
    <row r="82" spans="1:39" s="271" customFormat="1" ht="66.75" customHeight="1">
      <c r="A82" s="188">
        <v>310</v>
      </c>
      <c r="B82" s="189" t="s">
        <v>378</v>
      </c>
      <c r="C82" s="188">
        <v>1</v>
      </c>
      <c r="D82" s="189" t="s">
        <v>148</v>
      </c>
      <c r="E82" s="188">
        <v>33</v>
      </c>
      <c r="F82" s="189" t="s">
        <v>170</v>
      </c>
      <c r="G82" s="188">
        <v>3301</v>
      </c>
      <c r="H82" s="189" t="s">
        <v>171</v>
      </c>
      <c r="I82" s="188">
        <v>3301</v>
      </c>
      <c r="J82" s="189" t="s">
        <v>172</v>
      </c>
      <c r="K82" s="189" t="s">
        <v>383</v>
      </c>
      <c r="L82" s="188">
        <v>3301095</v>
      </c>
      <c r="M82" s="191" t="s">
        <v>402</v>
      </c>
      <c r="N82" s="188">
        <v>3301095</v>
      </c>
      <c r="O82" s="189" t="s">
        <v>402</v>
      </c>
      <c r="P82" s="188" t="s">
        <v>403</v>
      </c>
      <c r="Q82" s="191" t="s">
        <v>404</v>
      </c>
      <c r="R82" s="188" t="s">
        <v>403</v>
      </c>
      <c r="S82" s="190" t="s">
        <v>404</v>
      </c>
      <c r="T82" s="192" t="s">
        <v>157</v>
      </c>
      <c r="U82" s="194">
        <v>150</v>
      </c>
      <c r="V82" s="194">
        <v>261</v>
      </c>
      <c r="W82" s="194">
        <f t="shared" si="4"/>
        <v>411</v>
      </c>
      <c r="X82" s="194">
        <v>0</v>
      </c>
      <c r="Y82" s="195">
        <v>2020003630072</v>
      </c>
      <c r="Z82" s="262" t="s">
        <v>405</v>
      </c>
      <c r="AA82" s="190" t="s">
        <v>406</v>
      </c>
      <c r="AB82" s="180">
        <f>249705208+99878270.55</f>
        <v>349583478.55000001</v>
      </c>
      <c r="AC82" s="180"/>
      <c r="AD82" s="180"/>
      <c r="AE82" s="180"/>
      <c r="AF82" s="180"/>
      <c r="AG82" s="180"/>
      <c r="AH82" s="185">
        <v>20000000</v>
      </c>
      <c r="AI82" s="180"/>
      <c r="AJ82" s="180"/>
      <c r="AK82" s="180"/>
      <c r="AL82" s="187">
        <f t="shared" si="5"/>
        <v>369583478.55000001</v>
      </c>
      <c r="AM82" s="190" t="s">
        <v>11</v>
      </c>
    </row>
    <row r="83" spans="1:39" s="271" customFormat="1" ht="66.75" customHeight="1">
      <c r="A83" s="188">
        <v>310</v>
      </c>
      <c r="B83" s="189" t="s">
        <v>378</v>
      </c>
      <c r="C83" s="188">
        <v>1</v>
      </c>
      <c r="D83" s="189" t="s">
        <v>148</v>
      </c>
      <c r="E83" s="188">
        <v>33</v>
      </c>
      <c r="F83" s="189" t="s">
        <v>170</v>
      </c>
      <c r="G83" s="188">
        <v>3302</v>
      </c>
      <c r="H83" s="189" t="s">
        <v>407</v>
      </c>
      <c r="I83" s="188">
        <v>3302</v>
      </c>
      <c r="J83" s="189" t="s">
        <v>408</v>
      </c>
      <c r="K83" s="189" t="s">
        <v>409</v>
      </c>
      <c r="L83" s="265">
        <v>3302042</v>
      </c>
      <c r="M83" s="191" t="s">
        <v>410</v>
      </c>
      <c r="N83" s="265">
        <v>3302042</v>
      </c>
      <c r="O83" s="189" t="s">
        <v>410</v>
      </c>
      <c r="P83" s="188" t="s">
        <v>411</v>
      </c>
      <c r="Q83" s="191" t="s">
        <v>412</v>
      </c>
      <c r="R83" s="188" t="s">
        <v>411</v>
      </c>
      <c r="S83" s="191" t="s">
        <v>412</v>
      </c>
      <c r="T83" s="192" t="s">
        <v>157</v>
      </c>
      <c r="U83" s="194">
        <v>12</v>
      </c>
      <c r="V83" s="194"/>
      <c r="W83" s="194">
        <f t="shared" si="4"/>
        <v>12</v>
      </c>
      <c r="X83" s="194">
        <v>10</v>
      </c>
      <c r="Y83" s="195">
        <v>2020003630073</v>
      </c>
      <c r="Z83" s="262" t="s">
        <v>413</v>
      </c>
      <c r="AA83" s="189" t="s">
        <v>414</v>
      </c>
      <c r="AB83" s="180"/>
      <c r="AC83" s="180"/>
      <c r="AD83" s="180"/>
      <c r="AE83" s="180"/>
      <c r="AF83" s="180"/>
      <c r="AG83" s="180"/>
      <c r="AH83" s="184">
        <f>66500000+40000000</f>
        <v>106500000</v>
      </c>
      <c r="AI83" s="256"/>
      <c r="AJ83" s="256"/>
      <c r="AK83" s="187"/>
      <c r="AL83" s="187">
        <f t="shared" si="5"/>
        <v>106500000</v>
      </c>
      <c r="AM83" s="190" t="s">
        <v>11</v>
      </c>
    </row>
    <row r="84" spans="1:39" s="271" customFormat="1" ht="66.75" customHeight="1">
      <c r="A84" s="188">
        <v>310</v>
      </c>
      <c r="B84" s="189" t="s">
        <v>378</v>
      </c>
      <c r="C84" s="188">
        <v>1</v>
      </c>
      <c r="D84" s="189" t="s">
        <v>148</v>
      </c>
      <c r="E84" s="188">
        <v>33</v>
      </c>
      <c r="F84" s="189" t="s">
        <v>170</v>
      </c>
      <c r="G84" s="188">
        <v>3302</v>
      </c>
      <c r="H84" s="189" t="s">
        <v>407</v>
      </c>
      <c r="I84" s="188">
        <v>3302</v>
      </c>
      <c r="J84" s="189" t="s">
        <v>408</v>
      </c>
      <c r="K84" s="189" t="s">
        <v>409</v>
      </c>
      <c r="L84" s="265">
        <v>3302070</v>
      </c>
      <c r="M84" s="191" t="s">
        <v>415</v>
      </c>
      <c r="N84" s="265">
        <v>3302070</v>
      </c>
      <c r="O84" s="189" t="s">
        <v>415</v>
      </c>
      <c r="P84" s="277" t="s">
        <v>416</v>
      </c>
      <c r="Q84" s="191" t="s">
        <v>401</v>
      </c>
      <c r="R84" s="277" t="s">
        <v>416</v>
      </c>
      <c r="S84" s="191" t="s">
        <v>401</v>
      </c>
      <c r="T84" s="192" t="s">
        <v>69</v>
      </c>
      <c r="U84" s="194">
        <v>4</v>
      </c>
      <c r="V84" s="194"/>
      <c r="W84" s="194">
        <f t="shared" si="4"/>
        <v>4</v>
      </c>
      <c r="X84" s="194">
        <v>3</v>
      </c>
      <c r="Y84" s="195">
        <v>2020003630073</v>
      </c>
      <c r="Z84" s="262" t="s">
        <v>413</v>
      </c>
      <c r="AA84" s="189" t="s">
        <v>414</v>
      </c>
      <c r="AB84" s="256"/>
      <c r="AC84" s="180"/>
      <c r="AD84" s="180"/>
      <c r="AE84" s="180"/>
      <c r="AF84" s="180"/>
      <c r="AG84" s="180"/>
      <c r="AH84" s="184">
        <f>66500000+40000000</f>
        <v>106500000</v>
      </c>
      <c r="AI84" s="187">
        <f>145398717+23893855.3-41573728-23859422.3</f>
        <v>103859422.00000001</v>
      </c>
      <c r="AJ84" s="187"/>
      <c r="AK84" s="187"/>
      <c r="AL84" s="187">
        <f t="shared" si="5"/>
        <v>210359422</v>
      </c>
      <c r="AM84" s="190" t="s">
        <v>11</v>
      </c>
    </row>
    <row r="85" spans="1:39" s="200" customFormat="1" ht="66.75" customHeight="1">
      <c r="A85" s="188">
        <v>311</v>
      </c>
      <c r="B85" s="189" t="s">
        <v>417</v>
      </c>
      <c r="C85" s="274">
        <v>2</v>
      </c>
      <c r="D85" s="189" t="s">
        <v>200</v>
      </c>
      <c r="E85" s="188">
        <v>35</v>
      </c>
      <c r="F85" s="189" t="s">
        <v>418</v>
      </c>
      <c r="G85" s="188">
        <v>3502</v>
      </c>
      <c r="H85" s="189" t="s">
        <v>419</v>
      </c>
      <c r="I85" s="188">
        <v>3502</v>
      </c>
      <c r="J85" s="189" t="s">
        <v>420</v>
      </c>
      <c r="K85" s="189" t="s">
        <v>421</v>
      </c>
      <c r="L85" s="188">
        <v>3502006</v>
      </c>
      <c r="M85" s="191" t="s">
        <v>422</v>
      </c>
      <c r="N85" s="274">
        <v>3502006</v>
      </c>
      <c r="O85" s="189" t="s">
        <v>422</v>
      </c>
      <c r="P85" s="188" t="s">
        <v>423</v>
      </c>
      <c r="Q85" s="191" t="s">
        <v>424</v>
      </c>
      <c r="R85" s="188" t="s">
        <v>423</v>
      </c>
      <c r="S85" s="191" t="s">
        <v>424</v>
      </c>
      <c r="T85" s="272" t="s">
        <v>157</v>
      </c>
      <c r="U85" s="194">
        <v>1</v>
      </c>
      <c r="V85" s="194"/>
      <c r="W85" s="194">
        <f t="shared" ref="W85:W116" si="6">U85+V85</f>
        <v>1</v>
      </c>
      <c r="X85" s="194">
        <v>0.6</v>
      </c>
      <c r="Y85" s="195">
        <v>2020003630074</v>
      </c>
      <c r="Z85" s="262" t="s">
        <v>425</v>
      </c>
      <c r="AA85" s="189" t="s">
        <v>426</v>
      </c>
      <c r="AB85" s="180"/>
      <c r="AC85" s="180"/>
      <c r="AD85" s="180"/>
      <c r="AE85" s="180"/>
      <c r="AF85" s="180"/>
      <c r="AG85" s="180"/>
      <c r="AH85" s="187">
        <f>30000000+24000000+20900000+16580000</f>
        <v>91480000</v>
      </c>
      <c r="AI85" s="180"/>
      <c r="AJ85" s="180"/>
      <c r="AK85" s="180"/>
      <c r="AL85" s="187">
        <f t="shared" si="5"/>
        <v>91480000</v>
      </c>
      <c r="AM85" s="190" t="s">
        <v>12</v>
      </c>
    </row>
    <row r="86" spans="1:39" s="200" customFormat="1" ht="66.75" customHeight="1">
      <c r="A86" s="188">
        <v>311</v>
      </c>
      <c r="B86" s="189" t="s">
        <v>417</v>
      </c>
      <c r="C86" s="274">
        <v>2</v>
      </c>
      <c r="D86" s="189" t="s">
        <v>200</v>
      </c>
      <c r="E86" s="188">
        <v>35</v>
      </c>
      <c r="F86" s="189" t="s">
        <v>418</v>
      </c>
      <c r="G86" s="188">
        <v>3502</v>
      </c>
      <c r="H86" s="189" t="s">
        <v>419</v>
      </c>
      <c r="I86" s="188">
        <v>3502</v>
      </c>
      <c r="J86" s="189" t="s">
        <v>420</v>
      </c>
      <c r="K86" s="189" t="s">
        <v>421</v>
      </c>
      <c r="L86" s="188">
        <v>3502007</v>
      </c>
      <c r="M86" s="191" t="s">
        <v>427</v>
      </c>
      <c r="N86" s="274">
        <v>3502007</v>
      </c>
      <c r="O86" s="189" t="s">
        <v>427</v>
      </c>
      <c r="P86" s="188" t="s">
        <v>428</v>
      </c>
      <c r="Q86" s="191" t="s">
        <v>429</v>
      </c>
      <c r="R86" s="188">
        <v>350200700</v>
      </c>
      <c r="S86" s="191" t="s">
        <v>429</v>
      </c>
      <c r="T86" s="272" t="s">
        <v>69</v>
      </c>
      <c r="U86" s="194">
        <v>7</v>
      </c>
      <c r="V86" s="194"/>
      <c r="W86" s="194">
        <f t="shared" si="6"/>
        <v>7</v>
      </c>
      <c r="X86" s="194">
        <v>7</v>
      </c>
      <c r="Y86" s="195">
        <v>2020003630074</v>
      </c>
      <c r="Z86" s="262" t="s">
        <v>425</v>
      </c>
      <c r="AA86" s="189" t="s">
        <v>426</v>
      </c>
      <c r="AB86" s="180"/>
      <c r="AC86" s="180"/>
      <c r="AD86" s="180"/>
      <c r="AE86" s="180"/>
      <c r="AF86" s="180"/>
      <c r="AG86" s="180"/>
      <c r="AH86" s="187">
        <f>50000000+10200000+12600000</f>
        <v>72800000</v>
      </c>
      <c r="AI86" s="180"/>
      <c r="AJ86" s="180"/>
      <c r="AK86" s="180"/>
      <c r="AL86" s="187">
        <f t="shared" si="5"/>
        <v>72800000</v>
      </c>
      <c r="AM86" s="190" t="s">
        <v>12</v>
      </c>
    </row>
    <row r="87" spans="1:39" s="200" customFormat="1" ht="66.75" customHeight="1">
      <c r="A87" s="188">
        <v>311</v>
      </c>
      <c r="B87" s="189" t="s">
        <v>417</v>
      </c>
      <c r="C87" s="274">
        <v>2</v>
      </c>
      <c r="D87" s="189" t="s">
        <v>200</v>
      </c>
      <c r="E87" s="188">
        <v>35</v>
      </c>
      <c r="F87" s="189" t="s">
        <v>418</v>
      </c>
      <c r="G87" s="188">
        <v>3502</v>
      </c>
      <c r="H87" s="189" t="s">
        <v>419</v>
      </c>
      <c r="I87" s="188">
        <v>3502</v>
      </c>
      <c r="J87" s="189" t="s">
        <v>420</v>
      </c>
      <c r="K87" s="189" t="s">
        <v>421</v>
      </c>
      <c r="L87" s="186">
        <v>3502022</v>
      </c>
      <c r="M87" s="191" t="s">
        <v>430</v>
      </c>
      <c r="N87" s="186">
        <v>3502022</v>
      </c>
      <c r="O87" s="189" t="s">
        <v>430</v>
      </c>
      <c r="P87" s="181" t="s">
        <v>431</v>
      </c>
      <c r="Q87" s="191" t="s">
        <v>432</v>
      </c>
      <c r="R87" s="181">
        <v>350202200</v>
      </c>
      <c r="S87" s="191" t="s">
        <v>432</v>
      </c>
      <c r="T87" s="194" t="s">
        <v>69</v>
      </c>
      <c r="U87" s="194">
        <v>14</v>
      </c>
      <c r="V87" s="194"/>
      <c r="W87" s="194">
        <f t="shared" si="6"/>
        <v>14</v>
      </c>
      <c r="X87" s="194">
        <v>12</v>
      </c>
      <c r="Y87" s="195">
        <v>2020003630075</v>
      </c>
      <c r="Z87" s="262" t="s">
        <v>433</v>
      </c>
      <c r="AA87" s="189" t="s">
        <v>434</v>
      </c>
      <c r="AB87" s="180"/>
      <c r="AC87" s="180"/>
      <c r="AD87" s="180"/>
      <c r="AE87" s="180"/>
      <c r="AF87" s="180"/>
      <c r="AG87" s="180"/>
      <c r="AH87" s="187">
        <f>137351072+88209000+8426667</f>
        <v>233986739</v>
      </c>
      <c r="AI87" s="180"/>
      <c r="AJ87" s="180"/>
      <c r="AK87" s="180"/>
      <c r="AL87" s="187">
        <f t="shared" si="5"/>
        <v>233986739</v>
      </c>
      <c r="AM87" s="190" t="s">
        <v>12</v>
      </c>
    </row>
    <row r="88" spans="1:39" s="200" customFormat="1" ht="66.75" customHeight="1">
      <c r="A88" s="188">
        <v>311</v>
      </c>
      <c r="B88" s="189" t="s">
        <v>417</v>
      </c>
      <c r="C88" s="274">
        <v>2</v>
      </c>
      <c r="D88" s="189" t="s">
        <v>200</v>
      </c>
      <c r="E88" s="188">
        <v>35</v>
      </c>
      <c r="F88" s="189" t="s">
        <v>418</v>
      </c>
      <c r="G88" s="188">
        <v>3502</v>
      </c>
      <c r="H88" s="189" t="s">
        <v>419</v>
      </c>
      <c r="I88" s="188">
        <v>3502</v>
      </c>
      <c r="J88" s="189" t="s">
        <v>420</v>
      </c>
      <c r="K88" s="189" t="s">
        <v>435</v>
      </c>
      <c r="L88" s="186">
        <v>3502039</v>
      </c>
      <c r="M88" s="191" t="s">
        <v>436</v>
      </c>
      <c r="N88" s="186">
        <v>3502039</v>
      </c>
      <c r="O88" s="189" t="s">
        <v>436</v>
      </c>
      <c r="P88" s="188" t="s">
        <v>437</v>
      </c>
      <c r="Q88" s="191" t="s">
        <v>121</v>
      </c>
      <c r="R88" s="188" t="s">
        <v>437</v>
      </c>
      <c r="S88" s="191" t="s">
        <v>121</v>
      </c>
      <c r="T88" s="192" t="s">
        <v>69</v>
      </c>
      <c r="U88" s="194">
        <v>12</v>
      </c>
      <c r="V88" s="194"/>
      <c r="W88" s="194">
        <f t="shared" si="6"/>
        <v>12</v>
      </c>
      <c r="X88" s="194">
        <v>12</v>
      </c>
      <c r="Y88" s="195">
        <v>2020003630076</v>
      </c>
      <c r="Z88" s="262" t="s">
        <v>438</v>
      </c>
      <c r="AA88" s="189" t="s">
        <v>439</v>
      </c>
      <c r="AB88" s="180"/>
      <c r="AC88" s="180"/>
      <c r="AD88" s="180"/>
      <c r="AE88" s="180"/>
      <c r="AF88" s="180"/>
      <c r="AG88" s="180"/>
      <c r="AH88" s="187">
        <f>138213547+56000000+50000000+91041667+36740000</f>
        <v>371995214</v>
      </c>
      <c r="AI88" s="180"/>
      <c r="AJ88" s="180"/>
      <c r="AK88" s="180"/>
      <c r="AL88" s="187">
        <f t="shared" si="5"/>
        <v>371995214</v>
      </c>
      <c r="AM88" s="190" t="s">
        <v>12</v>
      </c>
    </row>
    <row r="89" spans="1:39" s="200" customFormat="1" ht="66.75" customHeight="1">
      <c r="A89" s="188">
        <v>311</v>
      </c>
      <c r="B89" s="189" t="s">
        <v>417</v>
      </c>
      <c r="C89" s="274">
        <v>2</v>
      </c>
      <c r="D89" s="189" t="s">
        <v>200</v>
      </c>
      <c r="E89" s="188">
        <v>35</v>
      </c>
      <c r="F89" s="189" t="s">
        <v>418</v>
      </c>
      <c r="G89" s="188">
        <v>3502</v>
      </c>
      <c r="H89" s="189" t="s">
        <v>419</v>
      </c>
      <c r="I89" s="188">
        <v>3502</v>
      </c>
      <c r="J89" s="189" t="s">
        <v>420</v>
      </c>
      <c r="K89" s="189" t="s">
        <v>435</v>
      </c>
      <c r="L89" s="186">
        <v>3502039</v>
      </c>
      <c r="M89" s="191" t="s">
        <v>436</v>
      </c>
      <c r="N89" s="186">
        <v>3502039</v>
      </c>
      <c r="O89" s="189" t="s">
        <v>436</v>
      </c>
      <c r="P89" s="181">
        <v>350203910</v>
      </c>
      <c r="Q89" s="191" t="s">
        <v>440</v>
      </c>
      <c r="R89" s="181">
        <v>350203910</v>
      </c>
      <c r="S89" s="191" t="s">
        <v>440</v>
      </c>
      <c r="T89" s="272" t="s">
        <v>157</v>
      </c>
      <c r="U89" s="194">
        <v>2</v>
      </c>
      <c r="V89" s="194">
        <v>1</v>
      </c>
      <c r="W89" s="194">
        <f t="shared" si="6"/>
        <v>3</v>
      </c>
      <c r="X89" s="194">
        <v>1</v>
      </c>
      <c r="Y89" s="195">
        <v>2020003630076</v>
      </c>
      <c r="Z89" s="262" t="s">
        <v>438</v>
      </c>
      <c r="AA89" s="189" t="s">
        <v>439</v>
      </c>
      <c r="AB89" s="180"/>
      <c r="AC89" s="180"/>
      <c r="AD89" s="180"/>
      <c r="AE89" s="180"/>
      <c r="AF89" s="180"/>
      <c r="AG89" s="180"/>
      <c r="AH89" s="187">
        <f>50709524+119531727+180468273+300000000-119974999</f>
        <v>530734525</v>
      </c>
      <c r="AI89" s="180"/>
      <c r="AJ89" s="180"/>
      <c r="AK89" s="180"/>
      <c r="AL89" s="187">
        <f t="shared" si="5"/>
        <v>530734525</v>
      </c>
      <c r="AM89" s="190" t="s">
        <v>12</v>
      </c>
    </row>
    <row r="90" spans="1:39" s="200" customFormat="1" ht="66.75" customHeight="1">
      <c r="A90" s="188">
        <v>311</v>
      </c>
      <c r="B90" s="189" t="s">
        <v>417</v>
      </c>
      <c r="C90" s="274">
        <v>2</v>
      </c>
      <c r="D90" s="189" t="s">
        <v>200</v>
      </c>
      <c r="E90" s="188">
        <v>35</v>
      </c>
      <c r="F90" s="189" t="s">
        <v>418</v>
      </c>
      <c r="G90" s="188">
        <v>3502</v>
      </c>
      <c r="H90" s="189" t="s">
        <v>419</v>
      </c>
      <c r="I90" s="188">
        <v>3502</v>
      </c>
      <c r="J90" s="189" t="s">
        <v>420</v>
      </c>
      <c r="K90" s="189" t="s">
        <v>435</v>
      </c>
      <c r="L90" s="186">
        <v>3502046</v>
      </c>
      <c r="M90" s="191" t="s">
        <v>441</v>
      </c>
      <c r="N90" s="186">
        <v>3502046</v>
      </c>
      <c r="O90" s="189" t="s">
        <v>441</v>
      </c>
      <c r="P90" s="188" t="s">
        <v>442</v>
      </c>
      <c r="Q90" s="191" t="s">
        <v>443</v>
      </c>
      <c r="R90" s="188" t="s">
        <v>442</v>
      </c>
      <c r="S90" s="191" t="s">
        <v>443</v>
      </c>
      <c r="T90" s="272" t="s">
        <v>157</v>
      </c>
      <c r="U90" s="194">
        <v>1</v>
      </c>
      <c r="V90" s="194"/>
      <c r="W90" s="194">
        <f t="shared" si="6"/>
        <v>1</v>
      </c>
      <c r="X90" s="194">
        <v>0.6</v>
      </c>
      <c r="Y90" s="195">
        <v>2020003630077</v>
      </c>
      <c r="Z90" s="262" t="s">
        <v>444</v>
      </c>
      <c r="AA90" s="189" t="s">
        <v>445</v>
      </c>
      <c r="AB90" s="180"/>
      <c r="AC90" s="180"/>
      <c r="AD90" s="180"/>
      <c r="AE90" s="180"/>
      <c r="AF90" s="180"/>
      <c r="AG90" s="180"/>
      <c r="AH90" s="187">
        <f>256000000+40000000+268352500+25574999</f>
        <v>589927499</v>
      </c>
      <c r="AI90" s="187">
        <f>864000000+246031030.9+172000000</f>
        <v>1282031030.9000001</v>
      </c>
      <c r="AJ90" s="187"/>
      <c r="AK90" s="197"/>
      <c r="AL90" s="187">
        <f t="shared" si="5"/>
        <v>1871958529.9000001</v>
      </c>
      <c r="AM90" s="190" t="s">
        <v>12</v>
      </c>
    </row>
    <row r="91" spans="1:39" s="200" customFormat="1" ht="66.75" customHeight="1">
      <c r="A91" s="188">
        <v>311</v>
      </c>
      <c r="B91" s="189" t="s">
        <v>417</v>
      </c>
      <c r="C91" s="274">
        <v>2</v>
      </c>
      <c r="D91" s="189" t="s">
        <v>200</v>
      </c>
      <c r="E91" s="188">
        <v>36</v>
      </c>
      <c r="F91" s="189" t="s">
        <v>446</v>
      </c>
      <c r="G91" s="188">
        <v>3602</v>
      </c>
      <c r="H91" s="189" t="s">
        <v>447</v>
      </c>
      <c r="I91" s="188">
        <v>3602</v>
      </c>
      <c r="J91" s="189" t="s">
        <v>448</v>
      </c>
      <c r="K91" s="189" t="s">
        <v>421</v>
      </c>
      <c r="L91" s="188">
        <v>3602018</v>
      </c>
      <c r="M91" s="191" t="s">
        <v>449</v>
      </c>
      <c r="N91" s="188">
        <v>3602018</v>
      </c>
      <c r="O91" s="189" t="s">
        <v>449</v>
      </c>
      <c r="P91" s="181" t="s">
        <v>450</v>
      </c>
      <c r="Q91" s="191" t="s">
        <v>451</v>
      </c>
      <c r="R91" s="181" t="s">
        <v>450</v>
      </c>
      <c r="S91" s="191" t="s">
        <v>451</v>
      </c>
      <c r="T91" s="272" t="s">
        <v>157</v>
      </c>
      <c r="U91" s="194">
        <v>4</v>
      </c>
      <c r="V91" s="194"/>
      <c r="W91" s="194">
        <f t="shared" si="6"/>
        <v>4</v>
      </c>
      <c r="X91" s="194">
        <v>0</v>
      </c>
      <c r="Y91" s="195">
        <v>2020003630078</v>
      </c>
      <c r="Z91" s="262" t="s">
        <v>452</v>
      </c>
      <c r="AA91" s="189" t="s">
        <v>453</v>
      </c>
      <c r="AB91" s="180"/>
      <c r="AC91" s="180"/>
      <c r="AD91" s="180"/>
      <c r="AE91" s="180"/>
      <c r="AF91" s="180"/>
      <c r="AG91" s="180"/>
      <c r="AH91" s="187">
        <f>200000000+313305167</f>
        <v>513305167</v>
      </c>
      <c r="AI91" s="180"/>
      <c r="AJ91" s="180"/>
      <c r="AK91" s="180"/>
      <c r="AL91" s="187">
        <f t="shared" si="5"/>
        <v>513305167</v>
      </c>
      <c r="AM91" s="190" t="s">
        <v>12</v>
      </c>
    </row>
    <row r="92" spans="1:39" s="200" customFormat="1" ht="66.75" customHeight="1">
      <c r="A92" s="188">
        <v>311</v>
      </c>
      <c r="B92" s="189" t="s">
        <v>417</v>
      </c>
      <c r="C92" s="274">
        <v>2</v>
      </c>
      <c r="D92" s="189" t="s">
        <v>200</v>
      </c>
      <c r="E92" s="188">
        <v>36</v>
      </c>
      <c r="F92" s="189" t="s">
        <v>446</v>
      </c>
      <c r="G92" s="188">
        <v>3602</v>
      </c>
      <c r="H92" s="189" t="s">
        <v>447</v>
      </c>
      <c r="I92" s="188">
        <v>3602</v>
      </c>
      <c r="J92" s="189" t="s">
        <v>448</v>
      </c>
      <c r="K92" s="189" t="s">
        <v>421</v>
      </c>
      <c r="L92" s="188">
        <v>3602032</v>
      </c>
      <c r="M92" s="191" t="s">
        <v>454</v>
      </c>
      <c r="N92" s="274">
        <v>3602032</v>
      </c>
      <c r="O92" s="189" t="s">
        <v>454</v>
      </c>
      <c r="P92" s="181" t="s">
        <v>455</v>
      </c>
      <c r="Q92" s="191" t="s">
        <v>456</v>
      </c>
      <c r="R92" s="181" t="s">
        <v>455</v>
      </c>
      <c r="S92" s="191" t="s">
        <v>456</v>
      </c>
      <c r="T92" s="194" t="s">
        <v>69</v>
      </c>
      <c r="U92" s="194">
        <v>14</v>
      </c>
      <c r="V92" s="194"/>
      <c r="W92" s="194">
        <f t="shared" si="6"/>
        <v>14</v>
      </c>
      <c r="X92" s="194">
        <v>14</v>
      </c>
      <c r="Y92" s="195">
        <v>2020003630078</v>
      </c>
      <c r="Z92" s="262" t="s">
        <v>452</v>
      </c>
      <c r="AA92" s="191" t="s">
        <v>453</v>
      </c>
      <c r="AB92" s="180"/>
      <c r="AC92" s="180"/>
      <c r="AD92" s="180"/>
      <c r="AE92" s="180"/>
      <c r="AF92" s="180"/>
      <c r="AG92" s="180"/>
      <c r="AH92" s="187">
        <f>50000000+50000000+13930000+4053333</f>
        <v>117983333</v>
      </c>
      <c r="AI92" s="180"/>
      <c r="AJ92" s="180"/>
      <c r="AK92" s="180"/>
      <c r="AL92" s="187">
        <f t="shared" si="5"/>
        <v>117983333</v>
      </c>
      <c r="AM92" s="190" t="s">
        <v>12</v>
      </c>
    </row>
    <row r="93" spans="1:39" s="200" customFormat="1" ht="66.75" customHeight="1">
      <c r="A93" s="188">
        <v>311</v>
      </c>
      <c r="B93" s="189" t="s">
        <v>417</v>
      </c>
      <c r="C93" s="274">
        <v>2</v>
      </c>
      <c r="D93" s="189" t="s">
        <v>200</v>
      </c>
      <c r="E93" s="188">
        <v>36</v>
      </c>
      <c r="F93" s="189" t="s">
        <v>446</v>
      </c>
      <c r="G93" s="188">
        <v>3602</v>
      </c>
      <c r="H93" s="189" t="s">
        <v>447</v>
      </c>
      <c r="I93" s="188">
        <v>3602</v>
      </c>
      <c r="J93" s="189" t="s">
        <v>448</v>
      </c>
      <c r="K93" s="189" t="s">
        <v>421</v>
      </c>
      <c r="L93" s="188">
        <v>3602029</v>
      </c>
      <c r="M93" s="191" t="s">
        <v>457</v>
      </c>
      <c r="N93" s="274">
        <v>3602029</v>
      </c>
      <c r="O93" s="189" t="s">
        <v>457</v>
      </c>
      <c r="P93" s="181" t="s">
        <v>458</v>
      </c>
      <c r="Q93" s="191" t="s">
        <v>459</v>
      </c>
      <c r="R93" s="181" t="s">
        <v>458</v>
      </c>
      <c r="S93" s="191" t="s">
        <v>459</v>
      </c>
      <c r="T93" s="272" t="s">
        <v>157</v>
      </c>
      <c r="U93" s="194">
        <v>13</v>
      </c>
      <c r="V93" s="194"/>
      <c r="W93" s="194">
        <f t="shared" si="6"/>
        <v>13</v>
      </c>
      <c r="X93" s="194">
        <v>11</v>
      </c>
      <c r="Y93" s="195">
        <v>2020003630078</v>
      </c>
      <c r="Z93" s="191" t="s">
        <v>452</v>
      </c>
      <c r="AA93" s="191" t="s">
        <v>453</v>
      </c>
      <c r="AB93" s="180"/>
      <c r="AC93" s="180"/>
      <c r="AD93" s="180"/>
      <c r="AE93" s="180"/>
      <c r="AF93" s="180"/>
      <c r="AG93" s="180"/>
      <c r="AH93" s="187">
        <f>49500000+1070000+45491666+3520000</f>
        <v>99581666</v>
      </c>
      <c r="AI93" s="180"/>
      <c r="AJ93" s="180"/>
      <c r="AK93" s="180"/>
      <c r="AL93" s="187">
        <f t="shared" si="5"/>
        <v>99581666</v>
      </c>
      <c r="AM93" s="190" t="s">
        <v>12</v>
      </c>
    </row>
    <row r="94" spans="1:39" s="200" customFormat="1" ht="66.75" customHeight="1">
      <c r="A94" s="188">
        <v>311</v>
      </c>
      <c r="B94" s="189" t="s">
        <v>417</v>
      </c>
      <c r="C94" s="274">
        <v>2</v>
      </c>
      <c r="D94" s="189" t="s">
        <v>200</v>
      </c>
      <c r="E94" s="188">
        <v>36</v>
      </c>
      <c r="F94" s="189" t="s">
        <v>446</v>
      </c>
      <c r="G94" s="188">
        <v>3602</v>
      </c>
      <c r="H94" s="189" t="s">
        <v>447</v>
      </c>
      <c r="I94" s="188">
        <v>3602</v>
      </c>
      <c r="J94" s="189" t="s">
        <v>448</v>
      </c>
      <c r="K94" s="189" t="s">
        <v>421</v>
      </c>
      <c r="L94" s="188">
        <v>3602030</v>
      </c>
      <c r="M94" s="191" t="s">
        <v>460</v>
      </c>
      <c r="N94" s="274">
        <v>3602030</v>
      </c>
      <c r="O94" s="189" t="s">
        <v>460</v>
      </c>
      <c r="P94" s="181" t="s">
        <v>461</v>
      </c>
      <c r="Q94" s="191" t="s">
        <v>462</v>
      </c>
      <c r="R94" s="181" t="s">
        <v>461</v>
      </c>
      <c r="S94" s="191" t="s">
        <v>462</v>
      </c>
      <c r="T94" s="272" t="s">
        <v>157</v>
      </c>
      <c r="U94" s="194">
        <v>4</v>
      </c>
      <c r="V94" s="194"/>
      <c r="W94" s="194">
        <f t="shared" si="6"/>
        <v>4</v>
      </c>
      <c r="X94" s="194">
        <v>1</v>
      </c>
      <c r="Y94" s="195">
        <v>2020003630078</v>
      </c>
      <c r="Z94" s="191" t="s">
        <v>452</v>
      </c>
      <c r="AA94" s="191" t="s">
        <v>453</v>
      </c>
      <c r="AB94" s="180"/>
      <c r="AC94" s="180"/>
      <c r="AD94" s="180"/>
      <c r="AE94" s="180"/>
      <c r="AF94" s="180"/>
      <c r="AG94" s="180"/>
      <c r="AH94" s="187">
        <f>25000000+30000000+16500000+12480000</f>
        <v>83980000</v>
      </c>
      <c r="AI94" s="180"/>
      <c r="AJ94" s="180"/>
      <c r="AK94" s="180"/>
      <c r="AL94" s="187">
        <f t="shared" si="5"/>
        <v>83980000</v>
      </c>
      <c r="AM94" s="190" t="s">
        <v>12</v>
      </c>
    </row>
    <row r="95" spans="1:39" s="200" customFormat="1" ht="66.75" customHeight="1">
      <c r="A95" s="188">
        <v>311</v>
      </c>
      <c r="B95" s="192" t="s">
        <v>417</v>
      </c>
      <c r="C95" s="274">
        <v>2</v>
      </c>
      <c r="D95" s="192" t="s">
        <v>200</v>
      </c>
      <c r="E95" s="188">
        <v>36</v>
      </c>
      <c r="F95" s="190" t="s">
        <v>446</v>
      </c>
      <c r="G95" s="188">
        <v>3602</v>
      </c>
      <c r="H95" s="190" t="s">
        <v>419</v>
      </c>
      <c r="I95" s="188">
        <v>3602</v>
      </c>
      <c r="J95" s="190" t="s">
        <v>420</v>
      </c>
      <c r="K95" s="190" t="s">
        <v>435</v>
      </c>
      <c r="L95" s="195">
        <v>3502046</v>
      </c>
      <c r="M95" s="191" t="s">
        <v>441</v>
      </c>
      <c r="N95" s="195">
        <v>3502046</v>
      </c>
      <c r="O95" s="190" t="s">
        <v>441</v>
      </c>
      <c r="P95" s="195">
        <v>350204600</v>
      </c>
      <c r="Q95" s="190" t="s">
        <v>443</v>
      </c>
      <c r="R95" s="195">
        <v>350204600</v>
      </c>
      <c r="S95" s="190" t="s">
        <v>443</v>
      </c>
      <c r="T95" s="192" t="s">
        <v>157</v>
      </c>
      <c r="U95" s="195">
        <v>1</v>
      </c>
      <c r="V95" s="192"/>
      <c r="W95" s="194">
        <f t="shared" si="6"/>
        <v>1</v>
      </c>
      <c r="X95" s="194">
        <v>0</v>
      </c>
      <c r="Y95" s="195">
        <v>2022003630013</v>
      </c>
      <c r="Z95" s="190" t="s">
        <v>1455</v>
      </c>
      <c r="AA95" s="190" t="s">
        <v>1456</v>
      </c>
      <c r="AB95" s="180"/>
      <c r="AC95" s="180"/>
      <c r="AD95" s="180"/>
      <c r="AE95" s="180"/>
      <c r="AF95" s="180"/>
      <c r="AG95" s="180"/>
      <c r="AH95" s="187">
        <v>144105000</v>
      </c>
      <c r="AI95" s="180"/>
      <c r="AJ95" s="180"/>
      <c r="AK95" s="187"/>
      <c r="AL95" s="187">
        <f t="shared" si="5"/>
        <v>144105000</v>
      </c>
      <c r="AM95" s="190" t="s">
        <v>12</v>
      </c>
    </row>
    <row r="96" spans="1:39" s="200" customFormat="1" ht="66.75" customHeight="1">
      <c r="A96" s="188">
        <v>312</v>
      </c>
      <c r="B96" s="189" t="s">
        <v>463</v>
      </c>
      <c r="C96" s="188">
        <v>2</v>
      </c>
      <c r="D96" s="189" t="s">
        <v>200</v>
      </c>
      <c r="E96" s="188">
        <v>17</v>
      </c>
      <c r="F96" s="189" t="s">
        <v>201</v>
      </c>
      <c r="G96" s="188">
        <v>1702</v>
      </c>
      <c r="H96" s="189" t="s">
        <v>464</v>
      </c>
      <c r="I96" s="188">
        <v>1702</v>
      </c>
      <c r="J96" s="189" t="s">
        <v>465</v>
      </c>
      <c r="K96" s="189" t="s">
        <v>204</v>
      </c>
      <c r="L96" s="186">
        <v>1702011</v>
      </c>
      <c r="M96" s="191" t="s">
        <v>466</v>
      </c>
      <c r="N96" s="186">
        <v>1702011</v>
      </c>
      <c r="O96" s="189" t="s">
        <v>466</v>
      </c>
      <c r="P96" s="188" t="s">
        <v>467</v>
      </c>
      <c r="Q96" s="280" t="s">
        <v>468</v>
      </c>
      <c r="R96" s="188" t="s">
        <v>467</v>
      </c>
      <c r="S96" s="191" t="s">
        <v>468</v>
      </c>
      <c r="T96" s="192" t="s">
        <v>69</v>
      </c>
      <c r="U96" s="194">
        <v>30</v>
      </c>
      <c r="V96" s="194"/>
      <c r="W96" s="194">
        <f t="shared" si="6"/>
        <v>30</v>
      </c>
      <c r="X96" s="194">
        <v>30</v>
      </c>
      <c r="Y96" s="195">
        <v>2020003630079</v>
      </c>
      <c r="Z96" s="189" t="s">
        <v>469</v>
      </c>
      <c r="AA96" s="189" t="s">
        <v>470</v>
      </c>
      <c r="AB96" s="180"/>
      <c r="AC96" s="180"/>
      <c r="AD96" s="180"/>
      <c r="AE96" s="180"/>
      <c r="AF96" s="180"/>
      <c r="AG96" s="180"/>
      <c r="AH96" s="185">
        <f>100000000+30000000+34372660+81700000+40000000+32500000</f>
        <v>318572660</v>
      </c>
      <c r="AI96" s="347"/>
      <c r="AJ96" s="197"/>
      <c r="AK96" s="197"/>
      <c r="AL96" s="187">
        <f t="shared" si="5"/>
        <v>318572660</v>
      </c>
      <c r="AM96" s="281" t="s">
        <v>9</v>
      </c>
    </row>
    <row r="97" spans="1:39" s="200" customFormat="1" ht="66.75" customHeight="1">
      <c r="A97" s="188">
        <v>312</v>
      </c>
      <c r="B97" s="189" t="s">
        <v>463</v>
      </c>
      <c r="C97" s="188">
        <v>2</v>
      </c>
      <c r="D97" s="189" t="s">
        <v>200</v>
      </c>
      <c r="E97" s="188">
        <v>17</v>
      </c>
      <c r="F97" s="189" t="s">
        <v>201</v>
      </c>
      <c r="G97" s="188">
        <v>1702</v>
      </c>
      <c r="H97" s="189" t="s">
        <v>464</v>
      </c>
      <c r="I97" s="188">
        <v>1702</v>
      </c>
      <c r="J97" s="189" t="s">
        <v>465</v>
      </c>
      <c r="K97" s="189" t="s">
        <v>204</v>
      </c>
      <c r="L97" s="186">
        <v>1702007</v>
      </c>
      <c r="M97" s="191" t="s">
        <v>471</v>
      </c>
      <c r="N97" s="186">
        <v>1702007</v>
      </c>
      <c r="O97" s="189" t="s">
        <v>471</v>
      </c>
      <c r="P97" s="181" t="s">
        <v>472</v>
      </c>
      <c r="Q97" s="191" t="s">
        <v>473</v>
      </c>
      <c r="R97" s="181" t="s">
        <v>472</v>
      </c>
      <c r="S97" s="191" t="s">
        <v>473</v>
      </c>
      <c r="T97" s="282" t="s">
        <v>157</v>
      </c>
      <c r="U97" s="194">
        <v>3</v>
      </c>
      <c r="V97" s="194">
        <v>5</v>
      </c>
      <c r="W97" s="194">
        <f t="shared" si="6"/>
        <v>8</v>
      </c>
      <c r="X97" s="194">
        <v>8</v>
      </c>
      <c r="Y97" s="195">
        <v>2020003630079</v>
      </c>
      <c r="Z97" s="189" t="s">
        <v>469</v>
      </c>
      <c r="AA97" s="189" t="s">
        <v>470</v>
      </c>
      <c r="AB97" s="180"/>
      <c r="AC97" s="180"/>
      <c r="AD97" s="180"/>
      <c r="AE97" s="180"/>
      <c r="AF97" s="180"/>
      <c r="AG97" s="180"/>
      <c r="AH97" s="185">
        <f>287529712+98800000</f>
        <v>386329712</v>
      </c>
      <c r="AI97" s="197"/>
      <c r="AJ97" s="197"/>
      <c r="AK97" s="197"/>
      <c r="AL97" s="187">
        <f t="shared" si="5"/>
        <v>386329712</v>
      </c>
      <c r="AM97" s="281" t="s">
        <v>9</v>
      </c>
    </row>
    <row r="98" spans="1:39" s="200" customFormat="1" ht="66.75" customHeight="1">
      <c r="A98" s="188">
        <v>312</v>
      </c>
      <c r="B98" s="189" t="s">
        <v>463</v>
      </c>
      <c r="C98" s="188">
        <v>2</v>
      </c>
      <c r="D98" s="189" t="s">
        <v>200</v>
      </c>
      <c r="E98" s="188">
        <v>17</v>
      </c>
      <c r="F98" s="189" t="s">
        <v>201</v>
      </c>
      <c r="G98" s="188">
        <v>1702</v>
      </c>
      <c r="H98" s="189" t="s">
        <v>464</v>
      </c>
      <c r="I98" s="188">
        <v>1702</v>
      </c>
      <c r="J98" s="189" t="s">
        <v>465</v>
      </c>
      <c r="K98" s="189" t="s">
        <v>204</v>
      </c>
      <c r="L98" s="186">
        <v>1702009</v>
      </c>
      <c r="M98" s="191" t="s">
        <v>474</v>
      </c>
      <c r="N98" s="186">
        <v>1702009</v>
      </c>
      <c r="O98" s="189" t="s">
        <v>474</v>
      </c>
      <c r="P98" s="181" t="s">
        <v>475</v>
      </c>
      <c r="Q98" s="191" t="s">
        <v>476</v>
      </c>
      <c r="R98" s="181" t="s">
        <v>475</v>
      </c>
      <c r="S98" s="191" t="s">
        <v>476</v>
      </c>
      <c r="T98" s="282" t="s">
        <v>157</v>
      </c>
      <c r="U98" s="194">
        <v>166</v>
      </c>
      <c r="V98" s="194"/>
      <c r="W98" s="194">
        <f t="shared" si="6"/>
        <v>166</v>
      </c>
      <c r="X98" s="194">
        <v>0</v>
      </c>
      <c r="Y98" s="195">
        <v>2020003630079</v>
      </c>
      <c r="Z98" s="189" t="s">
        <v>469</v>
      </c>
      <c r="AA98" s="189" t="s">
        <v>470</v>
      </c>
      <c r="AB98" s="180"/>
      <c r="AC98" s="180"/>
      <c r="AD98" s="180"/>
      <c r="AE98" s="180"/>
      <c r="AF98" s="180"/>
      <c r="AG98" s="180"/>
      <c r="AH98" s="185">
        <f>20000000+3600000</f>
        <v>23600000</v>
      </c>
      <c r="AI98" s="197"/>
      <c r="AJ98" s="197"/>
      <c r="AK98" s="197"/>
      <c r="AL98" s="187">
        <f t="shared" si="5"/>
        <v>23600000</v>
      </c>
      <c r="AM98" s="281" t="s">
        <v>9</v>
      </c>
    </row>
    <row r="99" spans="1:39" s="200" customFormat="1" ht="66.75" customHeight="1">
      <c r="A99" s="188">
        <v>312</v>
      </c>
      <c r="B99" s="189" t="s">
        <v>463</v>
      </c>
      <c r="C99" s="188">
        <v>2</v>
      </c>
      <c r="D99" s="189" t="s">
        <v>200</v>
      </c>
      <c r="E99" s="188">
        <v>17</v>
      </c>
      <c r="F99" s="189" t="s">
        <v>201</v>
      </c>
      <c r="G99" s="188">
        <v>1702</v>
      </c>
      <c r="H99" s="189" t="s">
        <v>464</v>
      </c>
      <c r="I99" s="188">
        <v>1702</v>
      </c>
      <c r="J99" s="189" t="s">
        <v>465</v>
      </c>
      <c r="K99" s="189" t="s">
        <v>204</v>
      </c>
      <c r="L99" s="186">
        <v>1702017</v>
      </c>
      <c r="M99" s="191" t="s">
        <v>477</v>
      </c>
      <c r="N99" s="283">
        <v>1702017</v>
      </c>
      <c r="O99" s="189" t="s">
        <v>477</v>
      </c>
      <c r="P99" s="181" t="s">
        <v>478</v>
      </c>
      <c r="Q99" s="191" t="s">
        <v>479</v>
      </c>
      <c r="R99" s="181" t="s">
        <v>478</v>
      </c>
      <c r="S99" s="191" t="s">
        <v>479</v>
      </c>
      <c r="T99" s="282" t="s">
        <v>157</v>
      </c>
      <c r="U99" s="194">
        <v>100</v>
      </c>
      <c r="V99" s="194"/>
      <c r="W99" s="194">
        <f t="shared" si="6"/>
        <v>100</v>
      </c>
      <c r="X99" s="194">
        <v>75</v>
      </c>
      <c r="Y99" s="195">
        <v>2020003630023</v>
      </c>
      <c r="Z99" s="191" t="s">
        <v>480</v>
      </c>
      <c r="AA99" s="191" t="s">
        <v>481</v>
      </c>
      <c r="AB99" s="180"/>
      <c r="AC99" s="180"/>
      <c r="AD99" s="180"/>
      <c r="AE99" s="180"/>
      <c r="AF99" s="180"/>
      <c r="AG99" s="180"/>
      <c r="AH99" s="185">
        <f>125000000+37500000+14745000+53100000+162000000+40000000</f>
        <v>432345000</v>
      </c>
      <c r="AI99" s="197"/>
      <c r="AJ99" s="197"/>
      <c r="AK99" s="197"/>
      <c r="AL99" s="187">
        <f t="shared" si="5"/>
        <v>432345000</v>
      </c>
      <c r="AM99" s="281" t="s">
        <v>9</v>
      </c>
    </row>
    <row r="100" spans="1:39" s="200" customFormat="1" ht="66.75" customHeight="1">
      <c r="A100" s="188">
        <v>312</v>
      </c>
      <c r="B100" s="189" t="s">
        <v>463</v>
      </c>
      <c r="C100" s="188">
        <v>2</v>
      </c>
      <c r="D100" s="189" t="s">
        <v>200</v>
      </c>
      <c r="E100" s="188">
        <v>17</v>
      </c>
      <c r="F100" s="189" t="s">
        <v>201</v>
      </c>
      <c r="G100" s="188">
        <v>1702</v>
      </c>
      <c r="H100" s="189" t="s">
        <v>464</v>
      </c>
      <c r="I100" s="188">
        <v>1702</v>
      </c>
      <c r="J100" s="189" t="s">
        <v>465</v>
      </c>
      <c r="K100" s="189" t="s">
        <v>204</v>
      </c>
      <c r="L100" s="186">
        <v>1702014</v>
      </c>
      <c r="M100" s="191" t="s">
        <v>482</v>
      </c>
      <c r="N100" s="186">
        <v>1702014</v>
      </c>
      <c r="O100" s="189" t="s">
        <v>482</v>
      </c>
      <c r="P100" s="181" t="s">
        <v>483</v>
      </c>
      <c r="Q100" s="191" t="s">
        <v>484</v>
      </c>
      <c r="R100" s="181" t="s">
        <v>483</v>
      </c>
      <c r="S100" s="191" t="s">
        <v>484</v>
      </c>
      <c r="T100" s="282" t="s">
        <v>157</v>
      </c>
      <c r="U100" s="194">
        <v>25</v>
      </c>
      <c r="V100" s="194"/>
      <c r="W100" s="194">
        <f t="shared" si="6"/>
        <v>25</v>
      </c>
      <c r="X100" s="194">
        <v>25</v>
      </c>
      <c r="Y100" s="195">
        <v>2020003630023</v>
      </c>
      <c r="Z100" s="191" t="s">
        <v>480</v>
      </c>
      <c r="AA100" s="191" t="s">
        <v>481</v>
      </c>
      <c r="AB100" s="180"/>
      <c r="AC100" s="180"/>
      <c r="AD100" s="180"/>
      <c r="AE100" s="180"/>
      <c r="AF100" s="180"/>
      <c r="AG100" s="180"/>
      <c r="AH100" s="185">
        <f>50000000+15000000</f>
        <v>65000000</v>
      </c>
      <c r="AI100" s="197"/>
      <c r="AJ100" s="197"/>
      <c r="AK100" s="197"/>
      <c r="AL100" s="187">
        <f t="shared" si="5"/>
        <v>65000000</v>
      </c>
      <c r="AM100" s="281" t="s">
        <v>9</v>
      </c>
    </row>
    <row r="101" spans="1:39" s="200" customFormat="1" ht="66.75" customHeight="1">
      <c r="A101" s="188">
        <v>312</v>
      </c>
      <c r="B101" s="189" t="s">
        <v>463</v>
      </c>
      <c r="C101" s="188">
        <v>2</v>
      </c>
      <c r="D101" s="189" t="s">
        <v>200</v>
      </c>
      <c r="E101" s="188">
        <v>17</v>
      </c>
      <c r="F101" s="189" t="s">
        <v>201</v>
      </c>
      <c r="G101" s="188">
        <v>1702</v>
      </c>
      <c r="H101" s="189" t="s">
        <v>464</v>
      </c>
      <c r="I101" s="188">
        <v>1702</v>
      </c>
      <c r="J101" s="189" t="s">
        <v>465</v>
      </c>
      <c r="K101" s="189" t="s">
        <v>204</v>
      </c>
      <c r="L101" s="186">
        <v>1702021</v>
      </c>
      <c r="M101" s="191" t="s">
        <v>485</v>
      </c>
      <c r="N101" s="186">
        <v>1702021</v>
      </c>
      <c r="O101" s="189" t="s">
        <v>485</v>
      </c>
      <c r="P101" s="181" t="s">
        <v>486</v>
      </c>
      <c r="Q101" s="191" t="s">
        <v>487</v>
      </c>
      <c r="R101" s="181" t="s">
        <v>486</v>
      </c>
      <c r="S101" s="191" t="s">
        <v>487</v>
      </c>
      <c r="T101" s="282" t="s">
        <v>157</v>
      </c>
      <c r="U101" s="194">
        <v>150</v>
      </c>
      <c r="V101" s="194"/>
      <c r="W101" s="194">
        <f t="shared" si="6"/>
        <v>150</v>
      </c>
      <c r="X101" s="194">
        <v>130</v>
      </c>
      <c r="Y101" s="195">
        <v>2020003630023</v>
      </c>
      <c r="Z101" s="191" t="s">
        <v>480</v>
      </c>
      <c r="AA101" s="191" t="s">
        <v>481</v>
      </c>
      <c r="AB101" s="180"/>
      <c r="AC101" s="180"/>
      <c r="AD101" s="180"/>
      <c r="AE101" s="180"/>
      <c r="AF101" s="180"/>
      <c r="AG101" s="180"/>
      <c r="AH101" s="185">
        <f>20000000+6000000+35100000</f>
        <v>61100000</v>
      </c>
      <c r="AI101" s="197"/>
      <c r="AJ101" s="197"/>
      <c r="AK101" s="197"/>
      <c r="AL101" s="187">
        <f t="shared" si="5"/>
        <v>61100000</v>
      </c>
      <c r="AM101" s="281" t="s">
        <v>9</v>
      </c>
    </row>
    <row r="102" spans="1:39" s="200" customFormat="1" ht="66.75" customHeight="1">
      <c r="A102" s="188">
        <v>312</v>
      </c>
      <c r="B102" s="189" t="s">
        <v>463</v>
      </c>
      <c r="C102" s="188">
        <v>2</v>
      </c>
      <c r="D102" s="189" t="s">
        <v>200</v>
      </c>
      <c r="E102" s="188">
        <v>17</v>
      </c>
      <c r="F102" s="189" t="s">
        <v>201</v>
      </c>
      <c r="G102" s="188">
        <v>1702</v>
      </c>
      <c r="H102" s="189" t="s">
        <v>464</v>
      </c>
      <c r="I102" s="188">
        <v>1702</v>
      </c>
      <c r="J102" s="189" t="s">
        <v>465</v>
      </c>
      <c r="K102" s="189" t="s">
        <v>204</v>
      </c>
      <c r="L102" s="186">
        <v>1702038</v>
      </c>
      <c r="M102" s="191" t="s">
        <v>488</v>
      </c>
      <c r="N102" s="186">
        <v>1702038</v>
      </c>
      <c r="O102" s="189" t="s">
        <v>488</v>
      </c>
      <c r="P102" s="188" t="s">
        <v>489</v>
      </c>
      <c r="Q102" s="191" t="s">
        <v>490</v>
      </c>
      <c r="R102" s="188" t="s">
        <v>489</v>
      </c>
      <c r="S102" s="191" t="s">
        <v>490</v>
      </c>
      <c r="T102" s="194" t="s">
        <v>69</v>
      </c>
      <c r="U102" s="194">
        <v>30</v>
      </c>
      <c r="V102" s="194"/>
      <c r="W102" s="194">
        <f t="shared" si="6"/>
        <v>30</v>
      </c>
      <c r="X102" s="194">
        <v>30</v>
      </c>
      <c r="Y102" s="195">
        <v>2020003630080</v>
      </c>
      <c r="Z102" s="183" t="s">
        <v>491</v>
      </c>
      <c r="AA102" s="189" t="s">
        <v>492</v>
      </c>
      <c r="AB102" s="180"/>
      <c r="AC102" s="180"/>
      <c r="AD102" s="180"/>
      <c r="AE102" s="180"/>
      <c r="AF102" s="180"/>
      <c r="AG102" s="180"/>
      <c r="AH102" s="185">
        <f>65000000+19500000+4880000+2800000+36855000</f>
        <v>129035000</v>
      </c>
      <c r="AI102" s="197"/>
      <c r="AJ102" s="197"/>
      <c r="AK102" s="197"/>
      <c r="AL102" s="187">
        <f t="shared" si="5"/>
        <v>129035000</v>
      </c>
      <c r="AM102" s="281" t="s">
        <v>9</v>
      </c>
    </row>
    <row r="103" spans="1:39" s="200" customFormat="1" ht="66.75" customHeight="1">
      <c r="A103" s="188">
        <v>312</v>
      </c>
      <c r="B103" s="189" t="s">
        <v>463</v>
      </c>
      <c r="C103" s="188">
        <v>2</v>
      </c>
      <c r="D103" s="189" t="s">
        <v>200</v>
      </c>
      <c r="E103" s="188">
        <v>17</v>
      </c>
      <c r="F103" s="189" t="s">
        <v>201</v>
      </c>
      <c r="G103" s="188">
        <v>1702</v>
      </c>
      <c r="H103" s="189" t="s">
        <v>464</v>
      </c>
      <c r="I103" s="188">
        <v>1702</v>
      </c>
      <c r="J103" s="189" t="s">
        <v>465</v>
      </c>
      <c r="K103" s="189" t="s">
        <v>204</v>
      </c>
      <c r="L103" s="186">
        <v>1702038</v>
      </c>
      <c r="M103" s="191" t="s">
        <v>488</v>
      </c>
      <c r="N103" s="186">
        <v>1702038</v>
      </c>
      <c r="O103" s="189" t="s">
        <v>488</v>
      </c>
      <c r="P103" s="188" t="s">
        <v>493</v>
      </c>
      <c r="Q103" s="191" t="s">
        <v>494</v>
      </c>
      <c r="R103" s="188" t="s">
        <v>493</v>
      </c>
      <c r="S103" s="191" t="s">
        <v>494</v>
      </c>
      <c r="T103" s="282" t="s">
        <v>157</v>
      </c>
      <c r="U103" s="194">
        <v>80</v>
      </c>
      <c r="V103" s="194"/>
      <c r="W103" s="194">
        <f t="shared" si="6"/>
        <v>80</v>
      </c>
      <c r="X103" s="194">
        <v>0</v>
      </c>
      <c r="Y103" s="195">
        <v>2020003630080</v>
      </c>
      <c r="Z103" s="183" t="s">
        <v>491</v>
      </c>
      <c r="AA103" s="189" t="s">
        <v>492</v>
      </c>
      <c r="AB103" s="180"/>
      <c r="AC103" s="180"/>
      <c r="AD103" s="180"/>
      <c r="AE103" s="180"/>
      <c r="AF103" s="180"/>
      <c r="AG103" s="180"/>
      <c r="AH103" s="185">
        <v>18000000</v>
      </c>
      <c r="AI103" s="197"/>
      <c r="AJ103" s="197"/>
      <c r="AK103" s="197"/>
      <c r="AL103" s="187">
        <f t="shared" si="5"/>
        <v>18000000</v>
      </c>
      <c r="AM103" s="281" t="s">
        <v>9</v>
      </c>
    </row>
    <row r="104" spans="1:39" s="200" customFormat="1" ht="66.75" customHeight="1">
      <c r="A104" s="188">
        <v>312</v>
      </c>
      <c r="B104" s="189" t="s">
        <v>463</v>
      </c>
      <c r="C104" s="188">
        <v>2</v>
      </c>
      <c r="D104" s="189" t="s">
        <v>200</v>
      </c>
      <c r="E104" s="188">
        <v>17</v>
      </c>
      <c r="F104" s="189" t="s">
        <v>201</v>
      </c>
      <c r="G104" s="188">
        <v>1702</v>
      </c>
      <c r="H104" s="189" t="s">
        <v>464</v>
      </c>
      <c r="I104" s="188">
        <v>1702</v>
      </c>
      <c r="J104" s="189" t="s">
        <v>465</v>
      </c>
      <c r="K104" s="189" t="s">
        <v>204</v>
      </c>
      <c r="L104" s="186">
        <v>1702023</v>
      </c>
      <c r="M104" s="191" t="s">
        <v>254</v>
      </c>
      <c r="N104" s="186">
        <v>1702023</v>
      </c>
      <c r="O104" s="189" t="s">
        <v>254</v>
      </c>
      <c r="P104" s="188" t="s">
        <v>495</v>
      </c>
      <c r="Q104" s="191" t="s">
        <v>496</v>
      </c>
      <c r="R104" s="188" t="s">
        <v>495</v>
      </c>
      <c r="S104" s="190" t="s">
        <v>496</v>
      </c>
      <c r="T104" s="282" t="s">
        <v>69</v>
      </c>
      <c r="U104" s="194">
        <v>1</v>
      </c>
      <c r="V104" s="194"/>
      <c r="W104" s="194">
        <f t="shared" si="6"/>
        <v>1</v>
      </c>
      <c r="X104" s="194">
        <v>0.4</v>
      </c>
      <c r="Y104" s="195">
        <v>2020003630022</v>
      </c>
      <c r="Z104" s="262" t="s">
        <v>497</v>
      </c>
      <c r="AA104" s="189" t="s">
        <v>498</v>
      </c>
      <c r="AB104" s="180"/>
      <c r="AC104" s="180"/>
      <c r="AD104" s="180"/>
      <c r="AE104" s="180"/>
      <c r="AF104" s="180"/>
      <c r="AG104" s="180"/>
      <c r="AH104" s="185">
        <f>30000000+9000000+3200000+9600000</f>
        <v>51800000</v>
      </c>
      <c r="AI104" s="197"/>
      <c r="AJ104" s="197"/>
      <c r="AK104" s="197"/>
      <c r="AL104" s="187">
        <f t="shared" si="5"/>
        <v>51800000</v>
      </c>
      <c r="AM104" s="281" t="s">
        <v>9</v>
      </c>
    </row>
    <row r="105" spans="1:39" s="200" customFormat="1" ht="66.75" customHeight="1">
      <c r="A105" s="188">
        <v>312</v>
      </c>
      <c r="B105" s="189" t="s">
        <v>463</v>
      </c>
      <c r="C105" s="188">
        <v>2</v>
      </c>
      <c r="D105" s="189" t="s">
        <v>200</v>
      </c>
      <c r="E105" s="188">
        <v>17</v>
      </c>
      <c r="F105" s="189" t="s">
        <v>201</v>
      </c>
      <c r="G105" s="188">
        <v>1702</v>
      </c>
      <c r="H105" s="189" t="s">
        <v>464</v>
      </c>
      <c r="I105" s="188">
        <v>1702</v>
      </c>
      <c r="J105" s="189" t="s">
        <v>465</v>
      </c>
      <c r="K105" s="189" t="s">
        <v>204</v>
      </c>
      <c r="L105" s="186">
        <v>1702024</v>
      </c>
      <c r="M105" s="191" t="s">
        <v>499</v>
      </c>
      <c r="N105" s="186">
        <v>1702024</v>
      </c>
      <c r="O105" s="189" t="s">
        <v>499</v>
      </c>
      <c r="P105" s="181" t="s">
        <v>500</v>
      </c>
      <c r="Q105" s="191" t="s">
        <v>501</v>
      </c>
      <c r="R105" s="181">
        <v>170202400</v>
      </c>
      <c r="S105" s="191" t="s">
        <v>501</v>
      </c>
      <c r="T105" s="282" t="s">
        <v>69</v>
      </c>
      <c r="U105" s="194">
        <v>12</v>
      </c>
      <c r="V105" s="194"/>
      <c r="W105" s="194">
        <f t="shared" si="6"/>
        <v>12</v>
      </c>
      <c r="X105" s="194">
        <v>12</v>
      </c>
      <c r="Y105" s="195">
        <v>2020003630022</v>
      </c>
      <c r="Z105" s="183" t="s">
        <v>497</v>
      </c>
      <c r="AA105" s="189" t="s">
        <v>498</v>
      </c>
      <c r="AB105" s="180"/>
      <c r="AC105" s="180"/>
      <c r="AD105" s="180"/>
      <c r="AE105" s="180"/>
      <c r="AF105" s="180"/>
      <c r="AG105" s="180"/>
      <c r="AH105" s="185">
        <f>60000000+18000000+5766666.67+15900000</f>
        <v>99666666.670000002</v>
      </c>
      <c r="AI105" s="197"/>
      <c r="AJ105" s="197"/>
      <c r="AK105" s="197"/>
      <c r="AL105" s="187">
        <f t="shared" si="5"/>
        <v>99666666.670000002</v>
      </c>
      <c r="AM105" s="281" t="s">
        <v>9</v>
      </c>
    </row>
    <row r="106" spans="1:39" s="200" customFormat="1" ht="66.75" customHeight="1">
      <c r="A106" s="188">
        <v>312</v>
      </c>
      <c r="B106" s="189" t="s">
        <v>463</v>
      </c>
      <c r="C106" s="188">
        <v>2</v>
      </c>
      <c r="D106" s="189" t="s">
        <v>200</v>
      </c>
      <c r="E106" s="188">
        <v>17</v>
      </c>
      <c r="F106" s="189" t="s">
        <v>201</v>
      </c>
      <c r="G106" s="188">
        <v>1702</v>
      </c>
      <c r="H106" s="189" t="s">
        <v>464</v>
      </c>
      <c r="I106" s="188">
        <v>1702</v>
      </c>
      <c r="J106" s="189" t="s">
        <v>465</v>
      </c>
      <c r="K106" s="189" t="s">
        <v>204</v>
      </c>
      <c r="L106" s="186">
        <v>1702025</v>
      </c>
      <c r="M106" s="191" t="s">
        <v>502</v>
      </c>
      <c r="N106" s="186">
        <v>1702025</v>
      </c>
      <c r="O106" s="189" t="s">
        <v>502</v>
      </c>
      <c r="P106" s="181" t="s">
        <v>503</v>
      </c>
      <c r="Q106" s="191" t="s">
        <v>504</v>
      </c>
      <c r="R106" s="181" t="s">
        <v>503</v>
      </c>
      <c r="S106" s="191" t="s">
        <v>504</v>
      </c>
      <c r="T106" s="282" t="s">
        <v>157</v>
      </c>
      <c r="U106" s="194">
        <v>25</v>
      </c>
      <c r="V106" s="194">
        <v>15</v>
      </c>
      <c r="W106" s="194">
        <f t="shared" si="6"/>
        <v>40</v>
      </c>
      <c r="X106" s="194">
        <v>40</v>
      </c>
      <c r="Y106" s="195">
        <v>2020003630081</v>
      </c>
      <c r="Z106" s="262" t="s">
        <v>505</v>
      </c>
      <c r="AA106" s="189" t="s">
        <v>506</v>
      </c>
      <c r="AB106" s="180"/>
      <c r="AC106" s="180"/>
      <c r="AD106" s="180"/>
      <c r="AE106" s="180"/>
      <c r="AF106" s="180"/>
      <c r="AG106" s="180"/>
      <c r="AH106" s="185">
        <f>27000000+12700000</f>
        <v>39700000</v>
      </c>
      <c r="AI106" s="197"/>
      <c r="AJ106" s="197"/>
      <c r="AK106" s="197"/>
      <c r="AL106" s="187">
        <f t="shared" si="5"/>
        <v>39700000</v>
      </c>
      <c r="AM106" s="281" t="s">
        <v>9</v>
      </c>
    </row>
    <row r="107" spans="1:39" s="200" customFormat="1" ht="66.75" customHeight="1">
      <c r="A107" s="188">
        <v>312</v>
      </c>
      <c r="B107" s="189" t="s">
        <v>463</v>
      </c>
      <c r="C107" s="188">
        <v>2</v>
      </c>
      <c r="D107" s="189" t="s">
        <v>200</v>
      </c>
      <c r="E107" s="188">
        <v>17</v>
      </c>
      <c r="F107" s="189" t="s">
        <v>201</v>
      </c>
      <c r="G107" s="188">
        <v>1703</v>
      </c>
      <c r="H107" s="189" t="s">
        <v>507</v>
      </c>
      <c r="I107" s="188">
        <v>1703</v>
      </c>
      <c r="J107" s="189" t="s">
        <v>508</v>
      </c>
      <c r="K107" s="189" t="s">
        <v>204</v>
      </c>
      <c r="L107" s="186">
        <v>1703013</v>
      </c>
      <c r="M107" s="191" t="s">
        <v>509</v>
      </c>
      <c r="N107" s="186">
        <v>1703013</v>
      </c>
      <c r="O107" s="189" t="s">
        <v>509</v>
      </c>
      <c r="P107" s="181" t="s">
        <v>510</v>
      </c>
      <c r="Q107" s="191" t="s">
        <v>511</v>
      </c>
      <c r="R107" s="181">
        <v>170301300</v>
      </c>
      <c r="S107" s="191" t="s">
        <v>511</v>
      </c>
      <c r="T107" s="282" t="s">
        <v>157</v>
      </c>
      <c r="U107" s="194">
        <v>55</v>
      </c>
      <c r="V107" s="194"/>
      <c r="W107" s="194">
        <f t="shared" si="6"/>
        <v>55</v>
      </c>
      <c r="X107" s="194">
        <v>70</v>
      </c>
      <c r="Y107" s="195">
        <v>2020003630082</v>
      </c>
      <c r="Z107" s="183" t="s">
        <v>512</v>
      </c>
      <c r="AA107" s="189" t="s">
        <v>513</v>
      </c>
      <c r="AB107" s="180"/>
      <c r="AC107" s="180"/>
      <c r="AD107" s="180"/>
      <c r="AE107" s="180"/>
      <c r="AF107" s="180"/>
      <c r="AG107" s="180"/>
      <c r="AH107" s="185">
        <f>32907909+3400000+25500000</f>
        <v>61807909</v>
      </c>
      <c r="AI107" s="197"/>
      <c r="AJ107" s="197"/>
      <c r="AK107" s="197"/>
      <c r="AL107" s="187">
        <f t="shared" si="5"/>
        <v>61807909</v>
      </c>
      <c r="AM107" s="281" t="s">
        <v>9</v>
      </c>
    </row>
    <row r="108" spans="1:39" s="200" customFormat="1" ht="66.75" customHeight="1">
      <c r="A108" s="188">
        <v>312</v>
      </c>
      <c r="B108" s="189" t="s">
        <v>463</v>
      </c>
      <c r="C108" s="188">
        <v>2</v>
      </c>
      <c r="D108" s="189" t="s">
        <v>200</v>
      </c>
      <c r="E108" s="188">
        <v>17</v>
      </c>
      <c r="F108" s="189" t="s">
        <v>201</v>
      </c>
      <c r="G108" s="188">
        <v>1704</v>
      </c>
      <c r="H108" s="189" t="s">
        <v>514</v>
      </c>
      <c r="I108" s="188">
        <v>1704</v>
      </c>
      <c r="J108" s="189" t="s">
        <v>515</v>
      </c>
      <c r="K108" s="189" t="s">
        <v>204</v>
      </c>
      <c r="L108" s="186">
        <v>1704002</v>
      </c>
      <c r="M108" s="191" t="s">
        <v>101</v>
      </c>
      <c r="N108" s="186">
        <v>1704002</v>
      </c>
      <c r="O108" s="189" t="s">
        <v>101</v>
      </c>
      <c r="P108" s="188" t="s">
        <v>516</v>
      </c>
      <c r="Q108" s="191" t="s">
        <v>517</v>
      </c>
      <c r="R108" s="188" t="s">
        <v>516</v>
      </c>
      <c r="S108" s="191" t="s">
        <v>517</v>
      </c>
      <c r="T108" s="194" t="s">
        <v>69</v>
      </c>
      <c r="U108" s="194">
        <v>1</v>
      </c>
      <c r="V108" s="194"/>
      <c r="W108" s="194">
        <f t="shared" si="6"/>
        <v>1</v>
      </c>
      <c r="X108" s="194">
        <v>0.6</v>
      </c>
      <c r="Y108" s="195">
        <v>2020003630025</v>
      </c>
      <c r="Z108" s="183" t="s">
        <v>518</v>
      </c>
      <c r="AA108" s="189" t="s">
        <v>519</v>
      </c>
      <c r="AB108" s="284"/>
      <c r="AC108" s="256"/>
      <c r="AD108" s="256"/>
      <c r="AE108" s="256"/>
      <c r="AF108" s="256"/>
      <c r="AG108" s="256"/>
      <c r="AH108" s="197">
        <f>42000000+16000000+4906666.67+48000000</f>
        <v>110906666.67</v>
      </c>
      <c r="AI108" s="197"/>
      <c r="AJ108" s="197"/>
      <c r="AK108" s="197"/>
      <c r="AL108" s="187">
        <f t="shared" si="5"/>
        <v>110906666.67</v>
      </c>
      <c r="AM108" s="281" t="s">
        <v>9</v>
      </c>
    </row>
    <row r="109" spans="1:39" s="200" customFormat="1" ht="66.75" customHeight="1">
      <c r="A109" s="188">
        <v>312</v>
      </c>
      <c r="B109" s="189" t="s">
        <v>463</v>
      </c>
      <c r="C109" s="188">
        <v>2</v>
      </c>
      <c r="D109" s="189" t="s">
        <v>200</v>
      </c>
      <c r="E109" s="188">
        <v>17</v>
      </c>
      <c r="F109" s="189" t="s">
        <v>201</v>
      </c>
      <c r="G109" s="188">
        <v>1704</v>
      </c>
      <c r="H109" s="189" t="s">
        <v>514</v>
      </c>
      <c r="I109" s="188">
        <v>1704</v>
      </c>
      <c r="J109" s="189" t="s">
        <v>515</v>
      </c>
      <c r="K109" s="189" t="s">
        <v>204</v>
      </c>
      <c r="L109" s="186">
        <v>1704017</v>
      </c>
      <c r="M109" s="191" t="s">
        <v>520</v>
      </c>
      <c r="N109" s="186">
        <v>1704017</v>
      </c>
      <c r="O109" s="189" t="s">
        <v>520</v>
      </c>
      <c r="P109" s="188" t="s">
        <v>521</v>
      </c>
      <c r="Q109" s="191" t="s">
        <v>522</v>
      </c>
      <c r="R109" s="188">
        <v>170401700</v>
      </c>
      <c r="S109" s="191" t="s">
        <v>522</v>
      </c>
      <c r="T109" s="282" t="s">
        <v>157</v>
      </c>
      <c r="U109" s="194">
        <v>150</v>
      </c>
      <c r="V109" s="194"/>
      <c r="W109" s="194">
        <f t="shared" si="6"/>
        <v>150</v>
      </c>
      <c r="X109" s="194">
        <v>130</v>
      </c>
      <c r="Y109" s="195">
        <v>2020003630025</v>
      </c>
      <c r="Z109" s="183" t="s">
        <v>518</v>
      </c>
      <c r="AA109" s="189" t="s">
        <v>519</v>
      </c>
      <c r="AB109" s="256"/>
      <c r="AC109" s="256"/>
      <c r="AD109" s="256"/>
      <c r="AE109" s="256"/>
      <c r="AF109" s="256"/>
      <c r="AG109" s="256"/>
      <c r="AH109" s="197">
        <f>28000000+11000000+12165426</f>
        <v>51165426</v>
      </c>
      <c r="AI109" s="285"/>
      <c r="AJ109" s="285"/>
      <c r="AK109" s="197"/>
      <c r="AL109" s="187">
        <f t="shared" si="5"/>
        <v>51165426</v>
      </c>
      <c r="AM109" s="281" t="s">
        <v>9</v>
      </c>
    </row>
    <row r="110" spans="1:39" s="271" customFormat="1" ht="66.75" customHeight="1">
      <c r="A110" s="188">
        <v>312</v>
      </c>
      <c r="B110" s="189" t="s">
        <v>463</v>
      </c>
      <c r="C110" s="188">
        <v>2</v>
      </c>
      <c r="D110" s="189" t="s">
        <v>200</v>
      </c>
      <c r="E110" s="188">
        <v>17</v>
      </c>
      <c r="F110" s="189" t="s">
        <v>201</v>
      </c>
      <c r="G110" s="188">
        <v>1706</v>
      </c>
      <c r="H110" s="189" t="s">
        <v>523</v>
      </c>
      <c r="I110" s="188">
        <v>1706</v>
      </c>
      <c r="J110" s="189" t="s">
        <v>524</v>
      </c>
      <c r="K110" s="189" t="s">
        <v>204</v>
      </c>
      <c r="L110" s="186">
        <v>1706004</v>
      </c>
      <c r="M110" s="191" t="s">
        <v>525</v>
      </c>
      <c r="N110" s="186">
        <v>1706004</v>
      </c>
      <c r="O110" s="189" t="s">
        <v>525</v>
      </c>
      <c r="P110" s="188" t="s">
        <v>526</v>
      </c>
      <c r="Q110" s="191" t="s">
        <v>527</v>
      </c>
      <c r="R110" s="188" t="s">
        <v>526</v>
      </c>
      <c r="S110" s="191" t="s">
        <v>527</v>
      </c>
      <c r="T110" s="194" t="s">
        <v>69</v>
      </c>
      <c r="U110" s="194">
        <v>10</v>
      </c>
      <c r="V110" s="194"/>
      <c r="W110" s="194">
        <f t="shared" si="6"/>
        <v>10</v>
      </c>
      <c r="X110" s="194">
        <v>8</v>
      </c>
      <c r="Y110" s="195">
        <v>2020003630083</v>
      </c>
      <c r="Z110" s="183" t="s">
        <v>528</v>
      </c>
      <c r="AA110" s="189" t="s">
        <v>529</v>
      </c>
      <c r="AB110" s="180"/>
      <c r="AC110" s="180"/>
      <c r="AD110" s="180"/>
      <c r="AE110" s="180"/>
      <c r="AF110" s="180"/>
      <c r="AG110" s="180"/>
      <c r="AH110" s="197">
        <f>20000000+86000000</f>
        <v>106000000</v>
      </c>
      <c r="AI110" s="285"/>
      <c r="AJ110" s="285"/>
      <c r="AK110" s="197"/>
      <c r="AL110" s="187">
        <f t="shared" si="5"/>
        <v>106000000</v>
      </c>
      <c r="AM110" s="281" t="s">
        <v>9</v>
      </c>
    </row>
    <row r="111" spans="1:39" s="271" customFormat="1" ht="66.75" customHeight="1">
      <c r="A111" s="188">
        <v>312</v>
      </c>
      <c r="B111" s="189" t="s">
        <v>463</v>
      </c>
      <c r="C111" s="188">
        <v>2</v>
      </c>
      <c r="D111" s="189" t="s">
        <v>200</v>
      </c>
      <c r="E111" s="188">
        <v>17</v>
      </c>
      <c r="F111" s="189" t="s">
        <v>201</v>
      </c>
      <c r="G111" s="188">
        <v>1707</v>
      </c>
      <c r="H111" s="189" t="s">
        <v>530</v>
      </c>
      <c r="I111" s="188">
        <v>1707</v>
      </c>
      <c r="J111" s="189" t="s">
        <v>531</v>
      </c>
      <c r="K111" s="189" t="s">
        <v>204</v>
      </c>
      <c r="L111" s="186">
        <v>1707069</v>
      </c>
      <c r="M111" s="191" t="s">
        <v>532</v>
      </c>
      <c r="N111" s="186">
        <v>1707069</v>
      </c>
      <c r="O111" s="189" t="s">
        <v>532</v>
      </c>
      <c r="P111" s="188" t="s">
        <v>533</v>
      </c>
      <c r="Q111" s="190" t="s">
        <v>534</v>
      </c>
      <c r="R111" s="188" t="s">
        <v>533</v>
      </c>
      <c r="S111" s="191" t="s">
        <v>534</v>
      </c>
      <c r="T111" s="282" t="s">
        <v>157</v>
      </c>
      <c r="U111" s="194">
        <v>5</v>
      </c>
      <c r="V111" s="194"/>
      <c r="W111" s="194">
        <f t="shared" si="6"/>
        <v>5</v>
      </c>
      <c r="X111" s="194">
        <v>6</v>
      </c>
      <c r="Y111" s="195">
        <v>2020003630084</v>
      </c>
      <c r="Z111" s="183" t="s">
        <v>535</v>
      </c>
      <c r="AA111" s="189" t="s">
        <v>536</v>
      </c>
      <c r="AB111" s="180"/>
      <c r="AC111" s="180"/>
      <c r="AD111" s="180"/>
      <c r="AE111" s="180"/>
      <c r="AF111" s="180"/>
      <c r="AG111" s="180"/>
      <c r="AH111" s="185">
        <f>43000000+16900000+11025000+1800000</f>
        <v>72725000</v>
      </c>
      <c r="AI111" s="197"/>
      <c r="AJ111" s="197"/>
      <c r="AK111" s="197"/>
      <c r="AL111" s="187">
        <f t="shared" si="5"/>
        <v>72725000</v>
      </c>
      <c r="AM111" s="281" t="s">
        <v>9</v>
      </c>
    </row>
    <row r="112" spans="1:39" s="271" customFormat="1" ht="66.75" customHeight="1">
      <c r="A112" s="188">
        <v>312</v>
      </c>
      <c r="B112" s="189" t="s">
        <v>463</v>
      </c>
      <c r="C112" s="188">
        <v>2</v>
      </c>
      <c r="D112" s="189" t="s">
        <v>200</v>
      </c>
      <c r="E112" s="188">
        <v>17</v>
      </c>
      <c r="F112" s="189" t="s">
        <v>201</v>
      </c>
      <c r="G112" s="188">
        <v>1708</v>
      </c>
      <c r="H112" s="189" t="s">
        <v>537</v>
      </c>
      <c r="I112" s="188">
        <v>1708</v>
      </c>
      <c r="J112" s="189" t="s">
        <v>538</v>
      </c>
      <c r="K112" s="189" t="s">
        <v>204</v>
      </c>
      <c r="L112" s="186">
        <v>1708016</v>
      </c>
      <c r="M112" s="191" t="s">
        <v>101</v>
      </c>
      <c r="N112" s="186">
        <v>1708016</v>
      </c>
      <c r="O112" s="189" t="s">
        <v>101</v>
      </c>
      <c r="P112" s="181" t="s">
        <v>539</v>
      </c>
      <c r="Q112" s="191" t="s">
        <v>540</v>
      </c>
      <c r="R112" s="181">
        <v>170801600</v>
      </c>
      <c r="S112" s="191" t="s">
        <v>540</v>
      </c>
      <c r="T112" s="194" t="s">
        <v>69</v>
      </c>
      <c r="U112" s="194">
        <v>2</v>
      </c>
      <c r="V112" s="194"/>
      <c r="W112" s="194">
        <f t="shared" si="6"/>
        <v>2</v>
      </c>
      <c r="X112" s="194">
        <v>2</v>
      </c>
      <c r="Y112" s="195">
        <v>2020003630026</v>
      </c>
      <c r="Z112" s="183" t="s">
        <v>541</v>
      </c>
      <c r="AA112" s="189" t="s">
        <v>542</v>
      </c>
      <c r="AB112" s="180"/>
      <c r="AC112" s="180"/>
      <c r="AD112" s="180"/>
      <c r="AE112" s="180"/>
      <c r="AF112" s="180"/>
      <c r="AG112" s="180"/>
      <c r="AH112" s="197">
        <f>20000000+8000000+4273333.33+14400000</f>
        <v>46673333.329999998</v>
      </c>
      <c r="AI112" s="197"/>
      <c r="AJ112" s="197"/>
      <c r="AK112" s="197"/>
      <c r="AL112" s="187">
        <f t="shared" si="5"/>
        <v>46673333.329999998</v>
      </c>
      <c r="AM112" s="281" t="s">
        <v>9</v>
      </c>
    </row>
    <row r="113" spans="1:39" s="271" customFormat="1" ht="66.75" customHeight="1">
      <c r="A113" s="188">
        <v>312</v>
      </c>
      <c r="B113" s="189" t="s">
        <v>463</v>
      </c>
      <c r="C113" s="188">
        <v>2</v>
      </c>
      <c r="D113" s="189" t="s">
        <v>200</v>
      </c>
      <c r="E113" s="188">
        <v>17</v>
      </c>
      <c r="F113" s="189" t="s">
        <v>201</v>
      </c>
      <c r="G113" s="188">
        <v>1708</v>
      </c>
      <c r="H113" s="189" t="s">
        <v>537</v>
      </c>
      <c r="I113" s="188">
        <v>1708</v>
      </c>
      <c r="J113" s="189" t="s">
        <v>538</v>
      </c>
      <c r="K113" s="189" t="s">
        <v>204</v>
      </c>
      <c r="L113" s="186">
        <v>1708051</v>
      </c>
      <c r="M113" s="191" t="s">
        <v>543</v>
      </c>
      <c r="N113" s="186">
        <v>1708051</v>
      </c>
      <c r="O113" s="189" t="s">
        <v>543</v>
      </c>
      <c r="P113" s="181" t="s">
        <v>544</v>
      </c>
      <c r="Q113" s="191" t="s">
        <v>545</v>
      </c>
      <c r="R113" s="181" t="s">
        <v>544</v>
      </c>
      <c r="S113" s="191" t="s">
        <v>545</v>
      </c>
      <c r="T113" s="192" t="s">
        <v>69</v>
      </c>
      <c r="U113" s="194">
        <v>1</v>
      </c>
      <c r="V113" s="194"/>
      <c r="W113" s="194">
        <f t="shared" si="6"/>
        <v>1</v>
      </c>
      <c r="X113" s="194">
        <v>0.4</v>
      </c>
      <c r="Y113" s="195">
        <v>2020003630026</v>
      </c>
      <c r="Z113" s="183" t="s">
        <v>541</v>
      </c>
      <c r="AA113" s="189" t="s">
        <v>542</v>
      </c>
      <c r="AB113" s="180"/>
      <c r="AC113" s="180"/>
      <c r="AD113" s="180"/>
      <c r="AE113" s="180"/>
      <c r="AF113" s="180"/>
      <c r="AG113" s="180"/>
      <c r="AH113" s="197">
        <f>20000000+8000000+1335000+7350000</f>
        <v>36685000</v>
      </c>
      <c r="AI113" s="197"/>
      <c r="AJ113" s="197"/>
      <c r="AK113" s="197"/>
      <c r="AL113" s="187">
        <f t="shared" si="5"/>
        <v>36685000</v>
      </c>
      <c r="AM113" s="281" t="s">
        <v>9</v>
      </c>
    </row>
    <row r="114" spans="1:39" s="271" customFormat="1" ht="66.75" customHeight="1">
      <c r="A114" s="188">
        <v>312</v>
      </c>
      <c r="B114" s="189" t="s">
        <v>463</v>
      </c>
      <c r="C114" s="188">
        <v>2</v>
      </c>
      <c r="D114" s="189" t="s">
        <v>200</v>
      </c>
      <c r="E114" s="188">
        <v>17</v>
      </c>
      <c r="F114" s="189" t="s">
        <v>201</v>
      </c>
      <c r="G114" s="188">
        <v>1709</v>
      </c>
      <c r="H114" s="189" t="s">
        <v>202</v>
      </c>
      <c r="I114" s="188">
        <v>1709</v>
      </c>
      <c r="J114" s="189" t="s">
        <v>203</v>
      </c>
      <c r="K114" s="189" t="s">
        <v>204</v>
      </c>
      <c r="L114" s="186">
        <v>1709019</v>
      </c>
      <c r="M114" s="191" t="s">
        <v>546</v>
      </c>
      <c r="N114" s="186">
        <v>1709019</v>
      </c>
      <c r="O114" s="189" t="s">
        <v>546</v>
      </c>
      <c r="P114" s="181">
        <v>170901900</v>
      </c>
      <c r="Q114" s="191" t="s">
        <v>546</v>
      </c>
      <c r="R114" s="181">
        <v>170901900</v>
      </c>
      <c r="S114" s="191" t="s">
        <v>546</v>
      </c>
      <c r="T114" s="282" t="s">
        <v>157</v>
      </c>
      <c r="U114" s="194">
        <v>4</v>
      </c>
      <c r="V114" s="194">
        <v>7</v>
      </c>
      <c r="W114" s="194">
        <f t="shared" si="6"/>
        <v>11</v>
      </c>
      <c r="X114" s="194">
        <v>0</v>
      </c>
      <c r="Y114" s="195">
        <v>2020003630024</v>
      </c>
      <c r="Z114" s="183" t="s">
        <v>547</v>
      </c>
      <c r="AA114" s="189" t="s">
        <v>548</v>
      </c>
      <c r="AB114" s="256"/>
      <c r="AC114" s="256"/>
      <c r="AD114" s="256"/>
      <c r="AE114" s="256"/>
      <c r="AF114" s="256"/>
      <c r="AG114" s="256"/>
      <c r="AH114" s="197">
        <v>43000000</v>
      </c>
      <c r="AI114" s="197"/>
      <c r="AJ114" s="197"/>
      <c r="AK114" s="197"/>
      <c r="AL114" s="187">
        <f t="shared" si="5"/>
        <v>43000000</v>
      </c>
      <c r="AM114" s="281" t="s">
        <v>9</v>
      </c>
    </row>
    <row r="115" spans="1:39" s="271" customFormat="1" ht="66.75" customHeight="1">
      <c r="A115" s="188">
        <v>312</v>
      </c>
      <c r="B115" s="189" t="s">
        <v>463</v>
      </c>
      <c r="C115" s="188">
        <v>2</v>
      </c>
      <c r="D115" s="189" t="s">
        <v>200</v>
      </c>
      <c r="E115" s="188">
        <v>17</v>
      </c>
      <c r="F115" s="189" t="s">
        <v>201</v>
      </c>
      <c r="G115" s="188">
        <v>1709</v>
      </c>
      <c r="H115" s="189" t="s">
        <v>202</v>
      </c>
      <c r="I115" s="188">
        <v>1709</v>
      </c>
      <c r="J115" s="189" t="s">
        <v>203</v>
      </c>
      <c r="K115" s="189" t="s">
        <v>204</v>
      </c>
      <c r="L115" s="186">
        <v>1709034</v>
      </c>
      <c r="M115" s="191" t="s">
        <v>549</v>
      </c>
      <c r="N115" s="186">
        <v>1709034</v>
      </c>
      <c r="O115" s="189" t="s">
        <v>549</v>
      </c>
      <c r="P115" s="181" t="s">
        <v>550</v>
      </c>
      <c r="Q115" s="191" t="s">
        <v>549</v>
      </c>
      <c r="R115" s="181" t="s">
        <v>550</v>
      </c>
      <c r="S115" s="191" t="s">
        <v>549</v>
      </c>
      <c r="T115" s="282" t="s">
        <v>157</v>
      </c>
      <c r="U115" s="194">
        <v>3</v>
      </c>
      <c r="V115" s="194">
        <v>2</v>
      </c>
      <c r="W115" s="194">
        <f t="shared" si="6"/>
        <v>5</v>
      </c>
      <c r="X115" s="194">
        <v>2</v>
      </c>
      <c r="Y115" s="195">
        <v>2020003630024</v>
      </c>
      <c r="Z115" s="183" t="s">
        <v>547</v>
      </c>
      <c r="AA115" s="189" t="s">
        <v>548</v>
      </c>
      <c r="AB115" s="256"/>
      <c r="AC115" s="256"/>
      <c r="AD115" s="256"/>
      <c r="AE115" s="256"/>
      <c r="AF115" s="256"/>
      <c r="AG115" s="256"/>
      <c r="AH115" s="197">
        <f>43000000+34676627</f>
        <v>77676627</v>
      </c>
      <c r="AI115" s="197"/>
      <c r="AJ115" s="197"/>
      <c r="AK115" s="197"/>
      <c r="AL115" s="187">
        <f t="shared" si="5"/>
        <v>77676627</v>
      </c>
      <c r="AM115" s="281" t="s">
        <v>9</v>
      </c>
    </row>
    <row r="116" spans="1:39" s="271" customFormat="1" ht="66.75" customHeight="1">
      <c r="A116" s="188">
        <v>312</v>
      </c>
      <c r="B116" s="189" t="s">
        <v>463</v>
      </c>
      <c r="C116" s="188">
        <v>2</v>
      </c>
      <c r="D116" s="189" t="s">
        <v>200</v>
      </c>
      <c r="E116" s="188">
        <v>17</v>
      </c>
      <c r="F116" s="189" t="s">
        <v>201</v>
      </c>
      <c r="G116" s="188">
        <v>1709</v>
      </c>
      <c r="H116" s="189" t="s">
        <v>202</v>
      </c>
      <c r="I116" s="188">
        <v>1709</v>
      </c>
      <c r="J116" s="189" t="s">
        <v>203</v>
      </c>
      <c r="K116" s="189" t="s">
        <v>204</v>
      </c>
      <c r="L116" s="186">
        <v>1709093</v>
      </c>
      <c r="M116" s="191" t="s">
        <v>551</v>
      </c>
      <c r="N116" s="186">
        <v>1709093</v>
      </c>
      <c r="O116" s="189" t="s">
        <v>551</v>
      </c>
      <c r="P116" s="188" t="s">
        <v>552</v>
      </c>
      <c r="Q116" s="191" t="s">
        <v>553</v>
      </c>
      <c r="R116" s="188" t="s">
        <v>552</v>
      </c>
      <c r="S116" s="191" t="s">
        <v>553</v>
      </c>
      <c r="T116" s="282" t="s">
        <v>157</v>
      </c>
      <c r="U116" s="194">
        <v>1</v>
      </c>
      <c r="V116" s="194">
        <v>2</v>
      </c>
      <c r="W116" s="194">
        <f t="shared" si="6"/>
        <v>3</v>
      </c>
      <c r="X116" s="194">
        <v>3</v>
      </c>
      <c r="Y116" s="195">
        <v>2020003630024</v>
      </c>
      <c r="Z116" s="183" t="s">
        <v>547</v>
      </c>
      <c r="AA116" s="189" t="s">
        <v>548</v>
      </c>
      <c r="AB116" s="256"/>
      <c r="AC116" s="256"/>
      <c r="AD116" s="256"/>
      <c r="AE116" s="256"/>
      <c r="AF116" s="256"/>
      <c r="AG116" s="256"/>
      <c r="AH116" s="197">
        <v>22000000</v>
      </c>
      <c r="AI116" s="197"/>
      <c r="AJ116" s="197"/>
      <c r="AK116" s="197"/>
      <c r="AL116" s="187">
        <f t="shared" si="5"/>
        <v>22000000</v>
      </c>
      <c r="AM116" s="281" t="s">
        <v>9</v>
      </c>
    </row>
    <row r="117" spans="1:39" s="271" customFormat="1" ht="66.75" customHeight="1">
      <c r="A117" s="201">
        <v>312</v>
      </c>
      <c r="B117" s="202" t="s">
        <v>463</v>
      </c>
      <c r="C117" s="201">
        <v>2</v>
      </c>
      <c r="D117" s="189" t="s">
        <v>200</v>
      </c>
      <c r="E117" s="201">
        <v>35</v>
      </c>
      <c r="F117" s="202" t="s">
        <v>418</v>
      </c>
      <c r="G117" s="201">
        <v>3502</v>
      </c>
      <c r="H117" s="202" t="s">
        <v>419</v>
      </c>
      <c r="I117" s="201">
        <v>3502</v>
      </c>
      <c r="J117" s="202" t="s">
        <v>420</v>
      </c>
      <c r="K117" s="202" t="s">
        <v>554</v>
      </c>
      <c r="L117" s="286">
        <v>3502017</v>
      </c>
      <c r="M117" s="191" t="s">
        <v>555</v>
      </c>
      <c r="N117" s="286">
        <v>3502017</v>
      </c>
      <c r="O117" s="202" t="s">
        <v>555</v>
      </c>
      <c r="P117" s="287" t="s">
        <v>556</v>
      </c>
      <c r="Q117" s="203" t="s">
        <v>557</v>
      </c>
      <c r="R117" s="287" t="s">
        <v>556</v>
      </c>
      <c r="S117" s="203" t="s">
        <v>557</v>
      </c>
      <c r="T117" s="204" t="s">
        <v>69</v>
      </c>
      <c r="U117" s="204">
        <v>6</v>
      </c>
      <c r="V117" s="204"/>
      <c r="W117" s="194">
        <f t="shared" ref="W117:W148" si="7">U117+V117</f>
        <v>6</v>
      </c>
      <c r="X117" s="204">
        <v>6</v>
      </c>
      <c r="Y117" s="356">
        <v>2020003630085</v>
      </c>
      <c r="Z117" s="288" t="s">
        <v>558</v>
      </c>
      <c r="AA117" s="202" t="s">
        <v>559</v>
      </c>
      <c r="AB117" s="206"/>
      <c r="AC117" s="206"/>
      <c r="AD117" s="206"/>
      <c r="AE117" s="206"/>
      <c r="AF117" s="206"/>
      <c r="AG117" s="206"/>
      <c r="AH117" s="197">
        <f>18000000+1500000</f>
        <v>19500000</v>
      </c>
      <c r="AI117" s="197"/>
      <c r="AJ117" s="207"/>
      <c r="AK117" s="207"/>
      <c r="AL117" s="187">
        <f t="shared" si="5"/>
        <v>19500000</v>
      </c>
      <c r="AM117" s="289" t="s">
        <v>9</v>
      </c>
    </row>
    <row r="118" spans="1:39" s="271" customFormat="1" ht="66.75" customHeight="1">
      <c r="A118" s="188">
        <v>312</v>
      </c>
      <c r="B118" s="189" t="s">
        <v>463</v>
      </c>
      <c r="C118" s="188">
        <v>2</v>
      </c>
      <c r="D118" s="189" t="s">
        <v>200</v>
      </c>
      <c r="E118" s="188">
        <v>35</v>
      </c>
      <c r="F118" s="189" t="s">
        <v>418</v>
      </c>
      <c r="G118" s="188">
        <v>3502</v>
      </c>
      <c r="H118" s="189" t="s">
        <v>419</v>
      </c>
      <c r="I118" s="188">
        <v>3502</v>
      </c>
      <c r="J118" s="189" t="s">
        <v>420</v>
      </c>
      <c r="K118" s="191" t="s">
        <v>421</v>
      </c>
      <c r="L118" s="186">
        <v>3502007</v>
      </c>
      <c r="M118" s="191" t="s">
        <v>560</v>
      </c>
      <c r="N118" s="186">
        <v>3502007</v>
      </c>
      <c r="O118" s="189" t="s">
        <v>560</v>
      </c>
      <c r="P118" s="188" t="s">
        <v>428</v>
      </c>
      <c r="Q118" s="191" t="s">
        <v>429</v>
      </c>
      <c r="R118" s="188">
        <v>350200700</v>
      </c>
      <c r="S118" s="190" t="s">
        <v>429</v>
      </c>
      <c r="T118" s="192" t="s">
        <v>69</v>
      </c>
      <c r="U118" s="188">
        <v>5</v>
      </c>
      <c r="V118" s="188"/>
      <c r="W118" s="194">
        <f t="shared" si="7"/>
        <v>5</v>
      </c>
      <c r="X118" s="194">
        <v>4</v>
      </c>
      <c r="Y118" s="195">
        <v>2020003630085</v>
      </c>
      <c r="Z118" s="183" t="s">
        <v>558</v>
      </c>
      <c r="AA118" s="189" t="s">
        <v>559</v>
      </c>
      <c r="AB118" s="180"/>
      <c r="AC118" s="180"/>
      <c r="AD118" s="180"/>
      <c r="AE118" s="180"/>
      <c r="AF118" s="180"/>
      <c r="AG118" s="180"/>
      <c r="AH118" s="197">
        <f>18000000+7786666+76000000</f>
        <v>101786666</v>
      </c>
      <c r="AI118" s="197"/>
      <c r="AJ118" s="197"/>
      <c r="AK118" s="197"/>
      <c r="AL118" s="187">
        <f t="shared" si="5"/>
        <v>101786666</v>
      </c>
      <c r="AM118" s="281" t="s">
        <v>9</v>
      </c>
    </row>
    <row r="119" spans="1:39" s="271" customFormat="1" ht="66.75" customHeight="1">
      <c r="A119" s="188">
        <v>312</v>
      </c>
      <c r="B119" s="189" t="s">
        <v>463</v>
      </c>
      <c r="C119" s="188">
        <v>3</v>
      </c>
      <c r="D119" s="189" t="s">
        <v>212</v>
      </c>
      <c r="E119" s="188">
        <v>32</v>
      </c>
      <c r="F119" s="189" t="s">
        <v>227</v>
      </c>
      <c r="G119" s="188" t="s">
        <v>561</v>
      </c>
      <c r="H119" s="189" t="s">
        <v>562</v>
      </c>
      <c r="I119" s="188" t="s">
        <v>561</v>
      </c>
      <c r="J119" s="189" t="s">
        <v>563</v>
      </c>
      <c r="K119" s="189" t="s">
        <v>230</v>
      </c>
      <c r="L119" s="186">
        <v>3201013</v>
      </c>
      <c r="M119" s="191" t="s">
        <v>564</v>
      </c>
      <c r="N119" s="186">
        <v>3201013</v>
      </c>
      <c r="O119" s="189" t="s">
        <v>564</v>
      </c>
      <c r="P119" s="181" t="s">
        <v>565</v>
      </c>
      <c r="Q119" s="191" t="s">
        <v>566</v>
      </c>
      <c r="R119" s="181">
        <v>320101300</v>
      </c>
      <c r="S119" s="191" t="s">
        <v>566</v>
      </c>
      <c r="T119" s="282" t="s">
        <v>157</v>
      </c>
      <c r="U119" s="194">
        <v>1</v>
      </c>
      <c r="V119" s="194"/>
      <c r="W119" s="194">
        <f t="shared" si="7"/>
        <v>1</v>
      </c>
      <c r="X119" s="194">
        <v>0.2</v>
      </c>
      <c r="Y119" s="195">
        <v>2020003630027</v>
      </c>
      <c r="Z119" s="183" t="s">
        <v>567</v>
      </c>
      <c r="AA119" s="189" t="s">
        <v>568</v>
      </c>
      <c r="AB119" s="264"/>
      <c r="AC119" s="264"/>
      <c r="AD119" s="264"/>
      <c r="AE119" s="264"/>
      <c r="AF119" s="264"/>
      <c r="AG119" s="264"/>
      <c r="AH119" s="197">
        <f>32000000+12600000+6000000+44055000</f>
        <v>94655000</v>
      </c>
      <c r="AI119" s="197"/>
      <c r="AJ119" s="197"/>
      <c r="AK119" s="197"/>
      <c r="AL119" s="187">
        <f t="shared" si="5"/>
        <v>94655000</v>
      </c>
      <c r="AM119" s="281" t="s">
        <v>9</v>
      </c>
    </row>
    <row r="120" spans="1:39" s="200" customFormat="1" ht="66.75" customHeight="1">
      <c r="A120" s="188">
        <v>312</v>
      </c>
      <c r="B120" s="189" t="s">
        <v>463</v>
      </c>
      <c r="C120" s="188">
        <v>3</v>
      </c>
      <c r="D120" s="189" t="s">
        <v>212</v>
      </c>
      <c r="E120" s="188">
        <v>32</v>
      </c>
      <c r="F120" s="189" t="s">
        <v>227</v>
      </c>
      <c r="G120" s="188" t="s">
        <v>561</v>
      </c>
      <c r="H120" s="189" t="s">
        <v>562</v>
      </c>
      <c r="I120" s="188" t="s">
        <v>561</v>
      </c>
      <c r="J120" s="189" t="s">
        <v>563</v>
      </c>
      <c r="K120" s="189" t="s">
        <v>230</v>
      </c>
      <c r="L120" s="186">
        <v>3201008</v>
      </c>
      <c r="M120" s="191" t="s">
        <v>569</v>
      </c>
      <c r="N120" s="186">
        <v>3201008</v>
      </c>
      <c r="O120" s="189" t="s">
        <v>569</v>
      </c>
      <c r="P120" s="181" t="s">
        <v>570</v>
      </c>
      <c r="Q120" s="191" t="s">
        <v>571</v>
      </c>
      <c r="R120" s="181">
        <v>320100805</v>
      </c>
      <c r="S120" s="191" t="s">
        <v>571</v>
      </c>
      <c r="T120" s="282" t="s">
        <v>157</v>
      </c>
      <c r="U120" s="194">
        <v>3</v>
      </c>
      <c r="V120" s="194">
        <v>3</v>
      </c>
      <c r="W120" s="194">
        <f t="shared" si="7"/>
        <v>6</v>
      </c>
      <c r="X120" s="194">
        <v>0</v>
      </c>
      <c r="Y120" s="195">
        <v>2020003630027</v>
      </c>
      <c r="Z120" s="183" t="s">
        <v>567</v>
      </c>
      <c r="AA120" s="189" t="s">
        <v>568</v>
      </c>
      <c r="AB120" s="264"/>
      <c r="AC120" s="264"/>
      <c r="AD120" s="264"/>
      <c r="AE120" s="264"/>
      <c r="AF120" s="264"/>
      <c r="AG120" s="264"/>
      <c r="AH120" s="197">
        <f>50000000+18000000+50000000-17000000</f>
        <v>101000000</v>
      </c>
      <c r="AI120" s="197"/>
      <c r="AJ120" s="197"/>
      <c r="AK120" s="197"/>
      <c r="AL120" s="187">
        <f t="shared" si="5"/>
        <v>101000000</v>
      </c>
      <c r="AM120" s="281" t="s">
        <v>9</v>
      </c>
    </row>
    <row r="121" spans="1:39" s="290" customFormat="1" ht="66.75" customHeight="1">
      <c r="A121" s="188">
        <v>312</v>
      </c>
      <c r="B121" s="189" t="s">
        <v>463</v>
      </c>
      <c r="C121" s="188">
        <v>3</v>
      </c>
      <c r="D121" s="189" t="s">
        <v>212</v>
      </c>
      <c r="E121" s="188">
        <v>32</v>
      </c>
      <c r="F121" s="189" t="s">
        <v>227</v>
      </c>
      <c r="G121" s="188">
        <v>3202</v>
      </c>
      <c r="H121" s="189" t="s">
        <v>572</v>
      </c>
      <c r="I121" s="188">
        <v>3202</v>
      </c>
      <c r="J121" s="189" t="s">
        <v>573</v>
      </c>
      <c r="K121" s="189" t="s">
        <v>230</v>
      </c>
      <c r="L121" s="186">
        <v>3202037</v>
      </c>
      <c r="M121" s="191" t="s">
        <v>574</v>
      </c>
      <c r="N121" s="186">
        <v>3202037</v>
      </c>
      <c r="O121" s="189" t="s">
        <v>574</v>
      </c>
      <c r="P121" s="181" t="s">
        <v>575</v>
      </c>
      <c r="Q121" s="191" t="s">
        <v>576</v>
      </c>
      <c r="R121" s="181" t="s">
        <v>575</v>
      </c>
      <c r="S121" s="191" t="s">
        <v>576</v>
      </c>
      <c r="T121" s="282" t="s">
        <v>157</v>
      </c>
      <c r="U121" s="194">
        <v>40</v>
      </c>
      <c r="V121" s="194">
        <v>139</v>
      </c>
      <c r="W121" s="194">
        <f t="shared" si="7"/>
        <v>179</v>
      </c>
      <c r="X121" s="194">
        <v>68</v>
      </c>
      <c r="Y121" s="195">
        <v>2020003630086</v>
      </c>
      <c r="Z121" s="183" t="s">
        <v>577</v>
      </c>
      <c r="AA121" s="189" t="s">
        <v>578</v>
      </c>
      <c r="AB121" s="180"/>
      <c r="AC121" s="180"/>
      <c r="AD121" s="180"/>
      <c r="AE121" s="180"/>
      <c r="AF121" s="180"/>
      <c r="AG121" s="180"/>
      <c r="AH121" s="197">
        <f>50000000+80000000</f>
        <v>130000000</v>
      </c>
      <c r="AI121" s="197"/>
      <c r="AJ121" s="197"/>
      <c r="AK121" s="197"/>
      <c r="AL121" s="187">
        <f t="shared" si="5"/>
        <v>130000000</v>
      </c>
      <c r="AM121" s="281" t="s">
        <v>9</v>
      </c>
    </row>
    <row r="122" spans="1:39" s="200" customFormat="1" ht="66.75" customHeight="1">
      <c r="A122" s="188">
        <v>312</v>
      </c>
      <c r="B122" s="189" t="s">
        <v>463</v>
      </c>
      <c r="C122" s="188">
        <v>3</v>
      </c>
      <c r="D122" s="189" t="s">
        <v>212</v>
      </c>
      <c r="E122" s="188">
        <v>32</v>
      </c>
      <c r="F122" s="189" t="s">
        <v>227</v>
      </c>
      <c r="G122" s="188">
        <v>3202</v>
      </c>
      <c r="H122" s="189" t="s">
        <v>572</v>
      </c>
      <c r="I122" s="188">
        <v>3202</v>
      </c>
      <c r="J122" s="189" t="s">
        <v>573</v>
      </c>
      <c r="K122" s="189" t="s">
        <v>230</v>
      </c>
      <c r="L122" s="188" t="s">
        <v>61</v>
      </c>
      <c r="M122" s="191" t="s">
        <v>579</v>
      </c>
      <c r="N122" s="274">
        <v>3202037</v>
      </c>
      <c r="O122" s="189" t="s">
        <v>574</v>
      </c>
      <c r="P122" s="188" t="s">
        <v>61</v>
      </c>
      <c r="Q122" s="191" t="s">
        <v>580</v>
      </c>
      <c r="R122" s="274">
        <v>320203700</v>
      </c>
      <c r="S122" s="191" t="s">
        <v>581</v>
      </c>
      <c r="T122" s="282" t="s">
        <v>157</v>
      </c>
      <c r="U122" s="194">
        <v>60</v>
      </c>
      <c r="V122" s="194"/>
      <c r="W122" s="194">
        <f t="shared" si="7"/>
        <v>60</v>
      </c>
      <c r="X122" s="194">
        <v>18</v>
      </c>
      <c r="Y122" s="195">
        <v>2020003630086</v>
      </c>
      <c r="Z122" s="183" t="s">
        <v>577</v>
      </c>
      <c r="AA122" s="189" t="s">
        <v>578</v>
      </c>
      <c r="AB122" s="180"/>
      <c r="AC122" s="180"/>
      <c r="AD122" s="180"/>
      <c r="AE122" s="180"/>
      <c r="AF122" s="180"/>
      <c r="AG122" s="180"/>
      <c r="AH122" s="187">
        <f>667344905+989507091+175388039</f>
        <v>1832240035</v>
      </c>
      <c r="AI122" s="197"/>
      <c r="AJ122" s="197"/>
      <c r="AK122" s="197"/>
      <c r="AL122" s="187">
        <f t="shared" si="5"/>
        <v>1832240035</v>
      </c>
      <c r="AM122" s="281" t="s">
        <v>9</v>
      </c>
    </row>
    <row r="123" spans="1:39" s="200" customFormat="1" ht="66.75" customHeight="1">
      <c r="A123" s="188">
        <v>312</v>
      </c>
      <c r="B123" s="189" t="s">
        <v>463</v>
      </c>
      <c r="C123" s="188">
        <v>3</v>
      </c>
      <c r="D123" s="189" t="s">
        <v>212</v>
      </c>
      <c r="E123" s="188">
        <v>32</v>
      </c>
      <c r="F123" s="189" t="s">
        <v>227</v>
      </c>
      <c r="G123" s="188">
        <v>3202</v>
      </c>
      <c r="H123" s="189" t="s">
        <v>572</v>
      </c>
      <c r="I123" s="188">
        <v>3202</v>
      </c>
      <c r="J123" s="189" t="s">
        <v>573</v>
      </c>
      <c r="K123" s="189" t="s">
        <v>230</v>
      </c>
      <c r="L123" s="188">
        <v>3202017</v>
      </c>
      <c r="M123" s="191" t="s">
        <v>582</v>
      </c>
      <c r="N123" s="186">
        <v>3202043</v>
      </c>
      <c r="O123" s="189" t="s">
        <v>583</v>
      </c>
      <c r="P123" s="188" t="s">
        <v>584</v>
      </c>
      <c r="Q123" s="191" t="s">
        <v>585</v>
      </c>
      <c r="R123" s="181">
        <v>320204300</v>
      </c>
      <c r="S123" s="191" t="s">
        <v>586</v>
      </c>
      <c r="T123" s="194" t="s">
        <v>69</v>
      </c>
      <c r="U123" s="291">
        <v>1</v>
      </c>
      <c r="V123" s="291"/>
      <c r="W123" s="194">
        <f t="shared" si="7"/>
        <v>1</v>
      </c>
      <c r="X123" s="194">
        <v>0.1</v>
      </c>
      <c r="Y123" s="195">
        <v>2020003630086</v>
      </c>
      <c r="Z123" s="183" t="s">
        <v>577</v>
      </c>
      <c r="AA123" s="189" t="s">
        <v>578</v>
      </c>
      <c r="AB123" s="180"/>
      <c r="AC123" s="180"/>
      <c r="AD123" s="180"/>
      <c r="AE123" s="180"/>
      <c r="AF123" s="180"/>
      <c r="AG123" s="180"/>
      <c r="AH123" s="187">
        <f>286004959+329835697+7350000</f>
        <v>623190656</v>
      </c>
      <c r="AI123" s="197"/>
      <c r="AJ123" s="197"/>
      <c r="AK123" s="197"/>
      <c r="AL123" s="187">
        <f t="shared" si="5"/>
        <v>623190656</v>
      </c>
      <c r="AM123" s="281" t="s">
        <v>9</v>
      </c>
    </row>
    <row r="124" spans="1:39" s="200" customFormat="1" ht="66.75" customHeight="1">
      <c r="A124" s="188">
        <v>312</v>
      </c>
      <c r="B124" s="189" t="s">
        <v>463</v>
      </c>
      <c r="C124" s="188">
        <v>3</v>
      </c>
      <c r="D124" s="189" t="s">
        <v>212</v>
      </c>
      <c r="E124" s="188">
        <v>32</v>
      </c>
      <c r="F124" s="189" t="s">
        <v>227</v>
      </c>
      <c r="G124" s="188">
        <v>3202</v>
      </c>
      <c r="H124" s="189" t="s">
        <v>572</v>
      </c>
      <c r="I124" s="188">
        <v>3202</v>
      </c>
      <c r="J124" s="189" t="s">
        <v>573</v>
      </c>
      <c r="K124" s="189" t="s">
        <v>230</v>
      </c>
      <c r="L124" s="188" t="s">
        <v>61</v>
      </c>
      <c r="M124" s="191" t="s">
        <v>587</v>
      </c>
      <c r="N124" s="186">
        <v>3202014</v>
      </c>
      <c r="O124" s="189" t="s">
        <v>588</v>
      </c>
      <c r="P124" s="188" t="s">
        <v>61</v>
      </c>
      <c r="Q124" s="191" t="s">
        <v>589</v>
      </c>
      <c r="R124" s="181">
        <v>320201402</v>
      </c>
      <c r="S124" s="191" t="s">
        <v>590</v>
      </c>
      <c r="T124" s="194" t="s">
        <v>69</v>
      </c>
      <c r="U124" s="291">
        <v>1</v>
      </c>
      <c r="V124" s="291"/>
      <c r="W124" s="194">
        <f t="shared" si="7"/>
        <v>1</v>
      </c>
      <c r="X124" s="194">
        <v>0.1</v>
      </c>
      <c r="Y124" s="195">
        <v>2020003630028</v>
      </c>
      <c r="Z124" s="183" t="s">
        <v>591</v>
      </c>
      <c r="AA124" s="189" t="s">
        <v>592</v>
      </c>
      <c r="AB124" s="180"/>
      <c r="AC124" s="180"/>
      <c r="AD124" s="180"/>
      <c r="AE124" s="180"/>
      <c r="AF124" s="180"/>
      <c r="AG124" s="180"/>
      <c r="AH124" s="197">
        <f>36000000+12000000+28350000-14500000</f>
        <v>61850000</v>
      </c>
      <c r="AI124" s="197"/>
      <c r="AJ124" s="197"/>
      <c r="AK124" s="197"/>
      <c r="AL124" s="187">
        <f t="shared" si="5"/>
        <v>61850000</v>
      </c>
      <c r="AM124" s="281" t="s">
        <v>9</v>
      </c>
    </row>
    <row r="125" spans="1:39" s="200" customFormat="1" ht="66.75" customHeight="1">
      <c r="A125" s="188">
        <v>312</v>
      </c>
      <c r="B125" s="189" t="s">
        <v>463</v>
      </c>
      <c r="C125" s="188">
        <v>3</v>
      </c>
      <c r="D125" s="189" t="s">
        <v>212</v>
      </c>
      <c r="E125" s="188">
        <v>32</v>
      </c>
      <c r="F125" s="189" t="s">
        <v>227</v>
      </c>
      <c r="G125" s="188">
        <v>3202</v>
      </c>
      <c r="H125" s="189" t="s">
        <v>572</v>
      </c>
      <c r="I125" s="188">
        <v>3202</v>
      </c>
      <c r="J125" s="189" t="s">
        <v>573</v>
      </c>
      <c r="K125" s="189" t="s">
        <v>230</v>
      </c>
      <c r="L125" s="188" t="s">
        <v>61</v>
      </c>
      <c r="M125" s="191" t="s">
        <v>593</v>
      </c>
      <c r="N125" s="188">
        <v>3202014</v>
      </c>
      <c r="O125" s="189" t="s">
        <v>588</v>
      </c>
      <c r="P125" s="188" t="s">
        <v>61</v>
      </c>
      <c r="Q125" s="191" t="s">
        <v>594</v>
      </c>
      <c r="R125" s="188">
        <v>320201402</v>
      </c>
      <c r="S125" s="191" t="s">
        <v>590</v>
      </c>
      <c r="T125" s="282" t="s">
        <v>157</v>
      </c>
      <c r="U125" s="291">
        <v>1</v>
      </c>
      <c r="V125" s="291"/>
      <c r="W125" s="194">
        <f t="shared" si="7"/>
        <v>1</v>
      </c>
      <c r="X125" s="194">
        <v>0.4</v>
      </c>
      <c r="Y125" s="195">
        <v>2020003630087</v>
      </c>
      <c r="Z125" s="190" t="s">
        <v>595</v>
      </c>
      <c r="AA125" s="189" t="s">
        <v>596</v>
      </c>
      <c r="AB125" s="180"/>
      <c r="AC125" s="180"/>
      <c r="AD125" s="180"/>
      <c r="AE125" s="180"/>
      <c r="AF125" s="180"/>
      <c r="AG125" s="180"/>
      <c r="AH125" s="197">
        <f>54000000+21200000+128250000+20000000+59500000</f>
        <v>282950000</v>
      </c>
      <c r="AI125" s="197"/>
      <c r="AJ125" s="197"/>
      <c r="AK125" s="197"/>
      <c r="AL125" s="187">
        <f t="shared" si="5"/>
        <v>282950000</v>
      </c>
      <c r="AM125" s="281" t="s">
        <v>9</v>
      </c>
    </row>
    <row r="126" spans="1:39" s="200" customFormat="1" ht="66.75" customHeight="1">
      <c r="A126" s="188">
        <v>312</v>
      </c>
      <c r="B126" s="189" t="s">
        <v>463</v>
      </c>
      <c r="C126" s="188">
        <v>3</v>
      </c>
      <c r="D126" s="189" t="s">
        <v>212</v>
      </c>
      <c r="E126" s="188">
        <v>32</v>
      </c>
      <c r="F126" s="189" t="s">
        <v>227</v>
      </c>
      <c r="G126" s="188" t="s">
        <v>597</v>
      </c>
      <c r="H126" s="189" t="s">
        <v>598</v>
      </c>
      <c r="I126" s="188" t="s">
        <v>597</v>
      </c>
      <c r="J126" s="189" t="s">
        <v>599</v>
      </c>
      <c r="K126" s="189" t="s">
        <v>230</v>
      </c>
      <c r="L126" s="186">
        <v>3204012</v>
      </c>
      <c r="M126" s="191" t="s">
        <v>600</v>
      </c>
      <c r="N126" s="186">
        <v>3204012</v>
      </c>
      <c r="O126" s="189" t="s">
        <v>600</v>
      </c>
      <c r="P126" s="181" t="s">
        <v>601</v>
      </c>
      <c r="Q126" s="191" t="s">
        <v>602</v>
      </c>
      <c r="R126" s="181" t="s">
        <v>601</v>
      </c>
      <c r="S126" s="191" t="s">
        <v>602</v>
      </c>
      <c r="T126" s="282" t="s">
        <v>157</v>
      </c>
      <c r="U126" s="194">
        <v>5</v>
      </c>
      <c r="V126" s="194"/>
      <c r="W126" s="194">
        <f t="shared" si="7"/>
        <v>5</v>
      </c>
      <c r="X126" s="194">
        <v>8</v>
      </c>
      <c r="Y126" s="195">
        <v>2020003630029</v>
      </c>
      <c r="Z126" s="183" t="s">
        <v>603</v>
      </c>
      <c r="AA126" s="189" t="s">
        <v>604</v>
      </c>
      <c r="AB126" s="180"/>
      <c r="AC126" s="180"/>
      <c r="AD126" s="180"/>
      <c r="AE126" s="180"/>
      <c r="AF126" s="180"/>
      <c r="AG126" s="180"/>
      <c r="AH126" s="197">
        <f>120000000+48000000+30000000-24300000</f>
        <v>173700000</v>
      </c>
      <c r="AI126" s="197"/>
      <c r="AJ126" s="197"/>
      <c r="AK126" s="197"/>
      <c r="AL126" s="187">
        <f t="shared" si="5"/>
        <v>173700000</v>
      </c>
      <c r="AM126" s="281" t="s">
        <v>9</v>
      </c>
    </row>
    <row r="127" spans="1:39" s="200" customFormat="1" ht="66.75" customHeight="1">
      <c r="A127" s="188">
        <v>312</v>
      </c>
      <c r="B127" s="189" t="s">
        <v>463</v>
      </c>
      <c r="C127" s="188">
        <v>3</v>
      </c>
      <c r="D127" s="189" t="s">
        <v>212</v>
      </c>
      <c r="E127" s="188">
        <v>32</v>
      </c>
      <c r="F127" s="189" t="s">
        <v>227</v>
      </c>
      <c r="G127" s="188">
        <v>3205</v>
      </c>
      <c r="H127" s="189" t="s">
        <v>228</v>
      </c>
      <c r="I127" s="188">
        <v>3205</v>
      </c>
      <c r="J127" s="189" t="s">
        <v>229</v>
      </c>
      <c r="K127" s="189" t="s">
        <v>230</v>
      </c>
      <c r="L127" s="186" t="s">
        <v>605</v>
      </c>
      <c r="M127" s="191" t="s">
        <v>606</v>
      </c>
      <c r="N127" s="186" t="s">
        <v>605</v>
      </c>
      <c r="O127" s="189" t="s">
        <v>606</v>
      </c>
      <c r="P127" s="188" t="s">
        <v>607</v>
      </c>
      <c r="Q127" s="190" t="s">
        <v>608</v>
      </c>
      <c r="R127" s="188" t="s">
        <v>607</v>
      </c>
      <c r="S127" s="191" t="s">
        <v>608</v>
      </c>
      <c r="T127" s="282" t="s">
        <v>157</v>
      </c>
      <c r="U127" s="194">
        <v>300</v>
      </c>
      <c r="V127" s="194"/>
      <c r="W127" s="194">
        <f t="shared" si="7"/>
        <v>300</v>
      </c>
      <c r="X127" s="194">
        <v>0</v>
      </c>
      <c r="Y127" s="195">
        <v>2020003630030</v>
      </c>
      <c r="Z127" s="183" t="s">
        <v>609</v>
      </c>
      <c r="AA127" s="189" t="s">
        <v>610</v>
      </c>
      <c r="AB127" s="276"/>
      <c r="AC127" s="180"/>
      <c r="AD127" s="180"/>
      <c r="AE127" s="180"/>
      <c r="AF127" s="180"/>
      <c r="AG127" s="180"/>
      <c r="AH127" s="197">
        <f>20000000-19855000</f>
        <v>145000</v>
      </c>
      <c r="AI127" s="197"/>
      <c r="AJ127" s="197"/>
      <c r="AK127" s="197"/>
      <c r="AL127" s="187">
        <f t="shared" si="5"/>
        <v>145000</v>
      </c>
      <c r="AM127" s="281" t="s">
        <v>9</v>
      </c>
    </row>
    <row r="128" spans="1:39" s="200" customFormat="1" ht="66.75" customHeight="1">
      <c r="A128" s="188">
        <v>312</v>
      </c>
      <c r="B128" s="189" t="s">
        <v>463</v>
      </c>
      <c r="C128" s="188">
        <v>3</v>
      </c>
      <c r="D128" s="189" t="s">
        <v>212</v>
      </c>
      <c r="E128" s="188">
        <v>32</v>
      </c>
      <c r="F128" s="189" t="s">
        <v>227</v>
      </c>
      <c r="G128" s="188">
        <v>3205</v>
      </c>
      <c r="H128" s="189" t="s">
        <v>228</v>
      </c>
      <c r="I128" s="188">
        <v>3205</v>
      </c>
      <c r="J128" s="189" t="s">
        <v>229</v>
      </c>
      <c r="K128" s="189" t="s">
        <v>230</v>
      </c>
      <c r="L128" s="186" t="s">
        <v>611</v>
      </c>
      <c r="M128" s="191" t="s">
        <v>612</v>
      </c>
      <c r="N128" s="186" t="s">
        <v>611</v>
      </c>
      <c r="O128" s="189" t="s">
        <v>612</v>
      </c>
      <c r="P128" s="188" t="s">
        <v>613</v>
      </c>
      <c r="Q128" s="190" t="s">
        <v>614</v>
      </c>
      <c r="R128" s="188" t="s">
        <v>613</v>
      </c>
      <c r="S128" s="191" t="s">
        <v>614</v>
      </c>
      <c r="T128" s="282" t="s">
        <v>157</v>
      </c>
      <c r="U128" s="194">
        <v>20</v>
      </c>
      <c r="V128" s="194">
        <v>14</v>
      </c>
      <c r="W128" s="194">
        <f t="shared" si="7"/>
        <v>34</v>
      </c>
      <c r="X128" s="194">
        <v>10</v>
      </c>
      <c r="Y128" s="195">
        <v>2020003630030</v>
      </c>
      <c r="Z128" s="183" t="s">
        <v>609</v>
      </c>
      <c r="AA128" s="189" t="s">
        <v>610</v>
      </c>
      <c r="AB128" s="276"/>
      <c r="AC128" s="180"/>
      <c r="AD128" s="180"/>
      <c r="AE128" s="180"/>
      <c r="AF128" s="180"/>
      <c r="AG128" s="180"/>
      <c r="AH128" s="197">
        <f>20000000+5234007.33+7350000-8200000</f>
        <v>24384007.329999998</v>
      </c>
      <c r="AI128" s="197"/>
      <c r="AJ128" s="197"/>
      <c r="AK128" s="197"/>
      <c r="AL128" s="187">
        <f t="shared" si="5"/>
        <v>24384007.329999998</v>
      </c>
      <c r="AM128" s="281" t="s">
        <v>9</v>
      </c>
    </row>
    <row r="129" spans="1:39" s="200" customFormat="1" ht="66.75" customHeight="1">
      <c r="A129" s="188">
        <v>312</v>
      </c>
      <c r="B129" s="189" t="s">
        <v>463</v>
      </c>
      <c r="C129" s="188">
        <v>3</v>
      </c>
      <c r="D129" s="189" t="s">
        <v>212</v>
      </c>
      <c r="E129" s="188">
        <v>32</v>
      </c>
      <c r="F129" s="189" t="s">
        <v>227</v>
      </c>
      <c r="G129" s="188">
        <v>3205</v>
      </c>
      <c r="H129" s="189" t="s">
        <v>228</v>
      </c>
      <c r="I129" s="188">
        <v>3205</v>
      </c>
      <c r="J129" s="189" t="s">
        <v>229</v>
      </c>
      <c r="K129" s="189" t="s">
        <v>230</v>
      </c>
      <c r="L129" s="186">
        <v>3205010</v>
      </c>
      <c r="M129" s="191" t="s">
        <v>231</v>
      </c>
      <c r="N129" s="186">
        <v>3205010</v>
      </c>
      <c r="O129" s="189" t="s">
        <v>231</v>
      </c>
      <c r="P129" s="188" t="s">
        <v>232</v>
      </c>
      <c r="Q129" s="190" t="s">
        <v>233</v>
      </c>
      <c r="R129" s="188">
        <v>320501000</v>
      </c>
      <c r="S129" s="191" t="s">
        <v>233</v>
      </c>
      <c r="T129" s="282" t="s">
        <v>157</v>
      </c>
      <c r="U129" s="194">
        <v>1</v>
      </c>
      <c r="V129" s="194">
        <v>1</v>
      </c>
      <c r="W129" s="194">
        <f t="shared" si="7"/>
        <v>2</v>
      </c>
      <c r="X129" s="194">
        <v>1</v>
      </c>
      <c r="Y129" s="195">
        <v>2020003630030</v>
      </c>
      <c r="Z129" s="183" t="s">
        <v>609</v>
      </c>
      <c r="AA129" s="189" t="s">
        <v>610</v>
      </c>
      <c r="AB129" s="276"/>
      <c r="AC129" s="180"/>
      <c r="AD129" s="180"/>
      <c r="AE129" s="180"/>
      <c r="AF129" s="180"/>
      <c r="AG129" s="180"/>
      <c r="AH129" s="197">
        <v>42000000</v>
      </c>
      <c r="AI129" s="197"/>
      <c r="AJ129" s="197"/>
      <c r="AK129" s="197"/>
      <c r="AL129" s="187">
        <f t="shared" si="5"/>
        <v>42000000</v>
      </c>
      <c r="AM129" s="281" t="s">
        <v>9</v>
      </c>
    </row>
    <row r="130" spans="1:39" s="200" customFormat="1" ht="66.75" customHeight="1">
      <c r="A130" s="188">
        <v>312</v>
      </c>
      <c r="B130" s="189" t="s">
        <v>463</v>
      </c>
      <c r="C130" s="188">
        <v>3</v>
      </c>
      <c r="D130" s="189" t="s">
        <v>212</v>
      </c>
      <c r="E130" s="188">
        <v>32</v>
      </c>
      <c r="F130" s="189" t="s">
        <v>227</v>
      </c>
      <c r="G130" s="188" t="s">
        <v>615</v>
      </c>
      <c r="H130" s="189" t="s">
        <v>616</v>
      </c>
      <c r="I130" s="188" t="s">
        <v>615</v>
      </c>
      <c r="J130" s="189" t="s">
        <v>617</v>
      </c>
      <c r="K130" s="189" t="s">
        <v>230</v>
      </c>
      <c r="L130" s="186" t="s">
        <v>618</v>
      </c>
      <c r="M130" s="191" t="s">
        <v>619</v>
      </c>
      <c r="N130" s="186" t="s">
        <v>618</v>
      </c>
      <c r="O130" s="189" t="s">
        <v>619</v>
      </c>
      <c r="P130" s="181" t="s">
        <v>620</v>
      </c>
      <c r="Q130" s="191" t="s">
        <v>621</v>
      </c>
      <c r="R130" s="181" t="s">
        <v>620</v>
      </c>
      <c r="S130" s="191" t="s">
        <v>621</v>
      </c>
      <c r="T130" s="282" t="s">
        <v>157</v>
      </c>
      <c r="U130" s="194">
        <v>4</v>
      </c>
      <c r="V130" s="194"/>
      <c r="W130" s="194">
        <f t="shared" si="7"/>
        <v>4</v>
      </c>
      <c r="X130" s="194">
        <v>4</v>
      </c>
      <c r="Y130" s="195">
        <v>2020003630088</v>
      </c>
      <c r="Z130" s="183" t="s">
        <v>622</v>
      </c>
      <c r="AA130" s="189" t="s">
        <v>623</v>
      </c>
      <c r="AB130" s="180"/>
      <c r="AC130" s="180"/>
      <c r="AD130" s="180"/>
      <c r="AE130" s="180"/>
      <c r="AF130" s="180"/>
      <c r="AG130" s="180"/>
      <c r="AH130" s="197">
        <f>25000000+7500000+83804574+20000000-59500000</f>
        <v>76804574</v>
      </c>
      <c r="AI130" s="197"/>
      <c r="AJ130" s="197"/>
      <c r="AK130" s="197"/>
      <c r="AL130" s="187">
        <f t="shared" si="5"/>
        <v>76804574</v>
      </c>
      <c r="AM130" s="281" t="s">
        <v>9</v>
      </c>
    </row>
    <row r="131" spans="1:39" s="200" customFormat="1" ht="66.75" customHeight="1">
      <c r="A131" s="188">
        <v>312</v>
      </c>
      <c r="B131" s="189" t="s">
        <v>463</v>
      </c>
      <c r="C131" s="188">
        <v>3</v>
      </c>
      <c r="D131" s="189" t="s">
        <v>212</v>
      </c>
      <c r="E131" s="188">
        <v>32</v>
      </c>
      <c r="F131" s="189" t="s">
        <v>227</v>
      </c>
      <c r="G131" s="188" t="s">
        <v>615</v>
      </c>
      <c r="H131" s="189" t="s">
        <v>616</v>
      </c>
      <c r="I131" s="188" t="s">
        <v>615</v>
      </c>
      <c r="J131" s="189" t="s">
        <v>617</v>
      </c>
      <c r="K131" s="189" t="s">
        <v>230</v>
      </c>
      <c r="L131" s="186">
        <v>3206014</v>
      </c>
      <c r="M131" s="191" t="s">
        <v>624</v>
      </c>
      <c r="N131" s="186">
        <v>3206014</v>
      </c>
      <c r="O131" s="189" t="s">
        <v>624</v>
      </c>
      <c r="P131" s="181" t="s">
        <v>625</v>
      </c>
      <c r="Q131" s="191" t="s">
        <v>626</v>
      </c>
      <c r="R131" s="181" t="s">
        <v>625</v>
      </c>
      <c r="S131" s="191" t="s">
        <v>626</v>
      </c>
      <c r="T131" s="282" t="s">
        <v>157</v>
      </c>
      <c r="U131" s="194">
        <v>2000</v>
      </c>
      <c r="V131" s="194"/>
      <c r="W131" s="194">
        <f t="shared" si="7"/>
        <v>2000</v>
      </c>
      <c r="X131" s="194">
        <v>7244</v>
      </c>
      <c r="Y131" s="195">
        <v>2020003630088</v>
      </c>
      <c r="Z131" s="183" t="s">
        <v>622</v>
      </c>
      <c r="AA131" s="189" t="s">
        <v>623</v>
      </c>
      <c r="AB131" s="180"/>
      <c r="AC131" s="180"/>
      <c r="AD131" s="180"/>
      <c r="AE131" s="180"/>
      <c r="AF131" s="180"/>
      <c r="AG131" s="180"/>
      <c r="AH131" s="197">
        <f>18000000+19200000</f>
        <v>37200000</v>
      </c>
      <c r="AI131" s="197"/>
      <c r="AJ131" s="197"/>
      <c r="AK131" s="197"/>
      <c r="AL131" s="187">
        <f t="shared" si="5"/>
        <v>37200000</v>
      </c>
      <c r="AM131" s="281" t="s">
        <v>9</v>
      </c>
    </row>
    <row r="132" spans="1:39" s="200" customFormat="1" ht="66.75" customHeight="1">
      <c r="A132" s="188">
        <v>312</v>
      </c>
      <c r="B132" s="189" t="s">
        <v>463</v>
      </c>
      <c r="C132" s="188">
        <v>3</v>
      </c>
      <c r="D132" s="189" t="s">
        <v>212</v>
      </c>
      <c r="E132" s="188">
        <v>32</v>
      </c>
      <c r="F132" s="189" t="s">
        <v>227</v>
      </c>
      <c r="G132" s="188" t="s">
        <v>615</v>
      </c>
      <c r="H132" s="189" t="s">
        <v>616</v>
      </c>
      <c r="I132" s="188" t="s">
        <v>615</v>
      </c>
      <c r="J132" s="189" t="s">
        <v>617</v>
      </c>
      <c r="K132" s="189" t="s">
        <v>230</v>
      </c>
      <c r="L132" s="186" t="s">
        <v>627</v>
      </c>
      <c r="M132" s="191" t="s">
        <v>628</v>
      </c>
      <c r="N132" s="186" t="s">
        <v>627</v>
      </c>
      <c r="O132" s="189" t="s">
        <v>628</v>
      </c>
      <c r="P132" s="181" t="s">
        <v>629</v>
      </c>
      <c r="Q132" s="191" t="s">
        <v>630</v>
      </c>
      <c r="R132" s="181" t="s">
        <v>629</v>
      </c>
      <c r="S132" s="191" t="s">
        <v>630</v>
      </c>
      <c r="T132" s="282" t="s">
        <v>157</v>
      </c>
      <c r="U132" s="194">
        <v>50</v>
      </c>
      <c r="V132" s="194"/>
      <c r="W132" s="194">
        <f t="shared" si="7"/>
        <v>50</v>
      </c>
      <c r="X132" s="194">
        <v>0</v>
      </c>
      <c r="Y132" s="195">
        <v>2020003630088</v>
      </c>
      <c r="Z132" s="183" t="s">
        <v>622</v>
      </c>
      <c r="AA132" s="189" t="s">
        <v>623</v>
      </c>
      <c r="AB132" s="180"/>
      <c r="AC132" s="180"/>
      <c r="AD132" s="180"/>
      <c r="AE132" s="180"/>
      <c r="AF132" s="180"/>
      <c r="AG132" s="180"/>
      <c r="AH132" s="197">
        <v>75000000</v>
      </c>
      <c r="AI132" s="197"/>
      <c r="AJ132" s="197"/>
      <c r="AK132" s="197"/>
      <c r="AL132" s="187">
        <f t="shared" si="5"/>
        <v>75000000</v>
      </c>
      <c r="AM132" s="281" t="s">
        <v>9</v>
      </c>
    </row>
    <row r="133" spans="1:39" s="200" customFormat="1" ht="66.75" customHeight="1">
      <c r="A133" s="188">
        <v>313</v>
      </c>
      <c r="B133" s="189" t="s">
        <v>1421</v>
      </c>
      <c r="C133" s="188">
        <v>4</v>
      </c>
      <c r="D133" s="189" t="s">
        <v>59</v>
      </c>
      <c r="E133" s="188">
        <v>45</v>
      </c>
      <c r="F133" s="189" t="s">
        <v>60</v>
      </c>
      <c r="G133" s="188" t="s">
        <v>61</v>
      </c>
      <c r="H133" s="189" t="s">
        <v>62</v>
      </c>
      <c r="I133" s="188">
        <v>4599</v>
      </c>
      <c r="J133" s="189" t="s">
        <v>63</v>
      </c>
      <c r="K133" s="189" t="s">
        <v>64</v>
      </c>
      <c r="L133" s="188" t="s">
        <v>61</v>
      </c>
      <c r="M133" s="191" t="s">
        <v>631</v>
      </c>
      <c r="N133" s="188">
        <v>4599023</v>
      </c>
      <c r="O133" s="189" t="s">
        <v>131</v>
      </c>
      <c r="P133" s="188" t="s">
        <v>61</v>
      </c>
      <c r="Q133" s="191" t="s">
        <v>632</v>
      </c>
      <c r="R133" s="188">
        <v>459902304</v>
      </c>
      <c r="S133" s="191" t="s">
        <v>633</v>
      </c>
      <c r="T133" s="291" t="s">
        <v>69</v>
      </c>
      <c r="U133" s="291">
        <v>1</v>
      </c>
      <c r="V133" s="291"/>
      <c r="W133" s="291">
        <f t="shared" si="7"/>
        <v>1</v>
      </c>
      <c r="X133" s="357">
        <v>0.7</v>
      </c>
      <c r="Y133" s="261">
        <v>2021003630005</v>
      </c>
      <c r="Z133" s="189" t="s">
        <v>634</v>
      </c>
      <c r="AA133" s="189" t="s">
        <v>635</v>
      </c>
      <c r="AB133" s="180"/>
      <c r="AC133" s="180"/>
      <c r="AD133" s="180"/>
      <c r="AE133" s="180"/>
      <c r="AF133" s="180"/>
      <c r="AG133" s="180"/>
      <c r="AH133" s="184">
        <f>125243430+85000000+200000000+230000000+62000000</f>
        <v>702243430</v>
      </c>
      <c r="AI133" s="180"/>
      <c r="AJ133" s="180"/>
      <c r="AK133" s="180"/>
      <c r="AL133" s="187">
        <f t="shared" si="5"/>
        <v>702243430</v>
      </c>
      <c r="AM133" s="190" t="s">
        <v>1422</v>
      </c>
    </row>
    <row r="134" spans="1:39" s="199" customFormat="1" ht="66.75" customHeight="1">
      <c r="A134" s="188">
        <v>313</v>
      </c>
      <c r="B134" s="189" t="s">
        <v>1421</v>
      </c>
      <c r="C134" s="188">
        <v>4</v>
      </c>
      <c r="D134" s="189" t="s">
        <v>59</v>
      </c>
      <c r="E134" s="188">
        <v>45</v>
      </c>
      <c r="F134" s="189" t="s">
        <v>60</v>
      </c>
      <c r="G134" s="188" t="s">
        <v>61</v>
      </c>
      <c r="H134" s="189" t="s">
        <v>62</v>
      </c>
      <c r="I134" s="188">
        <v>4599</v>
      </c>
      <c r="J134" s="189" t="s">
        <v>63</v>
      </c>
      <c r="K134" s="189" t="s">
        <v>64</v>
      </c>
      <c r="L134" s="188" t="s">
        <v>61</v>
      </c>
      <c r="M134" s="191" t="s">
        <v>636</v>
      </c>
      <c r="N134" s="188">
        <v>4599029</v>
      </c>
      <c r="O134" s="189" t="s">
        <v>82</v>
      </c>
      <c r="P134" s="188" t="s">
        <v>61</v>
      </c>
      <c r="Q134" s="191" t="s">
        <v>637</v>
      </c>
      <c r="R134" s="274">
        <v>459902900</v>
      </c>
      <c r="S134" s="191" t="s">
        <v>84</v>
      </c>
      <c r="T134" s="291" t="s">
        <v>69</v>
      </c>
      <c r="U134" s="291">
        <v>1</v>
      </c>
      <c r="V134" s="291"/>
      <c r="W134" s="291">
        <f t="shared" si="7"/>
        <v>1</v>
      </c>
      <c r="X134" s="291">
        <v>0.6</v>
      </c>
      <c r="Y134" s="195">
        <v>2020003630090</v>
      </c>
      <c r="Z134" s="189" t="s">
        <v>638</v>
      </c>
      <c r="AA134" s="189" t="s">
        <v>639</v>
      </c>
      <c r="AB134" s="180"/>
      <c r="AC134" s="180"/>
      <c r="AD134" s="180"/>
      <c r="AE134" s="180"/>
      <c r="AF134" s="180"/>
      <c r="AG134" s="180"/>
      <c r="AH134" s="184">
        <f>300000000+620000000+270000000+513000000+340000000+300000000+251000000</f>
        <v>2594000000</v>
      </c>
      <c r="AI134" s="180"/>
      <c r="AJ134" s="180"/>
      <c r="AK134" s="180"/>
      <c r="AL134" s="187">
        <f t="shared" si="5"/>
        <v>2594000000</v>
      </c>
      <c r="AM134" s="190" t="s">
        <v>2</v>
      </c>
    </row>
    <row r="135" spans="1:39" s="200" customFormat="1" ht="66.75" customHeight="1">
      <c r="A135" s="188">
        <v>313</v>
      </c>
      <c r="B135" s="189" t="s">
        <v>1421</v>
      </c>
      <c r="C135" s="188">
        <v>4</v>
      </c>
      <c r="D135" s="189" t="s">
        <v>59</v>
      </c>
      <c r="E135" s="188">
        <v>45</v>
      </c>
      <c r="F135" s="189" t="s">
        <v>60</v>
      </c>
      <c r="G135" s="188">
        <v>4502</v>
      </c>
      <c r="H135" s="189" t="s">
        <v>78</v>
      </c>
      <c r="I135" s="188">
        <v>4502</v>
      </c>
      <c r="J135" s="189" t="s">
        <v>79</v>
      </c>
      <c r="K135" s="189" t="s">
        <v>80</v>
      </c>
      <c r="L135" s="188" t="s">
        <v>61</v>
      </c>
      <c r="M135" s="191" t="s">
        <v>640</v>
      </c>
      <c r="N135" s="188">
        <v>4502001</v>
      </c>
      <c r="O135" s="189" t="s">
        <v>90</v>
      </c>
      <c r="P135" s="188" t="s">
        <v>61</v>
      </c>
      <c r="Q135" s="191" t="s">
        <v>641</v>
      </c>
      <c r="R135" s="188">
        <v>450200100</v>
      </c>
      <c r="S135" s="191" t="s">
        <v>92</v>
      </c>
      <c r="T135" s="291" t="s">
        <v>69</v>
      </c>
      <c r="U135" s="194">
        <v>30</v>
      </c>
      <c r="V135" s="194"/>
      <c r="W135" s="291">
        <f t="shared" si="7"/>
        <v>30</v>
      </c>
      <c r="X135" s="291">
        <v>20</v>
      </c>
      <c r="Y135" s="195">
        <v>2020003630031</v>
      </c>
      <c r="Z135" s="189" t="s">
        <v>642</v>
      </c>
      <c r="AA135" s="189" t="s">
        <v>643</v>
      </c>
      <c r="AB135" s="264"/>
      <c r="AC135" s="264"/>
      <c r="AD135" s="264"/>
      <c r="AE135" s="264"/>
      <c r="AF135" s="264"/>
      <c r="AG135" s="264"/>
      <c r="AH135" s="184">
        <f>145000000+45000000+300000000+35000000+270000000+67000000</f>
        <v>862000000</v>
      </c>
      <c r="AI135" s="264"/>
      <c r="AJ135" s="264"/>
      <c r="AK135" s="264"/>
      <c r="AL135" s="187">
        <f t="shared" ref="AL135:AL198" si="8">AB135+AC135+AD135+AE135+AF135+AG135+AH135+AI135+AK135+AJ135</f>
        <v>862000000</v>
      </c>
      <c r="AM135" s="190" t="s">
        <v>2</v>
      </c>
    </row>
    <row r="136" spans="1:39" s="361" customFormat="1" ht="66.75" customHeight="1">
      <c r="A136" s="195">
        <v>313</v>
      </c>
      <c r="B136" s="251" t="s">
        <v>1421</v>
      </c>
      <c r="C136" s="195">
        <v>4</v>
      </c>
      <c r="D136" s="251" t="s">
        <v>59</v>
      </c>
      <c r="E136" s="195">
        <v>45</v>
      </c>
      <c r="F136" s="251" t="s">
        <v>60</v>
      </c>
      <c r="G136" s="195" t="s">
        <v>61</v>
      </c>
      <c r="H136" s="251" t="s">
        <v>62</v>
      </c>
      <c r="I136" s="195">
        <v>4599</v>
      </c>
      <c r="J136" s="251" t="s">
        <v>63</v>
      </c>
      <c r="K136" s="251" t="s">
        <v>64</v>
      </c>
      <c r="L136" s="195" t="s">
        <v>61</v>
      </c>
      <c r="M136" s="191" t="s">
        <v>631</v>
      </c>
      <c r="N136" s="195">
        <v>4599023</v>
      </c>
      <c r="O136" s="251" t="s">
        <v>131</v>
      </c>
      <c r="P136" s="195" t="s">
        <v>61</v>
      </c>
      <c r="Q136" s="251" t="s">
        <v>632</v>
      </c>
      <c r="R136" s="195">
        <v>459902304</v>
      </c>
      <c r="S136" s="251" t="s">
        <v>633</v>
      </c>
      <c r="T136" s="358" t="s">
        <v>69</v>
      </c>
      <c r="U136" s="195">
        <v>1</v>
      </c>
      <c r="V136" s="195"/>
      <c r="W136" s="195">
        <f t="shared" si="7"/>
        <v>1</v>
      </c>
      <c r="X136" s="359">
        <v>0.7</v>
      </c>
      <c r="Y136" s="195">
        <v>2022003630012</v>
      </c>
      <c r="Z136" s="360" t="s">
        <v>1457</v>
      </c>
      <c r="AA136" s="360" t="s">
        <v>1458</v>
      </c>
      <c r="AB136" s="292"/>
      <c r="AC136" s="292"/>
      <c r="AD136" s="292"/>
      <c r="AE136" s="292"/>
      <c r="AF136" s="292"/>
      <c r="AG136" s="292"/>
      <c r="AH136" s="184">
        <v>400000000</v>
      </c>
      <c r="AI136" s="292"/>
      <c r="AJ136" s="292"/>
      <c r="AK136" s="293"/>
      <c r="AL136" s="187">
        <f t="shared" si="8"/>
        <v>400000000</v>
      </c>
      <c r="AM136" s="190" t="s">
        <v>2</v>
      </c>
    </row>
    <row r="137" spans="1:39" s="200" customFormat="1" ht="66.75" customHeight="1">
      <c r="A137" s="188">
        <v>314</v>
      </c>
      <c r="B137" s="189" t="s">
        <v>644</v>
      </c>
      <c r="C137" s="188">
        <v>1</v>
      </c>
      <c r="D137" s="189" t="s">
        <v>148</v>
      </c>
      <c r="E137" s="188">
        <v>22</v>
      </c>
      <c r="F137" s="189" t="s">
        <v>160</v>
      </c>
      <c r="G137" s="188">
        <v>2201</v>
      </c>
      <c r="H137" s="189" t="s">
        <v>298</v>
      </c>
      <c r="I137" s="188">
        <v>2201</v>
      </c>
      <c r="J137" s="189" t="s">
        <v>162</v>
      </c>
      <c r="K137" s="189" t="s">
        <v>645</v>
      </c>
      <c r="L137" s="188">
        <v>2201030</v>
      </c>
      <c r="M137" s="191" t="s">
        <v>646</v>
      </c>
      <c r="N137" s="188">
        <v>2201030</v>
      </c>
      <c r="O137" s="189" t="s">
        <v>646</v>
      </c>
      <c r="P137" s="277">
        <v>220103000</v>
      </c>
      <c r="Q137" s="191" t="s">
        <v>647</v>
      </c>
      <c r="R137" s="277">
        <v>220103000</v>
      </c>
      <c r="S137" s="191" t="s">
        <v>647</v>
      </c>
      <c r="T137" s="194" t="s">
        <v>69</v>
      </c>
      <c r="U137" s="194">
        <v>2500</v>
      </c>
      <c r="V137" s="194"/>
      <c r="W137" s="194">
        <f t="shared" si="7"/>
        <v>2500</v>
      </c>
      <c r="X137" s="194">
        <v>2106</v>
      </c>
      <c r="Y137" s="195">
        <v>2020003630091</v>
      </c>
      <c r="Z137" s="189" t="s">
        <v>648</v>
      </c>
      <c r="AA137" s="189" t="s">
        <v>649</v>
      </c>
      <c r="AB137" s="180"/>
      <c r="AC137" s="180">
        <v>0</v>
      </c>
      <c r="AD137" s="180"/>
      <c r="AE137" s="180"/>
      <c r="AF137" s="180">
        <f>1343000000-5000000+49044112-134564967+110813949</f>
        <v>1363293094</v>
      </c>
      <c r="AG137" s="180"/>
      <c r="AH137" s="184">
        <v>0</v>
      </c>
      <c r="AI137" s="180"/>
      <c r="AJ137" s="180"/>
      <c r="AK137" s="180">
        <v>0</v>
      </c>
      <c r="AL137" s="187">
        <f t="shared" si="8"/>
        <v>1363293094</v>
      </c>
      <c r="AM137" s="198" t="s">
        <v>5</v>
      </c>
    </row>
    <row r="138" spans="1:39" s="200" customFormat="1" ht="66.75" customHeight="1">
      <c r="A138" s="188">
        <v>314</v>
      </c>
      <c r="B138" s="189" t="s">
        <v>644</v>
      </c>
      <c r="C138" s="188">
        <v>1</v>
      </c>
      <c r="D138" s="189" t="s">
        <v>148</v>
      </c>
      <c r="E138" s="188">
        <v>22</v>
      </c>
      <c r="F138" s="189" t="s">
        <v>160</v>
      </c>
      <c r="G138" s="188">
        <v>2201</v>
      </c>
      <c r="H138" s="189" t="s">
        <v>298</v>
      </c>
      <c r="I138" s="188">
        <v>2201</v>
      </c>
      <c r="J138" s="189" t="s">
        <v>162</v>
      </c>
      <c r="K138" s="189" t="s">
        <v>650</v>
      </c>
      <c r="L138" s="188">
        <v>2201033</v>
      </c>
      <c r="M138" s="191" t="s">
        <v>651</v>
      </c>
      <c r="N138" s="188">
        <v>2201033</v>
      </c>
      <c r="O138" s="189" t="s">
        <v>651</v>
      </c>
      <c r="P138" s="277">
        <v>220103300</v>
      </c>
      <c r="Q138" s="191" t="s">
        <v>652</v>
      </c>
      <c r="R138" s="277">
        <v>220103300</v>
      </c>
      <c r="S138" s="191" t="s">
        <v>652</v>
      </c>
      <c r="T138" s="194" t="s">
        <v>157</v>
      </c>
      <c r="U138" s="194">
        <v>9000</v>
      </c>
      <c r="V138" s="194"/>
      <c r="W138" s="194">
        <f t="shared" si="7"/>
        <v>9000</v>
      </c>
      <c r="X138" s="194">
        <v>4586</v>
      </c>
      <c r="Y138" s="195">
        <v>2020003630091</v>
      </c>
      <c r="Z138" s="189" t="s">
        <v>648</v>
      </c>
      <c r="AA138" s="189" t="s">
        <v>649</v>
      </c>
      <c r="AB138" s="180"/>
      <c r="AC138" s="180">
        <v>0</v>
      </c>
      <c r="AD138" s="180"/>
      <c r="AE138" s="180"/>
      <c r="AF138" s="180">
        <v>0</v>
      </c>
      <c r="AG138" s="180"/>
      <c r="AH138" s="184">
        <f>25000000-10000000+17202500</f>
        <v>32202500</v>
      </c>
      <c r="AI138" s="180"/>
      <c r="AJ138" s="180"/>
      <c r="AK138" s="180">
        <v>0</v>
      </c>
      <c r="AL138" s="187">
        <f t="shared" si="8"/>
        <v>32202500</v>
      </c>
      <c r="AM138" s="198" t="s">
        <v>5</v>
      </c>
    </row>
    <row r="139" spans="1:39" s="200" customFormat="1" ht="66.75" customHeight="1">
      <c r="A139" s="188">
        <v>314</v>
      </c>
      <c r="B139" s="189" t="s">
        <v>644</v>
      </c>
      <c r="C139" s="188">
        <v>1</v>
      </c>
      <c r="D139" s="189" t="s">
        <v>148</v>
      </c>
      <c r="E139" s="188">
        <v>22</v>
      </c>
      <c r="F139" s="189" t="s">
        <v>160</v>
      </c>
      <c r="G139" s="188">
        <v>2201</v>
      </c>
      <c r="H139" s="189" t="s">
        <v>298</v>
      </c>
      <c r="I139" s="188">
        <v>2201</v>
      </c>
      <c r="J139" s="189" t="s">
        <v>162</v>
      </c>
      <c r="K139" s="189" t="s">
        <v>653</v>
      </c>
      <c r="L139" s="188">
        <v>2201032</v>
      </c>
      <c r="M139" s="191" t="s">
        <v>654</v>
      </c>
      <c r="N139" s="188">
        <v>2201032</v>
      </c>
      <c r="O139" s="189" t="s">
        <v>654</v>
      </c>
      <c r="P139" s="186">
        <v>220103200</v>
      </c>
      <c r="Q139" s="191" t="s">
        <v>655</v>
      </c>
      <c r="R139" s="186">
        <v>220103200</v>
      </c>
      <c r="S139" s="191" t="s">
        <v>655</v>
      </c>
      <c r="T139" s="194" t="s">
        <v>157</v>
      </c>
      <c r="U139" s="194">
        <v>200</v>
      </c>
      <c r="V139" s="194"/>
      <c r="W139" s="194">
        <f t="shared" si="7"/>
        <v>200</v>
      </c>
      <c r="X139" s="194">
        <v>392</v>
      </c>
      <c r="Y139" s="195">
        <v>2020003630091</v>
      </c>
      <c r="Z139" s="189" t="s">
        <v>648</v>
      </c>
      <c r="AA139" s="189" t="s">
        <v>649</v>
      </c>
      <c r="AB139" s="180"/>
      <c r="AC139" s="180">
        <v>0</v>
      </c>
      <c r="AD139" s="180"/>
      <c r="AE139" s="180"/>
      <c r="AF139" s="180">
        <v>0</v>
      </c>
      <c r="AG139" s="180"/>
      <c r="AH139" s="184">
        <f>5000000+39525000</f>
        <v>44525000</v>
      </c>
      <c r="AI139" s="180"/>
      <c r="AJ139" s="180"/>
      <c r="AK139" s="180">
        <v>0</v>
      </c>
      <c r="AL139" s="187">
        <f t="shared" si="8"/>
        <v>44525000</v>
      </c>
      <c r="AM139" s="198" t="s">
        <v>5</v>
      </c>
    </row>
    <row r="140" spans="1:39" s="200" customFormat="1" ht="66.75" customHeight="1">
      <c r="A140" s="188">
        <v>314</v>
      </c>
      <c r="B140" s="189" t="s">
        <v>644</v>
      </c>
      <c r="C140" s="188">
        <v>1</v>
      </c>
      <c r="D140" s="189" t="s">
        <v>148</v>
      </c>
      <c r="E140" s="188">
        <v>22</v>
      </c>
      <c r="F140" s="189" t="s">
        <v>160</v>
      </c>
      <c r="G140" s="188">
        <v>2201</v>
      </c>
      <c r="H140" s="189" t="s">
        <v>298</v>
      </c>
      <c r="I140" s="188">
        <v>2201</v>
      </c>
      <c r="J140" s="189" t="s">
        <v>162</v>
      </c>
      <c r="K140" s="189" t="s">
        <v>656</v>
      </c>
      <c r="L140" s="188">
        <v>2201055</v>
      </c>
      <c r="M140" s="191" t="s">
        <v>657</v>
      </c>
      <c r="N140" s="188">
        <v>2201055</v>
      </c>
      <c r="O140" s="189" t="s">
        <v>657</v>
      </c>
      <c r="P140" s="277">
        <v>220105500</v>
      </c>
      <c r="Q140" s="191" t="s">
        <v>658</v>
      </c>
      <c r="R140" s="277">
        <v>220105500</v>
      </c>
      <c r="S140" s="191" t="s">
        <v>658</v>
      </c>
      <c r="T140" s="194" t="s">
        <v>69</v>
      </c>
      <c r="U140" s="194">
        <v>1</v>
      </c>
      <c r="V140" s="194"/>
      <c r="W140" s="194">
        <f t="shared" si="7"/>
        <v>1</v>
      </c>
      <c r="X140" s="194">
        <v>0</v>
      </c>
      <c r="Y140" s="195">
        <v>2020003630091</v>
      </c>
      <c r="Z140" s="183" t="s">
        <v>648</v>
      </c>
      <c r="AA140" s="189" t="s">
        <v>649</v>
      </c>
      <c r="AB140" s="180"/>
      <c r="AC140" s="180">
        <v>0</v>
      </c>
      <c r="AD140" s="180"/>
      <c r="AE140" s="180"/>
      <c r="AF140" s="180">
        <f>60000000-39338851+1828007</f>
        <v>22489156</v>
      </c>
      <c r="AG140" s="180"/>
      <c r="AH140" s="184">
        <v>0</v>
      </c>
      <c r="AI140" s="180"/>
      <c r="AJ140" s="180"/>
      <c r="AK140" s="180">
        <v>0</v>
      </c>
      <c r="AL140" s="187">
        <f t="shared" si="8"/>
        <v>22489156</v>
      </c>
      <c r="AM140" s="198" t="s">
        <v>5</v>
      </c>
    </row>
    <row r="141" spans="1:39" s="200" customFormat="1" ht="66.75" customHeight="1">
      <c r="A141" s="188">
        <v>314</v>
      </c>
      <c r="B141" s="189" t="s">
        <v>644</v>
      </c>
      <c r="C141" s="188">
        <v>1</v>
      </c>
      <c r="D141" s="189" t="s">
        <v>148</v>
      </c>
      <c r="E141" s="188">
        <v>22</v>
      </c>
      <c r="F141" s="189" t="s">
        <v>160</v>
      </c>
      <c r="G141" s="188">
        <v>2201</v>
      </c>
      <c r="H141" s="189" t="s">
        <v>298</v>
      </c>
      <c r="I141" s="188">
        <v>2201</v>
      </c>
      <c r="J141" s="189" t="s">
        <v>162</v>
      </c>
      <c r="K141" s="189" t="s">
        <v>659</v>
      </c>
      <c r="L141" s="188">
        <v>2201067</v>
      </c>
      <c r="M141" s="191" t="s">
        <v>660</v>
      </c>
      <c r="N141" s="188">
        <v>2201067</v>
      </c>
      <c r="O141" s="189" t="s">
        <v>660</v>
      </c>
      <c r="P141" s="186">
        <v>220106700</v>
      </c>
      <c r="Q141" s="191" t="s">
        <v>661</v>
      </c>
      <c r="R141" s="186">
        <v>220106700</v>
      </c>
      <c r="S141" s="191" t="s">
        <v>661</v>
      </c>
      <c r="T141" s="194" t="s">
        <v>69</v>
      </c>
      <c r="U141" s="194">
        <v>54</v>
      </c>
      <c r="V141" s="194"/>
      <c r="W141" s="194">
        <f t="shared" si="7"/>
        <v>54</v>
      </c>
      <c r="X141" s="194">
        <v>26</v>
      </c>
      <c r="Y141" s="195">
        <v>2020003630091</v>
      </c>
      <c r="Z141" s="183" t="s">
        <v>648</v>
      </c>
      <c r="AA141" s="189" t="s">
        <v>649</v>
      </c>
      <c r="AB141" s="180"/>
      <c r="AC141" s="180">
        <v>0</v>
      </c>
      <c r="AD141" s="180"/>
      <c r="AE141" s="180"/>
      <c r="AF141" s="180">
        <v>0</v>
      </c>
      <c r="AG141" s="180"/>
      <c r="AH141" s="184">
        <f>10000000+2000000+10000000+10000000</f>
        <v>32000000</v>
      </c>
      <c r="AI141" s="180"/>
      <c r="AJ141" s="180"/>
      <c r="AK141" s="180">
        <v>0</v>
      </c>
      <c r="AL141" s="187">
        <f t="shared" si="8"/>
        <v>32000000</v>
      </c>
      <c r="AM141" s="198" t="s">
        <v>5</v>
      </c>
    </row>
    <row r="142" spans="1:39" s="200" customFormat="1" ht="66.75" customHeight="1">
      <c r="A142" s="188">
        <v>314</v>
      </c>
      <c r="B142" s="189" t="s">
        <v>644</v>
      </c>
      <c r="C142" s="188">
        <v>1</v>
      </c>
      <c r="D142" s="189" t="s">
        <v>148</v>
      </c>
      <c r="E142" s="188">
        <v>22</v>
      </c>
      <c r="F142" s="189" t="s">
        <v>160</v>
      </c>
      <c r="G142" s="188">
        <v>2201</v>
      </c>
      <c r="H142" s="189" t="s">
        <v>298</v>
      </c>
      <c r="I142" s="188">
        <v>2201</v>
      </c>
      <c r="J142" s="189" t="s">
        <v>162</v>
      </c>
      <c r="K142" s="189" t="s">
        <v>659</v>
      </c>
      <c r="L142" s="188">
        <v>2201028</v>
      </c>
      <c r="M142" s="191" t="s">
        <v>662</v>
      </c>
      <c r="N142" s="188">
        <v>2201028</v>
      </c>
      <c r="O142" s="189" t="s">
        <v>662</v>
      </c>
      <c r="P142" s="277">
        <v>220102801</v>
      </c>
      <c r="Q142" s="191" t="s">
        <v>663</v>
      </c>
      <c r="R142" s="277">
        <v>220102801</v>
      </c>
      <c r="S142" s="191" t="s">
        <v>663</v>
      </c>
      <c r="T142" s="194" t="s">
        <v>69</v>
      </c>
      <c r="U142" s="194">
        <v>36000</v>
      </c>
      <c r="V142" s="194"/>
      <c r="W142" s="194">
        <f t="shared" si="7"/>
        <v>36000</v>
      </c>
      <c r="X142" s="194">
        <v>26803</v>
      </c>
      <c r="Y142" s="195">
        <v>2020003630091</v>
      </c>
      <c r="Z142" s="189" t="s">
        <v>648</v>
      </c>
      <c r="AA142" s="189" t="s">
        <v>649</v>
      </c>
      <c r="AB142" s="180"/>
      <c r="AC142" s="180">
        <f>500000000-105000000</f>
        <v>395000000</v>
      </c>
      <c r="AD142" s="180"/>
      <c r="AE142" s="180"/>
      <c r="AF142" s="187">
        <v>0</v>
      </c>
      <c r="AG142" s="180"/>
      <c r="AH142" s="184">
        <f>150000000+5000000000+126966033+11590000+2900000000-800000000-680000000-250000000-8400000</f>
        <v>6450156033</v>
      </c>
      <c r="AI142" s="187"/>
      <c r="AJ142" s="187"/>
      <c r="AK142" s="187">
        <f>9236000000+10000000+55159599.4+639676314.25+706885427.62+1119951114.5+92174748+ 3338891461+11936253</f>
        <v>15210674917.77</v>
      </c>
      <c r="AL142" s="187">
        <f t="shared" si="8"/>
        <v>22055830950.77</v>
      </c>
      <c r="AM142" s="198" t="s">
        <v>5</v>
      </c>
    </row>
    <row r="143" spans="1:39" s="200" customFormat="1" ht="66.75" customHeight="1">
      <c r="A143" s="188">
        <v>314</v>
      </c>
      <c r="B143" s="189" t="s">
        <v>644</v>
      </c>
      <c r="C143" s="188">
        <v>1</v>
      </c>
      <c r="D143" s="189" t="s">
        <v>148</v>
      </c>
      <c r="E143" s="188">
        <v>22</v>
      </c>
      <c r="F143" s="189" t="s">
        <v>160</v>
      </c>
      <c r="G143" s="188">
        <v>2201</v>
      </c>
      <c r="H143" s="189" t="s">
        <v>298</v>
      </c>
      <c r="I143" s="188">
        <v>2201</v>
      </c>
      <c r="J143" s="189" t="s">
        <v>162</v>
      </c>
      <c r="K143" s="189" t="s">
        <v>659</v>
      </c>
      <c r="L143" s="188">
        <v>2201029</v>
      </c>
      <c r="M143" s="191" t="s">
        <v>664</v>
      </c>
      <c r="N143" s="188">
        <v>2201029</v>
      </c>
      <c r="O143" s="189" t="s">
        <v>664</v>
      </c>
      <c r="P143" s="277">
        <v>220102900</v>
      </c>
      <c r="Q143" s="191" t="s">
        <v>665</v>
      </c>
      <c r="R143" s="277">
        <v>220102900</v>
      </c>
      <c r="S143" s="191" t="s">
        <v>665</v>
      </c>
      <c r="T143" s="194" t="s">
        <v>157</v>
      </c>
      <c r="U143" s="194">
        <v>1500</v>
      </c>
      <c r="V143" s="194">
        <v>203</v>
      </c>
      <c r="W143" s="194">
        <f t="shared" si="7"/>
        <v>1703</v>
      </c>
      <c r="X143" s="194">
        <v>2367</v>
      </c>
      <c r="Y143" s="195">
        <v>2020003630091</v>
      </c>
      <c r="Z143" s="189" t="s">
        <v>648</v>
      </c>
      <c r="AA143" s="189" t="s">
        <v>649</v>
      </c>
      <c r="AB143" s="180"/>
      <c r="AC143" s="273">
        <f>50000000+100000000</f>
        <v>150000000</v>
      </c>
      <c r="AD143" s="180"/>
      <c r="AE143" s="180"/>
      <c r="AF143" s="180">
        <v>0</v>
      </c>
      <c r="AG143" s="180"/>
      <c r="AH143" s="184">
        <f>336694046-100000000+818832641</f>
        <v>1055526687</v>
      </c>
      <c r="AI143" s="180"/>
      <c r="AJ143" s="180"/>
      <c r="AK143" s="180"/>
      <c r="AL143" s="187">
        <f t="shared" si="8"/>
        <v>1205526687</v>
      </c>
      <c r="AM143" s="198" t="s">
        <v>5</v>
      </c>
    </row>
    <row r="144" spans="1:39" s="200" customFormat="1" ht="66.75" customHeight="1">
      <c r="A144" s="188">
        <v>314</v>
      </c>
      <c r="B144" s="189" t="s">
        <v>644</v>
      </c>
      <c r="C144" s="188">
        <v>1</v>
      </c>
      <c r="D144" s="189" t="s">
        <v>148</v>
      </c>
      <c r="E144" s="188">
        <v>22</v>
      </c>
      <c r="F144" s="189" t="s">
        <v>160</v>
      </c>
      <c r="G144" s="188">
        <v>2201</v>
      </c>
      <c r="H144" s="189" t="s">
        <v>298</v>
      </c>
      <c r="I144" s="188">
        <v>2201</v>
      </c>
      <c r="J144" s="189" t="s">
        <v>162</v>
      </c>
      <c r="K144" s="189" t="s">
        <v>163</v>
      </c>
      <c r="L144" s="188" t="s">
        <v>61</v>
      </c>
      <c r="M144" s="191" t="s">
        <v>666</v>
      </c>
      <c r="N144" s="188">
        <v>2201062</v>
      </c>
      <c r="O144" s="189" t="s">
        <v>165</v>
      </c>
      <c r="P144" s="188" t="s">
        <v>61</v>
      </c>
      <c r="Q144" s="191" t="s">
        <v>166</v>
      </c>
      <c r="R144" s="188">
        <v>220106200</v>
      </c>
      <c r="S144" s="190" t="s">
        <v>667</v>
      </c>
      <c r="T144" s="194" t="s">
        <v>157</v>
      </c>
      <c r="U144" s="188">
        <v>15</v>
      </c>
      <c r="V144" s="188">
        <v>7</v>
      </c>
      <c r="W144" s="194">
        <f t="shared" si="7"/>
        <v>22</v>
      </c>
      <c r="X144" s="194">
        <v>6</v>
      </c>
      <c r="Y144" s="195">
        <v>2020003630091</v>
      </c>
      <c r="Z144" s="189" t="s">
        <v>648</v>
      </c>
      <c r="AA144" s="189" t="s">
        <v>649</v>
      </c>
      <c r="AB144" s="180"/>
      <c r="AC144" s="180">
        <v>0</v>
      </c>
      <c r="AD144" s="180"/>
      <c r="AE144" s="180"/>
      <c r="AF144" s="180">
        <v>36000000</v>
      </c>
      <c r="AG144" s="180"/>
      <c r="AH144" s="184">
        <f>30000000-20000000+19200000</f>
        <v>29200000</v>
      </c>
      <c r="AI144" s="180"/>
      <c r="AJ144" s="180"/>
      <c r="AK144" s="180">
        <v>0</v>
      </c>
      <c r="AL144" s="187">
        <f t="shared" si="8"/>
        <v>65200000</v>
      </c>
      <c r="AM144" s="198" t="s">
        <v>5</v>
      </c>
    </row>
    <row r="145" spans="1:39" s="200" customFormat="1" ht="66.75" customHeight="1">
      <c r="A145" s="188">
        <v>314</v>
      </c>
      <c r="B145" s="189" t="s">
        <v>644</v>
      </c>
      <c r="C145" s="188">
        <v>1</v>
      </c>
      <c r="D145" s="189" t="s">
        <v>148</v>
      </c>
      <c r="E145" s="188">
        <v>22</v>
      </c>
      <c r="F145" s="189" t="s">
        <v>160</v>
      </c>
      <c r="G145" s="188">
        <v>2201</v>
      </c>
      <c r="H145" s="189" t="s">
        <v>298</v>
      </c>
      <c r="I145" s="188">
        <v>2201</v>
      </c>
      <c r="J145" s="189" t="s">
        <v>162</v>
      </c>
      <c r="K145" s="189" t="s">
        <v>668</v>
      </c>
      <c r="L145" s="188">
        <v>2201063</v>
      </c>
      <c r="M145" s="191" t="s">
        <v>669</v>
      </c>
      <c r="N145" s="188">
        <v>2201063</v>
      </c>
      <c r="O145" s="189" t="s">
        <v>669</v>
      </c>
      <c r="P145" s="186">
        <v>220106300</v>
      </c>
      <c r="Q145" s="191" t="s">
        <v>670</v>
      </c>
      <c r="R145" s="186">
        <v>220106300</v>
      </c>
      <c r="S145" s="190" t="s">
        <v>670</v>
      </c>
      <c r="T145" s="194" t="s">
        <v>157</v>
      </c>
      <c r="U145" s="194">
        <v>1</v>
      </c>
      <c r="V145" s="194">
        <v>1</v>
      </c>
      <c r="W145" s="194">
        <f t="shared" si="7"/>
        <v>2</v>
      </c>
      <c r="X145" s="194">
        <v>3</v>
      </c>
      <c r="Y145" s="195">
        <v>2020003630091</v>
      </c>
      <c r="Z145" s="183" t="s">
        <v>648</v>
      </c>
      <c r="AA145" s="189" t="s">
        <v>649</v>
      </c>
      <c r="AB145" s="180"/>
      <c r="AC145" s="180">
        <v>0</v>
      </c>
      <c r="AD145" s="180"/>
      <c r="AE145" s="180"/>
      <c r="AF145" s="180">
        <v>0</v>
      </c>
      <c r="AG145" s="180"/>
      <c r="AH145" s="184">
        <f>20000000+5400000</f>
        <v>25400000</v>
      </c>
      <c r="AI145" s="180"/>
      <c r="AJ145" s="180"/>
      <c r="AK145" s="180">
        <v>0</v>
      </c>
      <c r="AL145" s="187">
        <f t="shared" si="8"/>
        <v>25400000</v>
      </c>
      <c r="AM145" s="198" t="s">
        <v>5</v>
      </c>
    </row>
    <row r="146" spans="1:39" s="200" customFormat="1" ht="66.75" customHeight="1">
      <c r="A146" s="188">
        <v>314</v>
      </c>
      <c r="B146" s="189" t="s">
        <v>644</v>
      </c>
      <c r="C146" s="188">
        <v>1</v>
      </c>
      <c r="D146" s="189" t="s">
        <v>148</v>
      </c>
      <c r="E146" s="188">
        <v>22</v>
      </c>
      <c r="F146" s="189" t="s">
        <v>160</v>
      </c>
      <c r="G146" s="188">
        <v>2201</v>
      </c>
      <c r="H146" s="189" t="s">
        <v>298</v>
      </c>
      <c r="I146" s="188">
        <v>2201</v>
      </c>
      <c r="J146" s="189" t="s">
        <v>162</v>
      </c>
      <c r="K146" s="189" t="s">
        <v>668</v>
      </c>
      <c r="L146" s="188">
        <v>2201069</v>
      </c>
      <c r="M146" s="191" t="s">
        <v>671</v>
      </c>
      <c r="N146" s="188">
        <v>2201069</v>
      </c>
      <c r="O146" s="189" t="s">
        <v>671</v>
      </c>
      <c r="P146" s="186">
        <v>220106900</v>
      </c>
      <c r="Q146" s="191" t="s">
        <v>672</v>
      </c>
      <c r="R146" s="186">
        <v>220106900</v>
      </c>
      <c r="S146" s="191" t="s">
        <v>672</v>
      </c>
      <c r="T146" s="194" t="s">
        <v>157</v>
      </c>
      <c r="U146" s="194">
        <v>4</v>
      </c>
      <c r="V146" s="194">
        <v>2</v>
      </c>
      <c r="W146" s="194">
        <f t="shared" si="7"/>
        <v>6</v>
      </c>
      <c r="X146" s="194">
        <v>3</v>
      </c>
      <c r="Y146" s="195">
        <v>2020003630091</v>
      </c>
      <c r="Z146" s="183" t="s">
        <v>648</v>
      </c>
      <c r="AA146" s="189" t="s">
        <v>649</v>
      </c>
      <c r="AB146" s="180"/>
      <c r="AC146" s="180">
        <v>0</v>
      </c>
      <c r="AD146" s="180"/>
      <c r="AE146" s="180"/>
      <c r="AF146" s="180">
        <f>5000000+237414950.55+202855277+161145820.23</f>
        <v>606416047.77999997</v>
      </c>
      <c r="AG146" s="180"/>
      <c r="AH146" s="184">
        <f>20000000-16000000</f>
        <v>4000000</v>
      </c>
      <c r="AI146" s="180"/>
      <c r="AJ146" s="180"/>
      <c r="AK146" s="180">
        <v>0</v>
      </c>
      <c r="AL146" s="187">
        <f t="shared" si="8"/>
        <v>610416047.77999997</v>
      </c>
      <c r="AM146" s="198" t="s">
        <v>5</v>
      </c>
    </row>
    <row r="147" spans="1:39" s="200" customFormat="1" ht="66.75" customHeight="1">
      <c r="A147" s="188">
        <v>314</v>
      </c>
      <c r="B147" s="189" t="s">
        <v>644</v>
      </c>
      <c r="C147" s="188">
        <v>1</v>
      </c>
      <c r="D147" s="189" t="s">
        <v>148</v>
      </c>
      <c r="E147" s="188">
        <v>22</v>
      </c>
      <c r="F147" s="189" t="s">
        <v>160</v>
      </c>
      <c r="G147" s="188">
        <v>2201</v>
      </c>
      <c r="H147" s="189" t="s">
        <v>298</v>
      </c>
      <c r="I147" s="188">
        <v>2201</v>
      </c>
      <c r="J147" s="189" t="s">
        <v>162</v>
      </c>
      <c r="K147" s="189" t="s">
        <v>673</v>
      </c>
      <c r="L147" s="188">
        <v>2201018</v>
      </c>
      <c r="M147" s="191" t="s">
        <v>674</v>
      </c>
      <c r="N147" s="188">
        <v>2201018</v>
      </c>
      <c r="O147" s="189" t="s">
        <v>674</v>
      </c>
      <c r="P147" s="186">
        <v>220101802</v>
      </c>
      <c r="Q147" s="191" t="s">
        <v>675</v>
      </c>
      <c r="R147" s="186">
        <v>220101802</v>
      </c>
      <c r="S147" s="191" t="s">
        <v>675</v>
      </c>
      <c r="T147" s="194" t="s">
        <v>69</v>
      </c>
      <c r="U147" s="194">
        <v>1</v>
      </c>
      <c r="V147" s="194"/>
      <c r="W147" s="194">
        <f t="shared" si="7"/>
        <v>1</v>
      </c>
      <c r="X147" s="194">
        <v>1</v>
      </c>
      <c r="Y147" s="195">
        <v>2020003630092</v>
      </c>
      <c r="Z147" s="190" t="s">
        <v>676</v>
      </c>
      <c r="AA147" s="189" t="s">
        <v>677</v>
      </c>
      <c r="AB147" s="180"/>
      <c r="AC147" s="180">
        <v>0</v>
      </c>
      <c r="AD147" s="180"/>
      <c r="AE147" s="180"/>
      <c r="AF147" s="180">
        <v>0</v>
      </c>
      <c r="AG147" s="180"/>
      <c r="AH147" s="184">
        <v>5000000</v>
      </c>
      <c r="AI147" s="180"/>
      <c r="AJ147" s="180"/>
      <c r="AK147" s="180">
        <v>0</v>
      </c>
      <c r="AL147" s="187">
        <f t="shared" si="8"/>
        <v>5000000</v>
      </c>
      <c r="AM147" s="198" t="s">
        <v>5</v>
      </c>
    </row>
    <row r="148" spans="1:39" s="200" customFormat="1" ht="66.75" customHeight="1">
      <c r="A148" s="188">
        <v>314</v>
      </c>
      <c r="B148" s="189" t="s">
        <v>644</v>
      </c>
      <c r="C148" s="188">
        <v>1</v>
      </c>
      <c r="D148" s="189" t="s">
        <v>148</v>
      </c>
      <c r="E148" s="188">
        <v>22</v>
      </c>
      <c r="F148" s="189" t="s">
        <v>160</v>
      </c>
      <c r="G148" s="188">
        <v>2201</v>
      </c>
      <c r="H148" s="189" t="s">
        <v>298</v>
      </c>
      <c r="I148" s="188">
        <v>2201</v>
      </c>
      <c r="J148" s="189" t="s">
        <v>162</v>
      </c>
      <c r="K148" s="189" t="s">
        <v>678</v>
      </c>
      <c r="L148" s="188">
        <v>2201037</v>
      </c>
      <c r="M148" s="191" t="s">
        <v>679</v>
      </c>
      <c r="N148" s="188">
        <v>2201037</v>
      </c>
      <c r="O148" s="189" t="s">
        <v>679</v>
      </c>
      <c r="P148" s="277">
        <v>220103700</v>
      </c>
      <c r="Q148" s="191" t="s">
        <v>680</v>
      </c>
      <c r="R148" s="277">
        <v>220103700</v>
      </c>
      <c r="S148" s="191" t="s">
        <v>680</v>
      </c>
      <c r="T148" s="194" t="s">
        <v>69</v>
      </c>
      <c r="U148" s="194">
        <v>54</v>
      </c>
      <c r="V148" s="194"/>
      <c r="W148" s="194">
        <f t="shared" si="7"/>
        <v>54</v>
      </c>
      <c r="X148" s="194">
        <v>54</v>
      </c>
      <c r="Y148" s="195">
        <v>2020003630092</v>
      </c>
      <c r="Z148" s="190" t="s">
        <v>676</v>
      </c>
      <c r="AA148" s="189" t="s">
        <v>677</v>
      </c>
      <c r="AB148" s="180"/>
      <c r="AC148" s="180">
        <v>0</v>
      </c>
      <c r="AD148" s="180"/>
      <c r="AE148" s="180"/>
      <c r="AF148" s="180">
        <v>0</v>
      </c>
      <c r="AG148" s="180"/>
      <c r="AH148" s="184">
        <f>10000000+9000000</f>
        <v>19000000</v>
      </c>
      <c r="AI148" s="180"/>
      <c r="AJ148" s="180"/>
      <c r="AK148" s="180">
        <v>0</v>
      </c>
      <c r="AL148" s="187">
        <f t="shared" si="8"/>
        <v>19000000</v>
      </c>
      <c r="AM148" s="198" t="s">
        <v>5</v>
      </c>
    </row>
    <row r="149" spans="1:39" s="200" customFormat="1" ht="83.25" customHeight="1">
      <c r="A149" s="188">
        <v>314</v>
      </c>
      <c r="B149" s="189" t="s">
        <v>644</v>
      </c>
      <c r="C149" s="188">
        <v>1</v>
      </c>
      <c r="D149" s="189" t="s">
        <v>148</v>
      </c>
      <c r="E149" s="188">
        <v>22</v>
      </c>
      <c r="F149" s="189" t="s">
        <v>160</v>
      </c>
      <c r="G149" s="188">
        <v>2201</v>
      </c>
      <c r="H149" s="189" t="s">
        <v>298</v>
      </c>
      <c r="I149" s="188">
        <v>2201</v>
      </c>
      <c r="J149" s="189" t="s">
        <v>162</v>
      </c>
      <c r="K149" s="189" t="s">
        <v>681</v>
      </c>
      <c r="L149" s="188">
        <v>2201007</v>
      </c>
      <c r="M149" s="191" t="s">
        <v>682</v>
      </c>
      <c r="N149" s="188">
        <v>2201073</v>
      </c>
      <c r="O149" s="189" t="s">
        <v>682</v>
      </c>
      <c r="P149" s="188">
        <v>220100700</v>
      </c>
      <c r="Q149" s="191" t="s">
        <v>683</v>
      </c>
      <c r="R149" s="186">
        <v>220107300</v>
      </c>
      <c r="S149" s="191" t="s">
        <v>683</v>
      </c>
      <c r="T149" s="194" t="s">
        <v>157</v>
      </c>
      <c r="U149" s="194">
        <v>7973</v>
      </c>
      <c r="V149" s="194"/>
      <c r="W149" s="194">
        <f t="shared" ref="W149:W180" si="9">U149+V149</f>
        <v>7973</v>
      </c>
      <c r="X149" s="194">
        <v>7973</v>
      </c>
      <c r="Y149" s="195">
        <v>2020003630093</v>
      </c>
      <c r="Z149" s="262" t="s">
        <v>684</v>
      </c>
      <c r="AA149" s="262" t="s">
        <v>685</v>
      </c>
      <c r="AB149" s="180"/>
      <c r="AC149" s="180">
        <v>0</v>
      </c>
      <c r="AD149" s="180"/>
      <c r="AE149" s="180"/>
      <c r="AF149" s="180">
        <v>0</v>
      </c>
      <c r="AG149" s="180"/>
      <c r="AH149" s="184">
        <f>20000000-13000000</f>
        <v>7000000</v>
      </c>
      <c r="AI149" s="180"/>
      <c r="AJ149" s="180"/>
      <c r="AK149" s="180">
        <v>0</v>
      </c>
      <c r="AL149" s="187">
        <f t="shared" si="8"/>
        <v>7000000</v>
      </c>
      <c r="AM149" s="198" t="s">
        <v>5</v>
      </c>
    </row>
    <row r="150" spans="1:39" s="200" customFormat="1" ht="81.75" customHeight="1">
      <c r="A150" s="188">
        <v>314</v>
      </c>
      <c r="B150" s="189" t="s">
        <v>644</v>
      </c>
      <c r="C150" s="188">
        <v>1</v>
      </c>
      <c r="D150" s="189" t="s">
        <v>148</v>
      </c>
      <c r="E150" s="188">
        <v>22</v>
      </c>
      <c r="F150" s="189" t="s">
        <v>160</v>
      </c>
      <c r="G150" s="188">
        <v>2201</v>
      </c>
      <c r="H150" s="189" t="s">
        <v>298</v>
      </c>
      <c r="I150" s="188">
        <v>2201</v>
      </c>
      <c r="J150" s="189" t="s">
        <v>162</v>
      </c>
      <c r="K150" s="189" t="s">
        <v>686</v>
      </c>
      <c r="L150" s="188">
        <v>2201068</v>
      </c>
      <c r="M150" s="191" t="s">
        <v>300</v>
      </c>
      <c r="N150" s="188">
        <v>2201068</v>
      </c>
      <c r="O150" s="189" t="s">
        <v>300</v>
      </c>
      <c r="P150" s="277">
        <v>220106800</v>
      </c>
      <c r="Q150" s="191" t="s">
        <v>301</v>
      </c>
      <c r="R150" s="277">
        <v>220106800</v>
      </c>
      <c r="S150" s="191" t="s">
        <v>301</v>
      </c>
      <c r="T150" s="194" t="s">
        <v>157</v>
      </c>
      <c r="U150" s="188">
        <v>72</v>
      </c>
      <c r="V150" s="188"/>
      <c r="W150" s="194">
        <f t="shared" si="9"/>
        <v>72</v>
      </c>
      <c r="X150" s="194">
        <v>85</v>
      </c>
      <c r="Y150" s="195">
        <v>2020003630093</v>
      </c>
      <c r="Z150" s="262" t="s">
        <v>684</v>
      </c>
      <c r="AA150" s="262" t="s">
        <v>685</v>
      </c>
      <c r="AB150" s="180"/>
      <c r="AC150" s="180">
        <v>0</v>
      </c>
      <c r="AD150" s="180"/>
      <c r="AE150" s="180"/>
      <c r="AF150" s="180">
        <v>0</v>
      </c>
      <c r="AG150" s="180"/>
      <c r="AH150" s="184">
        <f>18000000</f>
        <v>18000000</v>
      </c>
      <c r="AI150" s="180"/>
      <c r="AJ150" s="180"/>
      <c r="AK150" s="180">
        <v>0</v>
      </c>
      <c r="AL150" s="187">
        <f t="shared" si="8"/>
        <v>18000000</v>
      </c>
      <c r="AM150" s="198" t="s">
        <v>5</v>
      </c>
    </row>
    <row r="151" spans="1:39" s="200" customFormat="1" ht="66.75" customHeight="1">
      <c r="A151" s="188">
        <v>314</v>
      </c>
      <c r="B151" s="189" t="s">
        <v>644</v>
      </c>
      <c r="C151" s="188">
        <v>1</v>
      </c>
      <c r="D151" s="189" t="s">
        <v>148</v>
      </c>
      <c r="E151" s="188">
        <v>22</v>
      </c>
      <c r="F151" s="189" t="s">
        <v>160</v>
      </c>
      <c r="G151" s="188">
        <v>2201</v>
      </c>
      <c r="H151" s="189" t="s">
        <v>298</v>
      </c>
      <c r="I151" s="188">
        <v>2201</v>
      </c>
      <c r="J151" s="189" t="s">
        <v>162</v>
      </c>
      <c r="K151" s="189" t="s">
        <v>668</v>
      </c>
      <c r="L151" s="188">
        <v>2201026</v>
      </c>
      <c r="M151" s="191" t="s">
        <v>687</v>
      </c>
      <c r="N151" s="188">
        <v>2201026</v>
      </c>
      <c r="O151" s="189" t="s">
        <v>687</v>
      </c>
      <c r="P151" s="277">
        <v>220102600</v>
      </c>
      <c r="Q151" s="191" t="s">
        <v>688</v>
      </c>
      <c r="R151" s="277">
        <v>220102600</v>
      </c>
      <c r="S151" s="191" t="s">
        <v>688</v>
      </c>
      <c r="T151" s="194" t="s">
        <v>157</v>
      </c>
      <c r="U151" s="194">
        <v>10</v>
      </c>
      <c r="V151" s="194"/>
      <c r="W151" s="194">
        <f t="shared" si="9"/>
        <v>10</v>
      </c>
      <c r="X151" s="194">
        <v>1</v>
      </c>
      <c r="Y151" s="195">
        <v>2020003630093</v>
      </c>
      <c r="Z151" s="262" t="s">
        <v>684</v>
      </c>
      <c r="AA151" s="262" t="s">
        <v>685</v>
      </c>
      <c r="AB151" s="180"/>
      <c r="AC151" s="180">
        <v>0</v>
      </c>
      <c r="AD151" s="180"/>
      <c r="AE151" s="180"/>
      <c r="AF151" s="180">
        <f>5000000+714862+505627</f>
        <v>6220489</v>
      </c>
      <c r="AG151" s="180"/>
      <c r="AH151" s="184">
        <f>35000000-14000000+13000000+300000000</f>
        <v>334000000</v>
      </c>
      <c r="AI151" s="180"/>
      <c r="AJ151" s="180"/>
      <c r="AK151" s="180">
        <v>0</v>
      </c>
      <c r="AL151" s="187">
        <f t="shared" si="8"/>
        <v>340220489</v>
      </c>
      <c r="AM151" s="198" t="s">
        <v>5</v>
      </c>
    </row>
    <row r="152" spans="1:39" s="200" customFormat="1" ht="78" customHeight="1">
      <c r="A152" s="188">
        <v>314</v>
      </c>
      <c r="B152" s="189" t="s">
        <v>644</v>
      </c>
      <c r="C152" s="188">
        <v>1</v>
      </c>
      <c r="D152" s="189" t="s">
        <v>148</v>
      </c>
      <c r="E152" s="188">
        <v>22</v>
      </c>
      <c r="F152" s="189" t="s">
        <v>160</v>
      </c>
      <c r="G152" s="188">
        <v>2201</v>
      </c>
      <c r="H152" s="189" t="s">
        <v>298</v>
      </c>
      <c r="I152" s="188">
        <v>2201</v>
      </c>
      <c r="J152" s="189" t="s">
        <v>162</v>
      </c>
      <c r="K152" s="189" t="s">
        <v>681</v>
      </c>
      <c r="L152" s="188">
        <v>2201009</v>
      </c>
      <c r="M152" s="191" t="s">
        <v>689</v>
      </c>
      <c r="N152" s="188">
        <v>2201074</v>
      </c>
      <c r="O152" s="189" t="s">
        <v>689</v>
      </c>
      <c r="P152" s="188">
        <v>220100900</v>
      </c>
      <c r="Q152" s="191" t="s">
        <v>690</v>
      </c>
      <c r="R152" s="186">
        <v>220107400</v>
      </c>
      <c r="S152" s="191" t="s">
        <v>691</v>
      </c>
      <c r="T152" s="194" t="s">
        <v>157</v>
      </c>
      <c r="U152" s="194">
        <v>604</v>
      </c>
      <c r="V152" s="194"/>
      <c r="W152" s="194">
        <f t="shared" si="9"/>
        <v>604</v>
      </c>
      <c r="X152" s="194">
        <v>572</v>
      </c>
      <c r="Y152" s="195">
        <v>2020003630093</v>
      </c>
      <c r="Z152" s="262" t="s">
        <v>684</v>
      </c>
      <c r="AA152" s="262" t="s">
        <v>685</v>
      </c>
      <c r="AB152" s="180"/>
      <c r="AC152" s="180">
        <v>0</v>
      </c>
      <c r="AD152" s="180"/>
      <c r="AE152" s="180"/>
      <c r="AF152" s="180">
        <v>0</v>
      </c>
      <c r="AG152" s="180"/>
      <c r="AH152" s="184">
        <v>20000000</v>
      </c>
      <c r="AI152" s="180"/>
      <c r="AJ152" s="180"/>
      <c r="AK152" s="180">
        <v>0</v>
      </c>
      <c r="AL152" s="187">
        <f t="shared" si="8"/>
        <v>20000000</v>
      </c>
      <c r="AM152" s="198" t="s">
        <v>5</v>
      </c>
    </row>
    <row r="153" spans="1:39" s="200" customFormat="1" ht="78.75" customHeight="1">
      <c r="A153" s="188">
        <v>314</v>
      </c>
      <c r="B153" s="189" t="s">
        <v>644</v>
      </c>
      <c r="C153" s="188">
        <v>1</v>
      </c>
      <c r="D153" s="189" t="s">
        <v>148</v>
      </c>
      <c r="E153" s="188">
        <v>22</v>
      </c>
      <c r="F153" s="189" t="s">
        <v>160</v>
      </c>
      <c r="G153" s="188">
        <v>2201</v>
      </c>
      <c r="H153" s="189" t="s">
        <v>298</v>
      </c>
      <c r="I153" s="188">
        <v>2201</v>
      </c>
      <c r="J153" s="189" t="s">
        <v>162</v>
      </c>
      <c r="K153" s="189" t="s">
        <v>681</v>
      </c>
      <c r="L153" s="188">
        <v>2201010</v>
      </c>
      <c r="M153" s="191" t="s">
        <v>692</v>
      </c>
      <c r="N153" s="188">
        <v>2201074</v>
      </c>
      <c r="O153" s="189" t="s">
        <v>693</v>
      </c>
      <c r="P153" s="188">
        <v>220101000</v>
      </c>
      <c r="Q153" s="191" t="s">
        <v>694</v>
      </c>
      <c r="R153" s="186">
        <v>220107400</v>
      </c>
      <c r="S153" s="191" t="s">
        <v>691</v>
      </c>
      <c r="T153" s="194" t="s">
        <v>69</v>
      </c>
      <c r="U153" s="194">
        <v>94</v>
      </c>
      <c r="V153" s="194"/>
      <c r="W153" s="194">
        <f t="shared" si="9"/>
        <v>94</v>
      </c>
      <c r="X153" s="194">
        <v>94</v>
      </c>
      <c r="Y153" s="195">
        <v>2020003630093</v>
      </c>
      <c r="Z153" s="262" t="s">
        <v>684</v>
      </c>
      <c r="AA153" s="262" t="s">
        <v>685</v>
      </c>
      <c r="AB153" s="180"/>
      <c r="AC153" s="180">
        <v>0</v>
      </c>
      <c r="AD153" s="180"/>
      <c r="AE153" s="180"/>
      <c r="AF153" s="180">
        <v>0</v>
      </c>
      <c r="AG153" s="180"/>
      <c r="AH153" s="184">
        <v>5000000</v>
      </c>
      <c r="AI153" s="180"/>
      <c r="AJ153" s="180"/>
      <c r="AK153" s="180">
        <v>0</v>
      </c>
      <c r="AL153" s="187">
        <f t="shared" si="8"/>
        <v>5000000</v>
      </c>
      <c r="AM153" s="198" t="s">
        <v>5</v>
      </c>
    </row>
    <row r="154" spans="1:39" s="200" customFormat="1" ht="66.75" customHeight="1">
      <c r="A154" s="188">
        <v>314</v>
      </c>
      <c r="B154" s="189" t="s">
        <v>644</v>
      </c>
      <c r="C154" s="188">
        <v>1</v>
      </c>
      <c r="D154" s="189" t="s">
        <v>148</v>
      </c>
      <c r="E154" s="188">
        <v>22</v>
      </c>
      <c r="F154" s="189" t="s">
        <v>160</v>
      </c>
      <c r="G154" s="188">
        <v>2201</v>
      </c>
      <c r="H154" s="189" t="s">
        <v>298</v>
      </c>
      <c r="I154" s="188">
        <v>2201</v>
      </c>
      <c r="J154" s="189" t="s">
        <v>162</v>
      </c>
      <c r="K154" s="189" t="s">
        <v>695</v>
      </c>
      <c r="L154" s="188">
        <v>2201035</v>
      </c>
      <c r="M154" s="191" t="s">
        <v>696</v>
      </c>
      <c r="N154" s="188">
        <v>2201035</v>
      </c>
      <c r="O154" s="189" t="s">
        <v>696</v>
      </c>
      <c r="P154" s="186">
        <v>220103500</v>
      </c>
      <c r="Q154" s="191" t="s">
        <v>697</v>
      </c>
      <c r="R154" s="186">
        <v>220103500</v>
      </c>
      <c r="S154" s="191" t="s">
        <v>697</v>
      </c>
      <c r="T154" s="194" t="s">
        <v>157</v>
      </c>
      <c r="U154" s="194">
        <v>8</v>
      </c>
      <c r="V154" s="194"/>
      <c r="W154" s="194">
        <f t="shared" si="9"/>
        <v>8</v>
      </c>
      <c r="X154" s="194">
        <v>2</v>
      </c>
      <c r="Y154" s="195">
        <v>2020003630093</v>
      </c>
      <c r="Z154" s="262" t="s">
        <v>684</v>
      </c>
      <c r="AA154" s="262" t="s">
        <v>685</v>
      </c>
      <c r="AB154" s="180"/>
      <c r="AC154" s="180">
        <v>0</v>
      </c>
      <c r="AD154" s="180"/>
      <c r="AE154" s="180"/>
      <c r="AF154" s="180">
        <v>0</v>
      </c>
      <c r="AG154" s="180"/>
      <c r="AH154" s="184">
        <v>10000000</v>
      </c>
      <c r="AI154" s="180"/>
      <c r="AJ154" s="180"/>
      <c r="AK154" s="180">
        <v>0</v>
      </c>
      <c r="AL154" s="187">
        <f t="shared" si="8"/>
        <v>10000000</v>
      </c>
      <c r="AM154" s="198" t="s">
        <v>5</v>
      </c>
    </row>
    <row r="155" spans="1:39" s="200" customFormat="1" ht="66.75" customHeight="1">
      <c r="A155" s="188">
        <v>314</v>
      </c>
      <c r="B155" s="189" t="s">
        <v>644</v>
      </c>
      <c r="C155" s="188">
        <v>1</v>
      </c>
      <c r="D155" s="189" t="s">
        <v>148</v>
      </c>
      <c r="E155" s="188">
        <v>22</v>
      </c>
      <c r="F155" s="189" t="s">
        <v>160</v>
      </c>
      <c r="G155" s="188">
        <v>2201</v>
      </c>
      <c r="H155" s="189" t="s">
        <v>298</v>
      </c>
      <c r="I155" s="188">
        <v>2201</v>
      </c>
      <c r="J155" s="189" t="s">
        <v>162</v>
      </c>
      <c r="K155" s="189" t="s">
        <v>659</v>
      </c>
      <c r="L155" s="188">
        <v>2201046</v>
      </c>
      <c r="M155" s="191" t="s">
        <v>698</v>
      </c>
      <c r="N155" s="188">
        <v>2201046</v>
      </c>
      <c r="O155" s="189" t="s">
        <v>698</v>
      </c>
      <c r="P155" s="277">
        <v>220104602</v>
      </c>
      <c r="Q155" s="191" t="s">
        <v>699</v>
      </c>
      <c r="R155" s="277">
        <v>220104602</v>
      </c>
      <c r="S155" s="191" t="s">
        <v>699</v>
      </c>
      <c r="T155" s="194" t="s">
        <v>157</v>
      </c>
      <c r="U155" s="194">
        <v>18</v>
      </c>
      <c r="V155" s="194"/>
      <c r="W155" s="194">
        <f t="shared" si="9"/>
        <v>18</v>
      </c>
      <c r="X155" s="194">
        <v>10</v>
      </c>
      <c r="Y155" s="195">
        <v>2020003630093</v>
      </c>
      <c r="Z155" s="262" t="s">
        <v>684</v>
      </c>
      <c r="AA155" s="262" t="s">
        <v>685</v>
      </c>
      <c r="AB155" s="180"/>
      <c r="AC155" s="187">
        <v>0</v>
      </c>
      <c r="AD155" s="180"/>
      <c r="AE155" s="180"/>
      <c r="AF155" s="180">
        <v>0</v>
      </c>
      <c r="AG155" s="180"/>
      <c r="AH155" s="184">
        <v>19000000</v>
      </c>
      <c r="AI155" s="180"/>
      <c r="AJ155" s="180"/>
      <c r="AK155" s="180">
        <v>0</v>
      </c>
      <c r="AL155" s="187">
        <f t="shared" si="8"/>
        <v>19000000</v>
      </c>
      <c r="AM155" s="198" t="s">
        <v>5</v>
      </c>
    </row>
    <row r="156" spans="1:39" s="200" customFormat="1" ht="66.75" customHeight="1">
      <c r="A156" s="188">
        <v>314</v>
      </c>
      <c r="B156" s="189" t="s">
        <v>644</v>
      </c>
      <c r="C156" s="188">
        <v>1</v>
      </c>
      <c r="D156" s="189" t="s">
        <v>148</v>
      </c>
      <c r="E156" s="188">
        <v>22</v>
      </c>
      <c r="F156" s="189" t="s">
        <v>160</v>
      </c>
      <c r="G156" s="188">
        <v>2201</v>
      </c>
      <c r="H156" s="189" t="s">
        <v>298</v>
      </c>
      <c r="I156" s="188">
        <v>2201</v>
      </c>
      <c r="J156" s="189" t="s">
        <v>162</v>
      </c>
      <c r="K156" s="189" t="s">
        <v>659</v>
      </c>
      <c r="L156" s="188">
        <v>2201054</v>
      </c>
      <c r="M156" s="191" t="s">
        <v>700</v>
      </c>
      <c r="N156" s="188">
        <v>2201054</v>
      </c>
      <c r="O156" s="189" t="s">
        <v>700</v>
      </c>
      <c r="P156" s="186">
        <v>220105400</v>
      </c>
      <c r="Q156" s="191" t="s">
        <v>701</v>
      </c>
      <c r="R156" s="186">
        <v>220105400</v>
      </c>
      <c r="S156" s="191" t="s">
        <v>701</v>
      </c>
      <c r="T156" s="194" t="s">
        <v>69</v>
      </c>
      <c r="U156" s="194">
        <v>11</v>
      </c>
      <c r="V156" s="194"/>
      <c r="W156" s="194">
        <f t="shared" si="9"/>
        <v>11</v>
      </c>
      <c r="X156" s="194">
        <v>11</v>
      </c>
      <c r="Y156" s="195">
        <v>2020003630093</v>
      </c>
      <c r="Z156" s="262" t="s">
        <v>684</v>
      </c>
      <c r="AA156" s="262" t="s">
        <v>685</v>
      </c>
      <c r="AB156" s="180"/>
      <c r="AC156" s="180">
        <v>0</v>
      </c>
      <c r="AD156" s="180"/>
      <c r="AE156" s="180"/>
      <c r="AF156" s="180">
        <v>0</v>
      </c>
      <c r="AG156" s="180"/>
      <c r="AH156" s="184">
        <f>10000000+1040000+9093334+10373334</f>
        <v>30506668</v>
      </c>
      <c r="AI156" s="180"/>
      <c r="AJ156" s="180"/>
      <c r="AK156" s="180">
        <v>0</v>
      </c>
      <c r="AL156" s="187">
        <f t="shared" si="8"/>
        <v>30506668</v>
      </c>
      <c r="AM156" s="198" t="s">
        <v>5</v>
      </c>
    </row>
    <row r="157" spans="1:39" s="200" customFormat="1" ht="66.75" customHeight="1">
      <c r="A157" s="188">
        <v>314</v>
      </c>
      <c r="B157" s="189" t="s">
        <v>644</v>
      </c>
      <c r="C157" s="188">
        <v>1</v>
      </c>
      <c r="D157" s="189" t="s">
        <v>148</v>
      </c>
      <c r="E157" s="188">
        <v>22</v>
      </c>
      <c r="F157" s="189" t="s">
        <v>160</v>
      </c>
      <c r="G157" s="188">
        <v>2201</v>
      </c>
      <c r="H157" s="189" t="s">
        <v>298</v>
      </c>
      <c r="I157" s="188">
        <v>2201</v>
      </c>
      <c r="J157" s="189" t="s">
        <v>162</v>
      </c>
      <c r="K157" s="189" t="s">
        <v>656</v>
      </c>
      <c r="L157" s="188">
        <v>2201061</v>
      </c>
      <c r="M157" s="191" t="s">
        <v>702</v>
      </c>
      <c r="N157" s="188">
        <v>2201061</v>
      </c>
      <c r="O157" s="189" t="s">
        <v>702</v>
      </c>
      <c r="P157" s="186">
        <v>220106102</v>
      </c>
      <c r="Q157" s="191" t="s">
        <v>703</v>
      </c>
      <c r="R157" s="186">
        <v>220106102</v>
      </c>
      <c r="S157" s="190" t="s">
        <v>703</v>
      </c>
      <c r="T157" s="194" t="s">
        <v>157</v>
      </c>
      <c r="U157" s="194">
        <v>14</v>
      </c>
      <c r="V157" s="194"/>
      <c r="W157" s="194">
        <f t="shared" si="9"/>
        <v>14</v>
      </c>
      <c r="X157" s="194">
        <v>15</v>
      </c>
      <c r="Y157" s="195">
        <v>2020003630093</v>
      </c>
      <c r="Z157" s="262" t="s">
        <v>684</v>
      </c>
      <c r="AA157" s="262" t="s">
        <v>685</v>
      </c>
      <c r="AB157" s="180"/>
      <c r="AC157" s="180">
        <v>0</v>
      </c>
      <c r="AD157" s="180"/>
      <c r="AE157" s="180"/>
      <c r="AF157" s="180">
        <v>0</v>
      </c>
      <c r="AG157" s="180"/>
      <c r="AH157" s="184">
        <f>10000000+9200000</f>
        <v>19200000</v>
      </c>
      <c r="AI157" s="180"/>
      <c r="AJ157" s="180"/>
      <c r="AK157" s="180">
        <v>0</v>
      </c>
      <c r="AL157" s="187">
        <f t="shared" si="8"/>
        <v>19200000</v>
      </c>
      <c r="AM157" s="198" t="s">
        <v>5</v>
      </c>
    </row>
    <row r="158" spans="1:39" s="200" customFormat="1" ht="66.75" customHeight="1">
      <c r="A158" s="188">
        <v>314</v>
      </c>
      <c r="B158" s="189" t="s">
        <v>644</v>
      </c>
      <c r="C158" s="188">
        <v>1</v>
      </c>
      <c r="D158" s="189" t="s">
        <v>148</v>
      </c>
      <c r="E158" s="188">
        <v>22</v>
      </c>
      <c r="F158" s="189" t="s">
        <v>160</v>
      </c>
      <c r="G158" s="188">
        <v>2201</v>
      </c>
      <c r="H158" s="189" t="s">
        <v>298</v>
      </c>
      <c r="I158" s="188">
        <v>2201</v>
      </c>
      <c r="J158" s="189" t="s">
        <v>162</v>
      </c>
      <c r="K158" s="191" t="s">
        <v>704</v>
      </c>
      <c r="L158" s="188">
        <v>2201066</v>
      </c>
      <c r="M158" s="191" t="s">
        <v>705</v>
      </c>
      <c r="N158" s="188">
        <v>2201066</v>
      </c>
      <c r="O158" s="189" t="s">
        <v>705</v>
      </c>
      <c r="P158" s="186">
        <v>220106600</v>
      </c>
      <c r="Q158" s="191" t="s">
        <v>706</v>
      </c>
      <c r="R158" s="186">
        <v>220106600</v>
      </c>
      <c r="S158" s="191" t="s">
        <v>706</v>
      </c>
      <c r="T158" s="194" t="s">
        <v>157</v>
      </c>
      <c r="U158" s="279">
        <v>9496</v>
      </c>
      <c r="V158" s="279">
        <v>10253</v>
      </c>
      <c r="W158" s="279">
        <f t="shared" si="9"/>
        <v>19749</v>
      </c>
      <c r="X158" s="194">
        <v>4849</v>
      </c>
      <c r="Y158" s="195">
        <v>2020003630093</v>
      </c>
      <c r="Z158" s="262" t="s">
        <v>684</v>
      </c>
      <c r="AA158" s="262" t="s">
        <v>685</v>
      </c>
      <c r="AB158" s="180"/>
      <c r="AC158" s="180">
        <v>0</v>
      </c>
      <c r="AD158" s="180"/>
      <c r="AE158" s="180"/>
      <c r="AF158" s="180">
        <v>0</v>
      </c>
      <c r="AG158" s="180"/>
      <c r="AH158" s="184">
        <f>30000000+9600000</f>
        <v>39600000</v>
      </c>
      <c r="AI158" s="180"/>
      <c r="AJ158" s="180"/>
      <c r="AK158" s="180">
        <v>0</v>
      </c>
      <c r="AL158" s="187">
        <f t="shared" si="8"/>
        <v>39600000</v>
      </c>
      <c r="AM158" s="198" t="s">
        <v>5</v>
      </c>
    </row>
    <row r="159" spans="1:39" s="200" customFormat="1" ht="99" customHeight="1">
      <c r="A159" s="188">
        <v>314</v>
      </c>
      <c r="B159" s="189" t="s">
        <v>644</v>
      </c>
      <c r="C159" s="188">
        <v>1</v>
      </c>
      <c r="D159" s="189" t="s">
        <v>148</v>
      </c>
      <c r="E159" s="188">
        <v>22</v>
      </c>
      <c r="F159" s="189" t="s">
        <v>160</v>
      </c>
      <c r="G159" s="188">
        <v>2201</v>
      </c>
      <c r="H159" s="189" t="s">
        <v>298</v>
      </c>
      <c r="I159" s="188">
        <v>2201</v>
      </c>
      <c r="J159" s="189" t="s">
        <v>162</v>
      </c>
      <c r="K159" s="189" t="s">
        <v>707</v>
      </c>
      <c r="L159" s="188">
        <v>2201006</v>
      </c>
      <c r="M159" s="191" t="s">
        <v>708</v>
      </c>
      <c r="N159" s="188">
        <v>2201006</v>
      </c>
      <c r="O159" s="189" t="s">
        <v>708</v>
      </c>
      <c r="P159" s="277">
        <v>220100600</v>
      </c>
      <c r="Q159" s="191" t="s">
        <v>709</v>
      </c>
      <c r="R159" s="277">
        <v>220100600</v>
      </c>
      <c r="S159" s="191" t="s">
        <v>709</v>
      </c>
      <c r="T159" s="194" t="s">
        <v>69</v>
      </c>
      <c r="U159" s="194">
        <v>54</v>
      </c>
      <c r="V159" s="194"/>
      <c r="W159" s="194">
        <f t="shared" si="9"/>
        <v>54</v>
      </c>
      <c r="X159" s="194">
        <v>54</v>
      </c>
      <c r="Y159" s="195">
        <v>2020003630016</v>
      </c>
      <c r="Z159" s="189" t="s">
        <v>710</v>
      </c>
      <c r="AA159" s="189" t="s">
        <v>711</v>
      </c>
      <c r="AB159" s="180"/>
      <c r="AC159" s="180">
        <v>0</v>
      </c>
      <c r="AD159" s="180"/>
      <c r="AE159" s="180"/>
      <c r="AF159" s="273">
        <v>0</v>
      </c>
      <c r="AG159" s="180"/>
      <c r="AH159" s="184">
        <f>10000000+260000000+9100000+1167359+83000000-16043333-38293334+600000000+800000000-252300834+250000000</f>
        <v>1706629858</v>
      </c>
      <c r="AI159" s="180"/>
      <c r="AJ159" s="180"/>
      <c r="AK159" s="180">
        <v>0</v>
      </c>
      <c r="AL159" s="187">
        <f t="shared" si="8"/>
        <v>1706629858</v>
      </c>
      <c r="AM159" s="198" t="s">
        <v>5</v>
      </c>
    </row>
    <row r="160" spans="1:39" s="200" customFormat="1" ht="94.5" customHeight="1">
      <c r="A160" s="188">
        <v>314</v>
      </c>
      <c r="B160" s="189" t="s">
        <v>644</v>
      </c>
      <c r="C160" s="188">
        <v>1</v>
      </c>
      <c r="D160" s="189" t="s">
        <v>148</v>
      </c>
      <c r="E160" s="188">
        <v>22</v>
      </c>
      <c r="F160" s="189" t="s">
        <v>160</v>
      </c>
      <c r="G160" s="188">
        <v>2201</v>
      </c>
      <c r="H160" s="189" t="s">
        <v>298</v>
      </c>
      <c r="I160" s="188">
        <v>2201</v>
      </c>
      <c r="J160" s="189" t="s">
        <v>162</v>
      </c>
      <c r="K160" s="189" t="s">
        <v>707</v>
      </c>
      <c r="L160" s="188">
        <v>2201015</v>
      </c>
      <c r="M160" s="191" t="s">
        <v>712</v>
      </c>
      <c r="N160" s="188">
        <v>2201015</v>
      </c>
      <c r="O160" s="189" t="s">
        <v>712</v>
      </c>
      <c r="P160" s="186">
        <v>220101500</v>
      </c>
      <c r="Q160" s="191" t="s">
        <v>713</v>
      </c>
      <c r="R160" s="186">
        <v>220101500</v>
      </c>
      <c r="S160" s="191" t="s">
        <v>713</v>
      </c>
      <c r="T160" s="194" t="s">
        <v>69</v>
      </c>
      <c r="U160" s="194">
        <v>11</v>
      </c>
      <c r="V160" s="194"/>
      <c r="W160" s="194">
        <f t="shared" si="9"/>
        <v>11</v>
      </c>
      <c r="X160" s="194">
        <v>11</v>
      </c>
      <c r="Y160" s="195">
        <v>2020003630016</v>
      </c>
      <c r="Z160" s="189" t="s">
        <v>710</v>
      </c>
      <c r="AA160" s="189" t="s">
        <v>711</v>
      </c>
      <c r="AB160" s="180"/>
      <c r="AC160" s="180">
        <v>0</v>
      </c>
      <c r="AD160" s="180"/>
      <c r="AE160" s="180"/>
      <c r="AF160" s="180">
        <v>0</v>
      </c>
      <c r="AG160" s="180"/>
      <c r="AH160" s="184">
        <f>5000000+10900000+21200000</f>
        <v>37100000</v>
      </c>
      <c r="AI160" s="180"/>
      <c r="AJ160" s="180"/>
      <c r="AK160" s="180">
        <v>0</v>
      </c>
      <c r="AL160" s="187">
        <f t="shared" si="8"/>
        <v>37100000</v>
      </c>
      <c r="AM160" s="198" t="s">
        <v>5</v>
      </c>
    </row>
    <row r="161" spans="1:39" s="200" customFormat="1" ht="74.25" customHeight="1">
      <c r="A161" s="188">
        <v>314</v>
      </c>
      <c r="B161" s="189" t="s">
        <v>644</v>
      </c>
      <c r="C161" s="188">
        <v>1</v>
      </c>
      <c r="D161" s="189" t="s">
        <v>148</v>
      </c>
      <c r="E161" s="188">
        <v>22</v>
      </c>
      <c r="F161" s="189" t="s">
        <v>160</v>
      </c>
      <c r="G161" s="188">
        <v>2201</v>
      </c>
      <c r="H161" s="189" t="s">
        <v>298</v>
      </c>
      <c r="I161" s="188">
        <v>2201</v>
      </c>
      <c r="J161" s="189" t="s">
        <v>162</v>
      </c>
      <c r="K161" s="189" t="s">
        <v>659</v>
      </c>
      <c r="L161" s="188">
        <v>2201042</v>
      </c>
      <c r="M161" s="191" t="s">
        <v>714</v>
      </c>
      <c r="N161" s="188">
        <v>2201042</v>
      </c>
      <c r="O161" s="189" t="s">
        <v>714</v>
      </c>
      <c r="P161" s="186">
        <v>220104200</v>
      </c>
      <c r="Q161" s="191" t="s">
        <v>715</v>
      </c>
      <c r="R161" s="186">
        <v>220104200</v>
      </c>
      <c r="S161" s="191" t="s">
        <v>715</v>
      </c>
      <c r="T161" s="194" t="s">
        <v>157</v>
      </c>
      <c r="U161" s="194">
        <v>6000</v>
      </c>
      <c r="V161" s="194">
        <v>3914</v>
      </c>
      <c r="W161" s="194">
        <f t="shared" si="9"/>
        <v>9914</v>
      </c>
      <c r="X161" s="194">
        <v>6376</v>
      </c>
      <c r="Y161" s="195">
        <v>2020003630016</v>
      </c>
      <c r="Z161" s="189" t="s">
        <v>710</v>
      </c>
      <c r="AA161" s="189" t="s">
        <v>711</v>
      </c>
      <c r="AB161" s="180"/>
      <c r="AC161" s="180">
        <v>0</v>
      </c>
      <c r="AD161" s="180"/>
      <c r="AE161" s="180"/>
      <c r="AF161" s="180">
        <v>0</v>
      </c>
      <c r="AG161" s="180"/>
      <c r="AH161" s="184">
        <f>10000000+1413333+50867000</f>
        <v>62280333</v>
      </c>
      <c r="AI161" s="180"/>
      <c r="AJ161" s="180"/>
      <c r="AK161" s="180">
        <v>0</v>
      </c>
      <c r="AL161" s="187">
        <f t="shared" si="8"/>
        <v>62280333</v>
      </c>
      <c r="AM161" s="198" t="s">
        <v>5</v>
      </c>
    </row>
    <row r="162" spans="1:39" s="200" customFormat="1" ht="66.75" customHeight="1">
      <c r="A162" s="188">
        <v>314</v>
      </c>
      <c r="B162" s="189" t="s">
        <v>644</v>
      </c>
      <c r="C162" s="188">
        <v>1</v>
      </c>
      <c r="D162" s="189" t="s">
        <v>148</v>
      </c>
      <c r="E162" s="188">
        <v>22</v>
      </c>
      <c r="F162" s="189" t="s">
        <v>160</v>
      </c>
      <c r="G162" s="188">
        <v>2201</v>
      </c>
      <c r="H162" s="189" t="s">
        <v>298</v>
      </c>
      <c r="I162" s="188">
        <v>2201</v>
      </c>
      <c r="J162" s="189" t="s">
        <v>162</v>
      </c>
      <c r="K162" s="189" t="s">
        <v>163</v>
      </c>
      <c r="L162" s="188">
        <v>2201071</v>
      </c>
      <c r="M162" s="191" t="s">
        <v>716</v>
      </c>
      <c r="N162" s="188">
        <v>2201071</v>
      </c>
      <c r="O162" s="294" t="s">
        <v>716</v>
      </c>
      <c r="P162" s="277">
        <v>220107100</v>
      </c>
      <c r="Q162" s="191" t="s">
        <v>717</v>
      </c>
      <c r="R162" s="277">
        <v>220107100</v>
      </c>
      <c r="S162" s="191" t="s">
        <v>717</v>
      </c>
      <c r="T162" s="194" t="s">
        <v>69</v>
      </c>
      <c r="U162" s="194">
        <v>54</v>
      </c>
      <c r="V162" s="194"/>
      <c r="W162" s="194">
        <f t="shared" si="9"/>
        <v>54</v>
      </c>
      <c r="X162" s="194">
        <v>54</v>
      </c>
      <c r="Y162" s="195">
        <v>2020003630016</v>
      </c>
      <c r="Z162" s="183" t="s">
        <v>710</v>
      </c>
      <c r="AA162" s="189" t="s">
        <v>711</v>
      </c>
      <c r="AB162" s="273"/>
      <c r="AC162" s="273">
        <f>2712985418+1460656453.37+869565217+105000000</f>
        <v>5148207088.3699999</v>
      </c>
      <c r="AD162" s="273"/>
      <c r="AE162" s="273"/>
      <c r="AF162" s="273">
        <f>154839000000+29870000000+80000000+554351.09+115811865.59+38401854</f>
        <v>184943768070.67999</v>
      </c>
      <c r="AG162" s="273"/>
      <c r="AH162" s="184">
        <f>3600000000+1476236623+230000000+450000000+8400000</f>
        <v>5764636623</v>
      </c>
      <c r="AI162" s="187"/>
      <c r="AJ162" s="187"/>
      <c r="AK162" s="273">
        <v>0</v>
      </c>
      <c r="AL162" s="187">
        <f t="shared" si="8"/>
        <v>195856611782.04999</v>
      </c>
      <c r="AM162" s="198" t="s">
        <v>5</v>
      </c>
    </row>
    <row r="163" spans="1:39" s="200" customFormat="1" ht="86.25" customHeight="1">
      <c r="A163" s="188">
        <v>314</v>
      </c>
      <c r="B163" s="189" t="s">
        <v>644</v>
      </c>
      <c r="C163" s="188">
        <v>1</v>
      </c>
      <c r="D163" s="189" t="s">
        <v>148</v>
      </c>
      <c r="E163" s="188">
        <v>22</v>
      </c>
      <c r="F163" s="189" t="s">
        <v>160</v>
      </c>
      <c r="G163" s="188">
        <v>2201</v>
      </c>
      <c r="H163" s="189" t="s">
        <v>298</v>
      </c>
      <c r="I163" s="188">
        <v>2201</v>
      </c>
      <c r="J163" s="189" t="s">
        <v>162</v>
      </c>
      <c r="K163" s="189" t="s">
        <v>659</v>
      </c>
      <c r="L163" s="188">
        <v>2201050</v>
      </c>
      <c r="M163" s="191" t="s">
        <v>718</v>
      </c>
      <c r="N163" s="188">
        <v>2201050</v>
      </c>
      <c r="O163" s="189" t="s">
        <v>718</v>
      </c>
      <c r="P163" s="186">
        <v>220105000</v>
      </c>
      <c r="Q163" s="191" t="s">
        <v>719</v>
      </c>
      <c r="R163" s="186">
        <v>220105000</v>
      </c>
      <c r="S163" s="191" t="s">
        <v>719</v>
      </c>
      <c r="T163" s="194" t="s">
        <v>157</v>
      </c>
      <c r="U163" s="279">
        <v>7000</v>
      </c>
      <c r="V163" s="279"/>
      <c r="W163" s="194">
        <f t="shared" si="9"/>
        <v>7000</v>
      </c>
      <c r="X163" s="194">
        <v>36081</v>
      </c>
      <c r="Y163" s="195">
        <v>2020003630094</v>
      </c>
      <c r="Z163" s="183" t="s">
        <v>720</v>
      </c>
      <c r="AA163" s="189" t="s">
        <v>721</v>
      </c>
      <c r="AB163" s="180"/>
      <c r="AC163" s="180">
        <v>0</v>
      </c>
      <c r="AD163" s="180"/>
      <c r="AE163" s="180"/>
      <c r="AF163" s="187"/>
      <c r="AG163" s="180"/>
      <c r="AH163" s="184">
        <f>10000000+4000000</f>
        <v>14000000</v>
      </c>
      <c r="AI163" s="180"/>
      <c r="AJ163" s="180"/>
      <c r="AK163" s="180">
        <v>0</v>
      </c>
      <c r="AL163" s="187">
        <f t="shared" si="8"/>
        <v>14000000</v>
      </c>
      <c r="AM163" s="198" t="s">
        <v>5</v>
      </c>
    </row>
    <row r="164" spans="1:39" s="200" customFormat="1" ht="66.75" customHeight="1">
      <c r="A164" s="188">
        <v>314</v>
      </c>
      <c r="B164" s="189" t="s">
        <v>644</v>
      </c>
      <c r="C164" s="188">
        <v>1</v>
      </c>
      <c r="D164" s="189" t="s">
        <v>148</v>
      </c>
      <c r="E164" s="188">
        <v>22</v>
      </c>
      <c r="F164" s="189" t="s">
        <v>160</v>
      </c>
      <c r="G164" s="188">
        <v>2201</v>
      </c>
      <c r="H164" s="189" t="s">
        <v>298</v>
      </c>
      <c r="I164" s="188">
        <v>2201</v>
      </c>
      <c r="J164" s="189" t="s">
        <v>162</v>
      </c>
      <c r="K164" s="189" t="s">
        <v>659</v>
      </c>
      <c r="L164" s="188">
        <v>2201050</v>
      </c>
      <c r="M164" s="191" t="s">
        <v>718</v>
      </c>
      <c r="N164" s="188">
        <v>2201050</v>
      </c>
      <c r="O164" s="189" t="s">
        <v>718</v>
      </c>
      <c r="P164" s="277">
        <v>220105001</v>
      </c>
      <c r="Q164" s="191" t="s">
        <v>722</v>
      </c>
      <c r="R164" s="277">
        <v>220105001</v>
      </c>
      <c r="S164" s="191" t="s">
        <v>722</v>
      </c>
      <c r="T164" s="194" t="s">
        <v>69</v>
      </c>
      <c r="U164" s="194">
        <v>150</v>
      </c>
      <c r="V164" s="194"/>
      <c r="W164" s="194">
        <f t="shared" si="9"/>
        <v>150</v>
      </c>
      <c r="X164" s="194">
        <v>86</v>
      </c>
      <c r="Y164" s="195">
        <v>2020003630094</v>
      </c>
      <c r="Z164" s="183" t="s">
        <v>720</v>
      </c>
      <c r="AA164" s="189" t="s">
        <v>721</v>
      </c>
      <c r="AB164" s="180"/>
      <c r="AC164" s="180">
        <v>0</v>
      </c>
      <c r="AD164" s="180"/>
      <c r="AE164" s="180"/>
      <c r="AF164" s="180">
        <f>611000000-4175320</f>
        <v>606824680</v>
      </c>
      <c r="AG164" s="180"/>
      <c r="AH164" s="184">
        <v>0</v>
      </c>
      <c r="AI164" s="180"/>
      <c r="AJ164" s="180"/>
      <c r="AK164" s="180">
        <v>0</v>
      </c>
      <c r="AL164" s="187">
        <f t="shared" si="8"/>
        <v>606824680</v>
      </c>
      <c r="AM164" s="198" t="s">
        <v>5</v>
      </c>
    </row>
    <row r="165" spans="1:39" s="200" customFormat="1" ht="66.75" customHeight="1">
      <c r="A165" s="188">
        <v>314</v>
      </c>
      <c r="B165" s="189" t="s">
        <v>644</v>
      </c>
      <c r="C165" s="188">
        <v>1</v>
      </c>
      <c r="D165" s="189" t="s">
        <v>148</v>
      </c>
      <c r="E165" s="188">
        <v>22</v>
      </c>
      <c r="F165" s="189" t="s">
        <v>160</v>
      </c>
      <c r="G165" s="188">
        <v>2201</v>
      </c>
      <c r="H165" s="189" t="s">
        <v>298</v>
      </c>
      <c r="I165" s="188">
        <v>2201</v>
      </c>
      <c r="J165" s="189" t="s">
        <v>162</v>
      </c>
      <c r="K165" s="191" t="s">
        <v>668</v>
      </c>
      <c r="L165" s="188" t="s">
        <v>61</v>
      </c>
      <c r="M165" s="191" t="s">
        <v>723</v>
      </c>
      <c r="N165" s="188">
        <v>2201001</v>
      </c>
      <c r="O165" s="189" t="s">
        <v>254</v>
      </c>
      <c r="P165" s="188" t="s">
        <v>61</v>
      </c>
      <c r="Q165" s="191" t="s">
        <v>724</v>
      </c>
      <c r="R165" s="186">
        <v>220100100</v>
      </c>
      <c r="S165" s="191" t="s">
        <v>725</v>
      </c>
      <c r="T165" s="194" t="s">
        <v>69</v>
      </c>
      <c r="U165" s="194">
        <v>2</v>
      </c>
      <c r="V165" s="194"/>
      <c r="W165" s="194">
        <f t="shared" si="9"/>
        <v>2</v>
      </c>
      <c r="X165" s="194">
        <v>2</v>
      </c>
      <c r="Y165" s="195">
        <v>2020003630094</v>
      </c>
      <c r="Z165" s="183" t="s">
        <v>720</v>
      </c>
      <c r="AA165" s="189" t="s">
        <v>721</v>
      </c>
      <c r="AB165" s="180"/>
      <c r="AC165" s="180">
        <v>0</v>
      </c>
      <c r="AD165" s="180"/>
      <c r="AE165" s="180"/>
      <c r="AF165" s="180">
        <v>0</v>
      </c>
      <c r="AG165" s="180"/>
      <c r="AH165" s="184">
        <v>10000000</v>
      </c>
      <c r="AI165" s="180"/>
      <c r="AJ165" s="180"/>
      <c r="AK165" s="180">
        <v>0</v>
      </c>
      <c r="AL165" s="187">
        <f t="shared" si="8"/>
        <v>10000000</v>
      </c>
      <c r="AM165" s="198" t="s">
        <v>5</v>
      </c>
    </row>
    <row r="166" spans="1:39" s="200" customFormat="1" ht="66.75" customHeight="1">
      <c r="A166" s="188">
        <v>314</v>
      </c>
      <c r="B166" s="189" t="s">
        <v>644</v>
      </c>
      <c r="C166" s="188">
        <v>1</v>
      </c>
      <c r="D166" s="189" t="s">
        <v>148</v>
      </c>
      <c r="E166" s="188">
        <v>22</v>
      </c>
      <c r="F166" s="189" t="s">
        <v>160</v>
      </c>
      <c r="G166" s="188">
        <v>2201</v>
      </c>
      <c r="H166" s="189" t="s">
        <v>298</v>
      </c>
      <c r="I166" s="188">
        <v>2201</v>
      </c>
      <c r="J166" s="189" t="s">
        <v>162</v>
      </c>
      <c r="K166" s="189" t="s">
        <v>726</v>
      </c>
      <c r="L166" s="188">
        <v>2201034</v>
      </c>
      <c r="M166" s="191" t="s">
        <v>727</v>
      </c>
      <c r="N166" s="188">
        <v>2201034</v>
      </c>
      <c r="O166" s="189" t="s">
        <v>727</v>
      </c>
      <c r="P166" s="277">
        <v>220103400</v>
      </c>
      <c r="Q166" s="191" t="s">
        <v>728</v>
      </c>
      <c r="R166" s="277">
        <v>220103400</v>
      </c>
      <c r="S166" s="191" t="s">
        <v>728</v>
      </c>
      <c r="T166" s="194" t="s">
        <v>157</v>
      </c>
      <c r="U166" s="194">
        <v>4400</v>
      </c>
      <c r="V166" s="194">
        <v>0</v>
      </c>
      <c r="W166" s="194">
        <f t="shared" si="9"/>
        <v>4400</v>
      </c>
      <c r="X166" s="194">
        <v>0</v>
      </c>
      <c r="Y166" s="195">
        <v>2020003630015</v>
      </c>
      <c r="Z166" s="183" t="s">
        <v>729</v>
      </c>
      <c r="AA166" s="189" t="s">
        <v>730</v>
      </c>
      <c r="AB166" s="180"/>
      <c r="AC166" s="180">
        <v>0</v>
      </c>
      <c r="AD166" s="180"/>
      <c r="AE166" s="180"/>
      <c r="AF166" s="180">
        <v>0</v>
      </c>
      <c r="AG166" s="180"/>
      <c r="AH166" s="184">
        <v>10000000</v>
      </c>
      <c r="AI166" s="180"/>
      <c r="AJ166" s="180"/>
      <c r="AK166" s="180">
        <v>0</v>
      </c>
      <c r="AL166" s="187">
        <f t="shared" si="8"/>
        <v>10000000</v>
      </c>
      <c r="AM166" s="198" t="s">
        <v>5</v>
      </c>
    </row>
    <row r="167" spans="1:39" s="200" customFormat="1" ht="66.75" customHeight="1">
      <c r="A167" s="188">
        <v>314</v>
      </c>
      <c r="B167" s="189" t="s">
        <v>644</v>
      </c>
      <c r="C167" s="188">
        <v>1</v>
      </c>
      <c r="D167" s="189" t="s">
        <v>148</v>
      </c>
      <c r="E167" s="188">
        <v>22</v>
      </c>
      <c r="F167" s="189" t="s">
        <v>160</v>
      </c>
      <c r="G167" s="188">
        <v>2201</v>
      </c>
      <c r="H167" s="189" t="s">
        <v>298</v>
      </c>
      <c r="I167" s="188">
        <v>2201</v>
      </c>
      <c r="J167" s="189" t="s">
        <v>162</v>
      </c>
      <c r="K167" s="189" t="s">
        <v>726</v>
      </c>
      <c r="L167" s="188">
        <v>2201034</v>
      </c>
      <c r="M167" s="191" t="s">
        <v>731</v>
      </c>
      <c r="N167" s="188">
        <v>2201034</v>
      </c>
      <c r="O167" s="189" t="s">
        <v>731</v>
      </c>
      <c r="P167" s="186">
        <v>220103401</v>
      </c>
      <c r="Q167" s="191" t="s">
        <v>732</v>
      </c>
      <c r="R167" s="186">
        <v>220103401</v>
      </c>
      <c r="S167" s="191" t="s">
        <v>732</v>
      </c>
      <c r="T167" s="194" t="s">
        <v>69</v>
      </c>
      <c r="U167" s="194">
        <v>54</v>
      </c>
      <c r="V167" s="194">
        <v>0</v>
      </c>
      <c r="W167" s="194">
        <f t="shared" si="9"/>
        <v>54</v>
      </c>
      <c r="X167" s="194">
        <v>54</v>
      </c>
      <c r="Y167" s="195">
        <v>2020003630015</v>
      </c>
      <c r="Z167" s="183" t="s">
        <v>729</v>
      </c>
      <c r="AA167" s="189" t="s">
        <v>730</v>
      </c>
      <c r="AB167" s="180"/>
      <c r="AC167" s="180">
        <v>0</v>
      </c>
      <c r="AD167" s="180"/>
      <c r="AE167" s="180"/>
      <c r="AF167" s="180">
        <v>0</v>
      </c>
      <c r="AG167" s="180"/>
      <c r="AH167" s="184">
        <v>10000000</v>
      </c>
      <c r="AI167" s="180"/>
      <c r="AJ167" s="180"/>
      <c r="AK167" s="180">
        <v>0</v>
      </c>
      <c r="AL167" s="187">
        <f t="shared" si="8"/>
        <v>10000000</v>
      </c>
      <c r="AM167" s="198" t="s">
        <v>5</v>
      </c>
    </row>
    <row r="168" spans="1:39" s="200" customFormat="1" ht="66.75" customHeight="1">
      <c r="A168" s="188">
        <v>314</v>
      </c>
      <c r="B168" s="189" t="s">
        <v>644</v>
      </c>
      <c r="C168" s="188">
        <v>1</v>
      </c>
      <c r="D168" s="189" t="s">
        <v>148</v>
      </c>
      <c r="E168" s="188">
        <v>22</v>
      </c>
      <c r="F168" s="189" t="s">
        <v>160</v>
      </c>
      <c r="G168" s="188">
        <v>2201</v>
      </c>
      <c r="H168" s="189" t="s">
        <v>298</v>
      </c>
      <c r="I168" s="188">
        <v>2201</v>
      </c>
      <c r="J168" s="189" t="s">
        <v>162</v>
      </c>
      <c r="K168" s="189" t="s">
        <v>726</v>
      </c>
      <c r="L168" s="188">
        <v>2201060</v>
      </c>
      <c r="M168" s="191" t="s">
        <v>733</v>
      </c>
      <c r="N168" s="188">
        <v>2201060</v>
      </c>
      <c r="O168" s="189" t="s">
        <v>733</v>
      </c>
      <c r="P168" s="277">
        <v>220106000</v>
      </c>
      <c r="Q168" s="191" t="s">
        <v>734</v>
      </c>
      <c r="R168" s="277">
        <v>220106000</v>
      </c>
      <c r="S168" s="191" t="s">
        <v>734</v>
      </c>
      <c r="T168" s="194" t="s">
        <v>157</v>
      </c>
      <c r="U168" s="194">
        <v>100</v>
      </c>
      <c r="V168" s="194">
        <v>13</v>
      </c>
      <c r="W168" s="194">
        <f t="shared" si="9"/>
        <v>113</v>
      </c>
      <c r="X168" s="194">
        <v>100</v>
      </c>
      <c r="Y168" s="195">
        <v>2020003630015</v>
      </c>
      <c r="Z168" s="183" t="s">
        <v>729</v>
      </c>
      <c r="AA168" s="189" t="s">
        <v>730</v>
      </c>
      <c r="AB168" s="180"/>
      <c r="AC168" s="180">
        <v>0</v>
      </c>
      <c r="AD168" s="180"/>
      <c r="AE168" s="180"/>
      <c r="AF168" s="180">
        <v>0</v>
      </c>
      <c r="AG168" s="180"/>
      <c r="AH168" s="184">
        <v>5000000</v>
      </c>
      <c r="AI168" s="180"/>
      <c r="AJ168" s="180"/>
      <c r="AK168" s="180">
        <v>0</v>
      </c>
      <c r="AL168" s="187">
        <f t="shared" si="8"/>
        <v>5000000</v>
      </c>
      <c r="AM168" s="198" t="s">
        <v>5</v>
      </c>
    </row>
    <row r="169" spans="1:39" s="200" customFormat="1" ht="94.5" customHeight="1">
      <c r="A169" s="188">
        <v>314</v>
      </c>
      <c r="B169" s="189" t="s">
        <v>644</v>
      </c>
      <c r="C169" s="188">
        <v>1</v>
      </c>
      <c r="D169" s="189" t="s">
        <v>148</v>
      </c>
      <c r="E169" s="188">
        <v>22</v>
      </c>
      <c r="F169" s="189" t="s">
        <v>160</v>
      </c>
      <c r="G169" s="188">
        <v>2201</v>
      </c>
      <c r="H169" s="189" t="s">
        <v>298</v>
      </c>
      <c r="I169" s="188">
        <v>2201</v>
      </c>
      <c r="J169" s="189" t="s">
        <v>162</v>
      </c>
      <c r="K169" s="189" t="s">
        <v>707</v>
      </c>
      <c r="L169" s="188">
        <v>2201001</v>
      </c>
      <c r="M169" s="191" t="s">
        <v>254</v>
      </c>
      <c r="N169" s="188">
        <v>2201001</v>
      </c>
      <c r="O169" s="189" t="s">
        <v>254</v>
      </c>
      <c r="P169" s="186">
        <v>220100100</v>
      </c>
      <c r="Q169" s="191" t="s">
        <v>725</v>
      </c>
      <c r="R169" s="186">
        <v>220100100</v>
      </c>
      <c r="S169" s="191" t="s">
        <v>725</v>
      </c>
      <c r="T169" s="194" t="s">
        <v>69</v>
      </c>
      <c r="U169" s="194">
        <v>5</v>
      </c>
      <c r="V169" s="194"/>
      <c r="W169" s="194">
        <f t="shared" si="9"/>
        <v>5</v>
      </c>
      <c r="X169" s="194">
        <v>4</v>
      </c>
      <c r="Y169" s="195">
        <v>2020003630095</v>
      </c>
      <c r="Z169" s="183" t="s">
        <v>735</v>
      </c>
      <c r="AA169" s="183" t="s">
        <v>736</v>
      </c>
      <c r="AB169" s="180"/>
      <c r="AC169" s="180">
        <v>0</v>
      </c>
      <c r="AD169" s="180"/>
      <c r="AE169" s="180"/>
      <c r="AF169" s="180">
        <v>0</v>
      </c>
      <c r="AG169" s="180"/>
      <c r="AH169" s="184">
        <f>9000000+7200000</f>
        <v>16200000</v>
      </c>
      <c r="AI169" s="180"/>
      <c r="AJ169" s="180"/>
      <c r="AK169" s="180">
        <v>0</v>
      </c>
      <c r="AL169" s="187">
        <f t="shared" si="8"/>
        <v>16200000</v>
      </c>
      <c r="AM169" s="198" t="s">
        <v>5</v>
      </c>
    </row>
    <row r="170" spans="1:39" s="200" customFormat="1" ht="87" customHeight="1">
      <c r="A170" s="188">
        <v>314</v>
      </c>
      <c r="B170" s="189" t="s">
        <v>644</v>
      </c>
      <c r="C170" s="188">
        <v>1</v>
      </c>
      <c r="D170" s="189" t="s">
        <v>148</v>
      </c>
      <c r="E170" s="188">
        <v>22</v>
      </c>
      <c r="F170" s="189" t="s">
        <v>160</v>
      </c>
      <c r="G170" s="188">
        <v>2201</v>
      </c>
      <c r="H170" s="189" t="s">
        <v>298</v>
      </c>
      <c r="I170" s="188">
        <v>2201</v>
      </c>
      <c r="J170" s="189" t="s">
        <v>162</v>
      </c>
      <c r="K170" s="189" t="s">
        <v>659</v>
      </c>
      <c r="L170" s="188">
        <v>2201048</v>
      </c>
      <c r="M170" s="191" t="s">
        <v>737</v>
      </c>
      <c r="N170" s="188">
        <v>2201048</v>
      </c>
      <c r="O170" s="189" t="s">
        <v>737</v>
      </c>
      <c r="P170" s="186">
        <v>220104801</v>
      </c>
      <c r="Q170" s="191" t="s">
        <v>738</v>
      </c>
      <c r="R170" s="186">
        <v>220104801</v>
      </c>
      <c r="S170" s="191" t="s">
        <v>738</v>
      </c>
      <c r="T170" s="194" t="s">
        <v>69</v>
      </c>
      <c r="U170" s="194">
        <v>1</v>
      </c>
      <c r="V170" s="194"/>
      <c r="W170" s="194">
        <f t="shared" si="9"/>
        <v>1</v>
      </c>
      <c r="X170" s="194">
        <v>0.75</v>
      </c>
      <c r="Y170" s="195">
        <v>2020003630095</v>
      </c>
      <c r="Z170" s="183" t="s">
        <v>735</v>
      </c>
      <c r="AA170" s="183" t="s">
        <v>736</v>
      </c>
      <c r="AB170" s="180"/>
      <c r="AC170" s="180">
        <v>0</v>
      </c>
      <c r="AD170" s="180"/>
      <c r="AE170" s="180"/>
      <c r="AF170" s="180">
        <v>0</v>
      </c>
      <c r="AG170" s="180"/>
      <c r="AH170" s="184">
        <f>22484457+12000000</f>
        <v>34484457</v>
      </c>
      <c r="AI170" s="180"/>
      <c r="AJ170" s="180"/>
      <c r="AK170" s="180">
        <v>0</v>
      </c>
      <c r="AL170" s="187">
        <f t="shared" si="8"/>
        <v>34484457</v>
      </c>
      <c r="AM170" s="198" t="s">
        <v>5</v>
      </c>
    </row>
    <row r="171" spans="1:39" s="200" customFormat="1" ht="66.75" customHeight="1">
      <c r="A171" s="188">
        <v>314</v>
      </c>
      <c r="B171" s="189" t="s">
        <v>644</v>
      </c>
      <c r="C171" s="188">
        <v>1</v>
      </c>
      <c r="D171" s="189" t="s">
        <v>148</v>
      </c>
      <c r="E171" s="188">
        <v>22</v>
      </c>
      <c r="F171" s="189" t="s">
        <v>160</v>
      </c>
      <c r="G171" s="188" t="s">
        <v>61</v>
      </c>
      <c r="H171" s="189" t="s">
        <v>739</v>
      </c>
      <c r="I171" s="188">
        <v>2202</v>
      </c>
      <c r="J171" s="189" t="s">
        <v>740</v>
      </c>
      <c r="K171" s="189" t="s">
        <v>704</v>
      </c>
      <c r="L171" s="188" t="s">
        <v>61</v>
      </c>
      <c r="M171" s="191" t="s">
        <v>741</v>
      </c>
      <c r="N171" s="188">
        <v>2202006</v>
      </c>
      <c r="O171" s="189" t="s">
        <v>741</v>
      </c>
      <c r="P171" s="188" t="s">
        <v>61</v>
      </c>
      <c r="Q171" s="191" t="s">
        <v>742</v>
      </c>
      <c r="R171" s="188">
        <v>220200604</v>
      </c>
      <c r="S171" s="191" t="s">
        <v>743</v>
      </c>
      <c r="T171" s="194" t="s">
        <v>69</v>
      </c>
      <c r="U171" s="194">
        <v>2</v>
      </c>
      <c r="V171" s="194"/>
      <c r="W171" s="194">
        <f t="shared" si="9"/>
        <v>2</v>
      </c>
      <c r="X171" s="194">
        <v>2</v>
      </c>
      <c r="Y171" s="195">
        <v>2020003630096</v>
      </c>
      <c r="Z171" s="183" t="s">
        <v>744</v>
      </c>
      <c r="AA171" s="189" t="s">
        <v>745</v>
      </c>
      <c r="AB171" s="180"/>
      <c r="AC171" s="273">
        <f>70000000+100000000</f>
        <v>170000000</v>
      </c>
      <c r="AD171" s="180"/>
      <c r="AE171" s="180"/>
      <c r="AF171" s="197">
        <v>0</v>
      </c>
      <c r="AG171" s="180"/>
      <c r="AH171" s="184">
        <f>100000000-100000000+46733000</f>
        <v>46733000</v>
      </c>
      <c r="AI171" s="180"/>
      <c r="AJ171" s="180"/>
      <c r="AK171" s="180">
        <v>0</v>
      </c>
      <c r="AL171" s="187">
        <f t="shared" si="8"/>
        <v>216733000</v>
      </c>
      <c r="AM171" s="198" t="s">
        <v>5</v>
      </c>
    </row>
    <row r="172" spans="1:39" s="200" customFormat="1" ht="66.75" customHeight="1">
      <c r="A172" s="188">
        <v>314</v>
      </c>
      <c r="B172" s="189" t="s">
        <v>644</v>
      </c>
      <c r="C172" s="188">
        <v>2</v>
      </c>
      <c r="D172" s="189" t="s">
        <v>200</v>
      </c>
      <c r="E172" s="188">
        <v>39</v>
      </c>
      <c r="F172" s="189" t="s">
        <v>746</v>
      </c>
      <c r="G172" s="188">
        <v>3904</v>
      </c>
      <c r="H172" s="189" t="s">
        <v>747</v>
      </c>
      <c r="I172" s="188">
        <v>3904</v>
      </c>
      <c r="J172" s="189" t="s">
        <v>748</v>
      </c>
      <c r="K172" s="189" t="s">
        <v>749</v>
      </c>
      <c r="L172" s="188">
        <v>3904006</v>
      </c>
      <c r="M172" s="191" t="s">
        <v>750</v>
      </c>
      <c r="N172" s="188">
        <v>3904006</v>
      </c>
      <c r="O172" s="189" t="s">
        <v>750</v>
      </c>
      <c r="P172" s="194">
        <v>390400604</v>
      </c>
      <c r="Q172" s="191" t="s">
        <v>751</v>
      </c>
      <c r="R172" s="194">
        <v>390400604</v>
      </c>
      <c r="S172" s="191" t="s">
        <v>752</v>
      </c>
      <c r="T172" s="192" t="s">
        <v>157</v>
      </c>
      <c r="U172" s="194">
        <v>18</v>
      </c>
      <c r="V172" s="194"/>
      <c r="W172" s="194">
        <f t="shared" si="9"/>
        <v>18</v>
      </c>
      <c r="X172" s="194">
        <v>12</v>
      </c>
      <c r="Y172" s="195">
        <v>2020003630097</v>
      </c>
      <c r="Z172" s="183" t="s">
        <v>753</v>
      </c>
      <c r="AA172" s="189" t="s">
        <v>754</v>
      </c>
      <c r="AB172" s="180"/>
      <c r="AC172" s="273">
        <v>20000000</v>
      </c>
      <c r="AD172" s="180"/>
      <c r="AE172" s="180"/>
      <c r="AF172" s="197">
        <v>30000000</v>
      </c>
      <c r="AG172" s="180"/>
      <c r="AH172" s="184">
        <v>12514678</v>
      </c>
      <c r="AI172" s="180"/>
      <c r="AJ172" s="180"/>
      <c r="AK172" s="180">
        <v>0</v>
      </c>
      <c r="AL172" s="187">
        <f t="shared" si="8"/>
        <v>62514678</v>
      </c>
      <c r="AM172" s="198" t="s">
        <v>5</v>
      </c>
    </row>
    <row r="173" spans="1:39" s="200" customFormat="1" ht="161.25" customHeight="1">
      <c r="A173" s="188">
        <v>316</v>
      </c>
      <c r="B173" s="189" t="s">
        <v>755</v>
      </c>
      <c r="C173" s="188">
        <v>1</v>
      </c>
      <c r="D173" s="189" t="s">
        <v>148</v>
      </c>
      <c r="E173" s="188">
        <v>19</v>
      </c>
      <c r="F173" s="189" t="s">
        <v>756</v>
      </c>
      <c r="G173" s="188">
        <v>1905</v>
      </c>
      <c r="H173" s="189" t="s">
        <v>757</v>
      </c>
      <c r="I173" s="188">
        <v>1905</v>
      </c>
      <c r="J173" s="189" t="s">
        <v>758</v>
      </c>
      <c r="K173" s="189" t="s">
        <v>759</v>
      </c>
      <c r="L173" s="186">
        <v>1905021</v>
      </c>
      <c r="M173" s="191" t="s">
        <v>760</v>
      </c>
      <c r="N173" s="186">
        <v>1905021</v>
      </c>
      <c r="O173" s="189" t="s">
        <v>760</v>
      </c>
      <c r="P173" s="186">
        <v>190502100</v>
      </c>
      <c r="Q173" s="191" t="s">
        <v>761</v>
      </c>
      <c r="R173" s="186">
        <v>190502100</v>
      </c>
      <c r="S173" s="191" t="s">
        <v>761</v>
      </c>
      <c r="T173" s="194" t="s">
        <v>69</v>
      </c>
      <c r="U173" s="194">
        <v>12</v>
      </c>
      <c r="V173" s="194"/>
      <c r="W173" s="194">
        <f t="shared" si="9"/>
        <v>12</v>
      </c>
      <c r="X173" s="194">
        <v>9</v>
      </c>
      <c r="Y173" s="195">
        <v>2020003630011</v>
      </c>
      <c r="Z173" s="183" t="s">
        <v>762</v>
      </c>
      <c r="AA173" s="183" t="s">
        <v>763</v>
      </c>
      <c r="AB173" s="180"/>
      <c r="AC173" s="180"/>
      <c r="AD173" s="180"/>
      <c r="AE173" s="180"/>
      <c r="AF173" s="180"/>
      <c r="AG173" s="180"/>
      <c r="AH173" s="197">
        <f>60000000+3000000+76789640</f>
        <v>139789640</v>
      </c>
      <c r="AI173" s="180"/>
      <c r="AJ173" s="180"/>
      <c r="AK173" s="180"/>
      <c r="AL173" s="187">
        <f t="shared" si="8"/>
        <v>139789640</v>
      </c>
      <c r="AM173" s="198" t="s">
        <v>6</v>
      </c>
    </row>
    <row r="174" spans="1:39" s="200" customFormat="1" ht="129" customHeight="1">
      <c r="A174" s="188">
        <v>316</v>
      </c>
      <c r="B174" s="189" t="s">
        <v>755</v>
      </c>
      <c r="C174" s="188">
        <v>1</v>
      </c>
      <c r="D174" s="189" t="s">
        <v>148</v>
      </c>
      <c r="E174" s="188">
        <v>19</v>
      </c>
      <c r="F174" s="189" t="s">
        <v>756</v>
      </c>
      <c r="G174" s="188">
        <v>1905</v>
      </c>
      <c r="H174" s="189" t="s">
        <v>757</v>
      </c>
      <c r="I174" s="188">
        <v>1905</v>
      </c>
      <c r="J174" s="189" t="s">
        <v>758</v>
      </c>
      <c r="K174" s="189" t="s">
        <v>764</v>
      </c>
      <c r="L174" s="258">
        <v>1905022</v>
      </c>
      <c r="M174" s="191" t="s">
        <v>765</v>
      </c>
      <c r="N174" s="258">
        <v>1905022</v>
      </c>
      <c r="O174" s="257" t="s">
        <v>765</v>
      </c>
      <c r="P174" s="194">
        <v>190502200</v>
      </c>
      <c r="Q174" s="191" t="s">
        <v>766</v>
      </c>
      <c r="R174" s="194">
        <v>190502200</v>
      </c>
      <c r="S174" s="191" t="s">
        <v>766</v>
      </c>
      <c r="T174" s="194" t="s">
        <v>69</v>
      </c>
      <c r="U174" s="194">
        <v>12</v>
      </c>
      <c r="V174" s="194"/>
      <c r="W174" s="194">
        <f t="shared" si="9"/>
        <v>12</v>
      </c>
      <c r="X174" s="194">
        <v>9</v>
      </c>
      <c r="Y174" s="195">
        <v>2020003630011</v>
      </c>
      <c r="Z174" s="183" t="s">
        <v>762</v>
      </c>
      <c r="AA174" s="183" t="s">
        <v>763</v>
      </c>
      <c r="AB174" s="180"/>
      <c r="AC174" s="180"/>
      <c r="AD174" s="180"/>
      <c r="AE174" s="180"/>
      <c r="AF174" s="180"/>
      <c r="AG174" s="180"/>
      <c r="AH174" s="187">
        <f>40000000+30000000+29400000</f>
        <v>99400000</v>
      </c>
      <c r="AI174" s="180"/>
      <c r="AJ174" s="180"/>
      <c r="AK174" s="180"/>
      <c r="AL174" s="187">
        <f t="shared" si="8"/>
        <v>99400000</v>
      </c>
      <c r="AM174" s="198" t="s">
        <v>6</v>
      </c>
    </row>
    <row r="175" spans="1:39" s="200" customFormat="1" ht="66.75" customHeight="1">
      <c r="A175" s="188">
        <v>316</v>
      </c>
      <c r="B175" s="189" t="s">
        <v>755</v>
      </c>
      <c r="C175" s="188">
        <v>1</v>
      </c>
      <c r="D175" s="189" t="s">
        <v>148</v>
      </c>
      <c r="E175" s="188">
        <v>33</v>
      </c>
      <c r="F175" s="189" t="s">
        <v>170</v>
      </c>
      <c r="G175" s="188">
        <v>3301</v>
      </c>
      <c r="H175" s="190" t="s">
        <v>171</v>
      </c>
      <c r="I175" s="188">
        <v>3301</v>
      </c>
      <c r="J175" s="189" t="s">
        <v>172</v>
      </c>
      <c r="K175" s="189" t="s">
        <v>767</v>
      </c>
      <c r="L175" s="186">
        <v>3301051</v>
      </c>
      <c r="M175" s="191" t="s">
        <v>768</v>
      </c>
      <c r="N175" s="186">
        <v>3301051</v>
      </c>
      <c r="O175" s="189" t="s">
        <v>768</v>
      </c>
      <c r="P175" s="186">
        <v>330105110</v>
      </c>
      <c r="Q175" s="191" t="s">
        <v>769</v>
      </c>
      <c r="R175" s="186">
        <v>330105110</v>
      </c>
      <c r="S175" s="191" t="s">
        <v>769</v>
      </c>
      <c r="T175" s="194" t="s">
        <v>157</v>
      </c>
      <c r="U175" s="194">
        <v>350</v>
      </c>
      <c r="V175" s="194"/>
      <c r="W175" s="194">
        <f t="shared" si="9"/>
        <v>350</v>
      </c>
      <c r="X175" s="194">
        <v>250</v>
      </c>
      <c r="Y175" s="195">
        <v>2020003630098</v>
      </c>
      <c r="Z175" s="183" t="s">
        <v>770</v>
      </c>
      <c r="AA175" s="189" t="s">
        <v>771</v>
      </c>
      <c r="AB175" s="180"/>
      <c r="AC175" s="180"/>
      <c r="AD175" s="180"/>
      <c r="AE175" s="180"/>
      <c r="AF175" s="180"/>
      <c r="AG175" s="180"/>
      <c r="AH175" s="187">
        <f>14600000+4300000+12800000</f>
        <v>31700000</v>
      </c>
      <c r="AI175" s="180"/>
      <c r="AJ175" s="180"/>
      <c r="AK175" s="180"/>
      <c r="AL175" s="187">
        <f t="shared" si="8"/>
        <v>31700000</v>
      </c>
      <c r="AM175" s="198" t="s">
        <v>6</v>
      </c>
    </row>
    <row r="176" spans="1:39" s="200" customFormat="1" ht="66.75" customHeight="1">
      <c r="A176" s="188">
        <v>316</v>
      </c>
      <c r="B176" s="189" t="s">
        <v>755</v>
      </c>
      <c r="C176" s="188">
        <v>1</v>
      </c>
      <c r="D176" s="189" t="s">
        <v>148</v>
      </c>
      <c r="E176" s="188">
        <v>41</v>
      </c>
      <c r="F176" s="189" t="s">
        <v>772</v>
      </c>
      <c r="G176" s="188">
        <v>4102</v>
      </c>
      <c r="H176" s="189" t="s">
        <v>773</v>
      </c>
      <c r="I176" s="188">
        <v>4102</v>
      </c>
      <c r="J176" s="189" t="s">
        <v>774</v>
      </c>
      <c r="K176" s="189" t="s">
        <v>775</v>
      </c>
      <c r="L176" s="188" t="s">
        <v>61</v>
      </c>
      <c r="M176" s="191" t="s">
        <v>776</v>
      </c>
      <c r="N176" s="186">
        <v>4102035</v>
      </c>
      <c r="O176" s="189" t="s">
        <v>101</v>
      </c>
      <c r="P176" s="188" t="s">
        <v>61</v>
      </c>
      <c r="Q176" s="191" t="s">
        <v>777</v>
      </c>
      <c r="R176" s="181">
        <v>410203500</v>
      </c>
      <c r="S176" s="191" t="s">
        <v>103</v>
      </c>
      <c r="T176" s="295" t="s">
        <v>69</v>
      </c>
      <c r="U176" s="181">
        <v>1</v>
      </c>
      <c r="V176" s="181"/>
      <c r="W176" s="194">
        <f t="shared" si="9"/>
        <v>1</v>
      </c>
      <c r="X176" s="194">
        <v>0.75</v>
      </c>
      <c r="Y176" s="195">
        <v>2020003630099</v>
      </c>
      <c r="Z176" s="183" t="s">
        <v>778</v>
      </c>
      <c r="AA176" s="189" t="s">
        <v>779</v>
      </c>
      <c r="AB176" s="180"/>
      <c r="AC176" s="180"/>
      <c r="AD176" s="180"/>
      <c r="AE176" s="180"/>
      <c r="AF176" s="180"/>
      <c r="AG176" s="180"/>
      <c r="AH176" s="187">
        <f>20000000+7500000</f>
        <v>27500000</v>
      </c>
      <c r="AI176" s="180"/>
      <c r="AJ176" s="180"/>
      <c r="AK176" s="180"/>
      <c r="AL176" s="187">
        <f t="shared" si="8"/>
        <v>27500000</v>
      </c>
      <c r="AM176" s="198" t="s">
        <v>6</v>
      </c>
    </row>
    <row r="177" spans="1:39" s="200" customFormat="1" ht="66.75" customHeight="1">
      <c r="A177" s="188">
        <v>316</v>
      </c>
      <c r="B177" s="189" t="s">
        <v>755</v>
      </c>
      <c r="C177" s="188">
        <v>1</v>
      </c>
      <c r="D177" s="189" t="s">
        <v>148</v>
      </c>
      <c r="E177" s="188">
        <v>41</v>
      </c>
      <c r="F177" s="189" t="s">
        <v>772</v>
      </c>
      <c r="G177" s="188">
        <v>4102</v>
      </c>
      <c r="H177" s="189" t="s">
        <v>773</v>
      </c>
      <c r="I177" s="188">
        <v>4102</v>
      </c>
      <c r="J177" s="189" t="s">
        <v>774</v>
      </c>
      <c r="K177" s="189" t="s">
        <v>780</v>
      </c>
      <c r="L177" s="188" t="s">
        <v>61</v>
      </c>
      <c r="M177" s="191" t="s">
        <v>781</v>
      </c>
      <c r="N177" s="186">
        <v>4102001</v>
      </c>
      <c r="O177" s="189" t="s">
        <v>782</v>
      </c>
      <c r="P177" s="188" t="s">
        <v>61</v>
      </c>
      <c r="Q177" s="191" t="s">
        <v>783</v>
      </c>
      <c r="R177" s="186">
        <v>410200100</v>
      </c>
      <c r="S177" s="191" t="s">
        <v>784</v>
      </c>
      <c r="T177" s="295" t="s">
        <v>69</v>
      </c>
      <c r="U177" s="181">
        <v>12</v>
      </c>
      <c r="V177" s="181"/>
      <c r="W177" s="194">
        <f t="shared" si="9"/>
        <v>12</v>
      </c>
      <c r="X177" s="194">
        <v>9</v>
      </c>
      <c r="Y177" s="195">
        <v>2020003630099</v>
      </c>
      <c r="Z177" s="183" t="s">
        <v>778</v>
      </c>
      <c r="AA177" s="189" t="s">
        <v>779</v>
      </c>
      <c r="AB177" s="180"/>
      <c r="AC177" s="180"/>
      <c r="AD177" s="180"/>
      <c r="AE177" s="180"/>
      <c r="AF177" s="180"/>
      <c r="AG177" s="180"/>
      <c r="AH177" s="187">
        <f>37000000+14600000+500000</f>
        <v>52100000</v>
      </c>
      <c r="AI177" s="180"/>
      <c r="AJ177" s="180"/>
      <c r="AK177" s="180"/>
      <c r="AL177" s="187">
        <f t="shared" si="8"/>
        <v>52100000</v>
      </c>
      <c r="AM177" s="198" t="s">
        <v>6</v>
      </c>
    </row>
    <row r="178" spans="1:39" s="200" customFormat="1" ht="222" customHeight="1">
      <c r="A178" s="188">
        <v>316</v>
      </c>
      <c r="B178" s="189" t="s">
        <v>755</v>
      </c>
      <c r="C178" s="188">
        <v>1</v>
      </c>
      <c r="D178" s="189" t="s">
        <v>148</v>
      </c>
      <c r="E178" s="188">
        <v>41</v>
      </c>
      <c r="F178" s="189" t="s">
        <v>772</v>
      </c>
      <c r="G178" s="188">
        <v>4102</v>
      </c>
      <c r="H178" s="189" t="s">
        <v>773</v>
      </c>
      <c r="I178" s="188">
        <v>4102</v>
      </c>
      <c r="J178" s="189" t="s">
        <v>774</v>
      </c>
      <c r="K178" s="189" t="s">
        <v>785</v>
      </c>
      <c r="L178" s="188" t="s">
        <v>61</v>
      </c>
      <c r="M178" s="191" t="s">
        <v>786</v>
      </c>
      <c r="N178" s="254" t="s">
        <v>787</v>
      </c>
      <c r="O178" s="189" t="s">
        <v>788</v>
      </c>
      <c r="P178" s="188" t="s">
        <v>61</v>
      </c>
      <c r="Q178" s="191" t="s">
        <v>789</v>
      </c>
      <c r="R178" s="254" t="s">
        <v>790</v>
      </c>
      <c r="S178" s="191" t="s">
        <v>791</v>
      </c>
      <c r="T178" s="295" t="s">
        <v>69</v>
      </c>
      <c r="U178" s="181">
        <v>1</v>
      </c>
      <c r="V178" s="181"/>
      <c r="W178" s="194">
        <f t="shared" si="9"/>
        <v>1</v>
      </c>
      <c r="X178" s="194">
        <v>0.75</v>
      </c>
      <c r="Y178" s="195">
        <v>2020003630100</v>
      </c>
      <c r="Z178" s="183" t="s">
        <v>792</v>
      </c>
      <c r="AA178" s="189" t="s">
        <v>793</v>
      </c>
      <c r="AB178" s="180"/>
      <c r="AC178" s="180"/>
      <c r="AD178" s="180"/>
      <c r="AE178" s="180"/>
      <c r="AF178" s="180"/>
      <c r="AG178" s="180"/>
      <c r="AH178" s="187">
        <f>100200000+24600000+43540000+40000000</f>
        <v>208340000</v>
      </c>
      <c r="AI178" s="180"/>
      <c r="AJ178" s="180"/>
      <c r="AK178" s="180"/>
      <c r="AL178" s="187">
        <f t="shared" si="8"/>
        <v>208340000</v>
      </c>
      <c r="AM178" s="198" t="s">
        <v>6</v>
      </c>
    </row>
    <row r="179" spans="1:39" s="200" customFormat="1" ht="201" customHeight="1">
      <c r="A179" s="188">
        <v>316</v>
      </c>
      <c r="B179" s="189" t="s">
        <v>755</v>
      </c>
      <c r="C179" s="188">
        <v>1</v>
      </c>
      <c r="D179" s="189" t="s">
        <v>148</v>
      </c>
      <c r="E179" s="188">
        <v>41</v>
      </c>
      <c r="F179" s="189" t="s">
        <v>772</v>
      </c>
      <c r="G179" s="188">
        <v>4102</v>
      </c>
      <c r="H179" s="189" t="s">
        <v>773</v>
      </c>
      <c r="I179" s="188">
        <v>4102</v>
      </c>
      <c r="J179" s="190" t="s">
        <v>774</v>
      </c>
      <c r="K179" s="189" t="s">
        <v>794</v>
      </c>
      <c r="L179" s="188" t="s">
        <v>61</v>
      </c>
      <c r="M179" s="191" t="s">
        <v>795</v>
      </c>
      <c r="N179" s="254" t="s">
        <v>787</v>
      </c>
      <c r="O179" s="189" t="s">
        <v>796</v>
      </c>
      <c r="P179" s="188" t="s">
        <v>61</v>
      </c>
      <c r="Q179" s="190" t="s">
        <v>797</v>
      </c>
      <c r="R179" s="186">
        <v>410204301</v>
      </c>
      <c r="S179" s="189" t="s">
        <v>798</v>
      </c>
      <c r="T179" s="295" t="s">
        <v>69</v>
      </c>
      <c r="U179" s="181">
        <v>1</v>
      </c>
      <c r="V179" s="181"/>
      <c r="W179" s="194">
        <f t="shared" si="9"/>
        <v>1</v>
      </c>
      <c r="X179" s="194">
        <v>0.75</v>
      </c>
      <c r="Y179" s="195">
        <v>2020003630101</v>
      </c>
      <c r="Z179" s="183" t="s">
        <v>799</v>
      </c>
      <c r="AA179" s="189" t="s">
        <v>800</v>
      </c>
      <c r="AB179" s="180"/>
      <c r="AC179" s="180"/>
      <c r="AD179" s="180"/>
      <c r="AE179" s="180"/>
      <c r="AF179" s="180"/>
      <c r="AG179" s="180"/>
      <c r="AH179" s="187">
        <f>229000000+68700000+35000000+510696665-400000000+50000000</f>
        <v>493396665</v>
      </c>
      <c r="AI179" s="180"/>
      <c r="AJ179" s="180"/>
      <c r="AK179" s="180"/>
      <c r="AL179" s="187">
        <f t="shared" si="8"/>
        <v>493396665</v>
      </c>
      <c r="AM179" s="198" t="s">
        <v>6</v>
      </c>
    </row>
    <row r="180" spans="1:39" s="200" customFormat="1" ht="207.75" customHeight="1">
      <c r="A180" s="188">
        <v>316</v>
      </c>
      <c r="B180" s="189" t="s">
        <v>755</v>
      </c>
      <c r="C180" s="188">
        <v>1</v>
      </c>
      <c r="D180" s="189" t="s">
        <v>148</v>
      </c>
      <c r="E180" s="188">
        <v>41</v>
      </c>
      <c r="F180" s="189" t="s">
        <v>772</v>
      </c>
      <c r="G180" s="188">
        <v>4102</v>
      </c>
      <c r="H180" s="189" t="s">
        <v>773</v>
      </c>
      <c r="I180" s="188">
        <v>4102</v>
      </c>
      <c r="J180" s="189" t="s">
        <v>774</v>
      </c>
      <c r="K180" s="189" t="s">
        <v>801</v>
      </c>
      <c r="L180" s="188" t="s">
        <v>61</v>
      </c>
      <c r="M180" s="191" t="s">
        <v>802</v>
      </c>
      <c r="N180" s="186">
        <v>4102038</v>
      </c>
      <c r="O180" s="189" t="s">
        <v>803</v>
      </c>
      <c r="P180" s="188" t="s">
        <v>61</v>
      </c>
      <c r="Q180" s="191" t="s">
        <v>804</v>
      </c>
      <c r="R180" s="186">
        <v>410203800</v>
      </c>
      <c r="S180" s="189" t="s">
        <v>805</v>
      </c>
      <c r="T180" s="295" t="s">
        <v>69</v>
      </c>
      <c r="U180" s="181">
        <v>1</v>
      </c>
      <c r="V180" s="181"/>
      <c r="W180" s="194">
        <f t="shared" si="9"/>
        <v>1</v>
      </c>
      <c r="X180" s="194">
        <v>0.75</v>
      </c>
      <c r="Y180" s="195">
        <v>2020003630102</v>
      </c>
      <c r="Z180" s="190" t="s">
        <v>806</v>
      </c>
      <c r="AA180" s="189" t="s">
        <v>807</v>
      </c>
      <c r="AB180" s="180"/>
      <c r="AC180" s="180"/>
      <c r="AD180" s="180"/>
      <c r="AE180" s="180"/>
      <c r="AF180" s="180"/>
      <c r="AG180" s="180"/>
      <c r="AH180" s="187">
        <f>180000000+54000000+30000000+57592028+10000000+50753000+60000000</f>
        <v>442345028</v>
      </c>
      <c r="AI180" s="180"/>
      <c r="AJ180" s="180"/>
      <c r="AK180" s="180"/>
      <c r="AL180" s="187">
        <f t="shared" si="8"/>
        <v>442345028</v>
      </c>
      <c r="AM180" s="198" t="s">
        <v>6</v>
      </c>
    </row>
    <row r="181" spans="1:39" s="200" customFormat="1" ht="66.75" customHeight="1">
      <c r="A181" s="188">
        <v>316</v>
      </c>
      <c r="B181" s="189" t="s">
        <v>755</v>
      </c>
      <c r="C181" s="188">
        <v>1</v>
      </c>
      <c r="D181" s="189" t="s">
        <v>148</v>
      </c>
      <c r="E181" s="188">
        <v>41</v>
      </c>
      <c r="F181" s="189" t="s">
        <v>772</v>
      </c>
      <c r="G181" s="188">
        <v>4102</v>
      </c>
      <c r="H181" s="189" t="s">
        <v>773</v>
      </c>
      <c r="I181" s="188">
        <v>4102</v>
      </c>
      <c r="J181" s="189" t="s">
        <v>774</v>
      </c>
      <c r="K181" s="189" t="s">
        <v>808</v>
      </c>
      <c r="L181" s="188" t="s">
        <v>61</v>
      </c>
      <c r="M181" s="191" t="s">
        <v>809</v>
      </c>
      <c r="N181" s="186">
        <v>4102042</v>
      </c>
      <c r="O181" s="189" t="s">
        <v>810</v>
      </c>
      <c r="P181" s="188" t="s">
        <v>61</v>
      </c>
      <c r="Q181" s="191" t="s">
        <v>811</v>
      </c>
      <c r="R181" s="186">
        <v>410204200</v>
      </c>
      <c r="S181" s="191" t="s">
        <v>812</v>
      </c>
      <c r="T181" s="295" t="s">
        <v>69</v>
      </c>
      <c r="U181" s="181">
        <v>12</v>
      </c>
      <c r="V181" s="181"/>
      <c r="W181" s="194">
        <f t="shared" ref="W181:W203" si="10">U181+V181</f>
        <v>12</v>
      </c>
      <c r="X181" s="194">
        <v>9</v>
      </c>
      <c r="Y181" s="261">
        <v>2021003630010</v>
      </c>
      <c r="Z181" s="183" t="s">
        <v>813</v>
      </c>
      <c r="AA181" s="257" t="s">
        <v>814</v>
      </c>
      <c r="AB181" s="180"/>
      <c r="AC181" s="180"/>
      <c r="AD181" s="180"/>
      <c r="AE181" s="180"/>
      <c r="AF181" s="180"/>
      <c r="AG181" s="180"/>
      <c r="AH181" s="187">
        <f>18000000+5400000+20400000</f>
        <v>43800000</v>
      </c>
      <c r="AI181" s="180"/>
      <c r="AJ181" s="180"/>
      <c r="AK181" s="180"/>
      <c r="AL181" s="187">
        <f t="shared" si="8"/>
        <v>43800000</v>
      </c>
      <c r="AM181" s="198" t="s">
        <v>6</v>
      </c>
    </row>
    <row r="182" spans="1:39" s="200" customFormat="1" ht="89.25" customHeight="1">
      <c r="A182" s="188">
        <v>316</v>
      </c>
      <c r="B182" s="189" t="s">
        <v>755</v>
      </c>
      <c r="C182" s="188">
        <v>1</v>
      </c>
      <c r="D182" s="189" t="s">
        <v>148</v>
      </c>
      <c r="E182" s="188">
        <v>41</v>
      </c>
      <c r="F182" s="189" t="s">
        <v>772</v>
      </c>
      <c r="G182" s="188">
        <v>4102</v>
      </c>
      <c r="H182" s="189" t="s">
        <v>773</v>
      </c>
      <c r="I182" s="188">
        <v>4102</v>
      </c>
      <c r="J182" s="189" t="s">
        <v>774</v>
      </c>
      <c r="K182" s="189" t="s">
        <v>815</v>
      </c>
      <c r="L182" s="188" t="s">
        <v>61</v>
      </c>
      <c r="M182" s="191" t="s">
        <v>816</v>
      </c>
      <c r="N182" s="186">
        <v>4102001</v>
      </c>
      <c r="O182" s="183" t="s">
        <v>817</v>
      </c>
      <c r="P182" s="188" t="s">
        <v>61</v>
      </c>
      <c r="Q182" s="191" t="s">
        <v>818</v>
      </c>
      <c r="R182" s="186">
        <v>410200100</v>
      </c>
      <c r="S182" s="191" t="s">
        <v>819</v>
      </c>
      <c r="T182" s="295" t="s">
        <v>69</v>
      </c>
      <c r="U182" s="181">
        <v>1</v>
      </c>
      <c r="V182" s="181"/>
      <c r="W182" s="194">
        <f t="shared" si="10"/>
        <v>1</v>
      </c>
      <c r="X182" s="194">
        <v>0.32</v>
      </c>
      <c r="Y182" s="195">
        <v>2020003630033</v>
      </c>
      <c r="Z182" s="183" t="s">
        <v>820</v>
      </c>
      <c r="AA182" s="183" t="s">
        <v>821</v>
      </c>
      <c r="AB182" s="180"/>
      <c r="AC182" s="180"/>
      <c r="AD182" s="180"/>
      <c r="AE182" s="180"/>
      <c r="AF182" s="180"/>
      <c r="AG182" s="180"/>
      <c r="AH182" s="187">
        <f>15000000+55000000</f>
        <v>70000000</v>
      </c>
      <c r="AI182" s="180"/>
      <c r="AJ182" s="180"/>
      <c r="AK182" s="180"/>
      <c r="AL182" s="187">
        <f t="shared" si="8"/>
        <v>70000000</v>
      </c>
      <c r="AM182" s="198" t="s">
        <v>6</v>
      </c>
    </row>
    <row r="183" spans="1:39" s="200" customFormat="1" ht="148.5" customHeight="1">
      <c r="A183" s="188">
        <v>316</v>
      </c>
      <c r="B183" s="189" t="s">
        <v>755</v>
      </c>
      <c r="C183" s="188">
        <v>1</v>
      </c>
      <c r="D183" s="189" t="s">
        <v>148</v>
      </c>
      <c r="E183" s="188">
        <v>41</v>
      </c>
      <c r="F183" s="189" t="s">
        <v>772</v>
      </c>
      <c r="G183" s="188">
        <v>4102</v>
      </c>
      <c r="H183" s="189" t="s">
        <v>773</v>
      </c>
      <c r="I183" s="188">
        <v>4102</v>
      </c>
      <c r="J183" s="189" t="s">
        <v>774</v>
      </c>
      <c r="K183" s="189" t="s">
        <v>822</v>
      </c>
      <c r="L183" s="188">
        <v>4102022</v>
      </c>
      <c r="M183" s="191" t="s">
        <v>823</v>
      </c>
      <c r="N183" s="258">
        <v>4102046</v>
      </c>
      <c r="O183" s="257" t="s">
        <v>824</v>
      </c>
      <c r="P183" s="258" t="s">
        <v>825</v>
      </c>
      <c r="Q183" s="191" t="s">
        <v>826</v>
      </c>
      <c r="R183" s="258">
        <v>410204600</v>
      </c>
      <c r="S183" s="191" t="s">
        <v>827</v>
      </c>
      <c r="T183" s="295" t="s">
        <v>157</v>
      </c>
      <c r="U183" s="181">
        <v>21</v>
      </c>
      <c r="V183" s="181"/>
      <c r="W183" s="194">
        <f t="shared" si="10"/>
        <v>21</v>
      </c>
      <c r="X183" s="194">
        <v>9</v>
      </c>
      <c r="Y183" s="195">
        <v>2020003630033</v>
      </c>
      <c r="Z183" s="183" t="s">
        <v>820</v>
      </c>
      <c r="AA183" s="183" t="s">
        <v>821</v>
      </c>
      <c r="AB183" s="180"/>
      <c r="AC183" s="180"/>
      <c r="AD183" s="180"/>
      <c r="AE183" s="180"/>
      <c r="AF183" s="180"/>
      <c r="AG183" s="180"/>
      <c r="AH183" s="187">
        <v>18000000</v>
      </c>
      <c r="AI183" s="180"/>
      <c r="AJ183" s="180"/>
      <c r="AK183" s="180"/>
      <c r="AL183" s="187">
        <f t="shared" si="8"/>
        <v>18000000</v>
      </c>
      <c r="AM183" s="198" t="s">
        <v>6</v>
      </c>
    </row>
    <row r="184" spans="1:39" s="200" customFormat="1" ht="66.75" customHeight="1">
      <c r="A184" s="188">
        <v>316</v>
      </c>
      <c r="B184" s="189" t="s">
        <v>755</v>
      </c>
      <c r="C184" s="188">
        <v>1</v>
      </c>
      <c r="D184" s="189" t="s">
        <v>148</v>
      </c>
      <c r="E184" s="188">
        <v>41</v>
      </c>
      <c r="F184" s="189" t="s">
        <v>772</v>
      </c>
      <c r="G184" s="188">
        <v>4102</v>
      </c>
      <c r="H184" s="189" t="s">
        <v>773</v>
      </c>
      <c r="I184" s="188">
        <v>4102</v>
      </c>
      <c r="J184" s="189" t="s">
        <v>774</v>
      </c>
      <c r="K184" s="189" t="s">
        <v>828</v>
      </c>
      <c r="L184" s="188">
        <v>4102038</v>
      </c>
      <c r="M184" s="191" t="s">
        <v>829</v>
      </c>
      <c r="N184" s="188">
        <v>4102038</v>
      </c>
      <c r="O184" s="189" t="s">
        <v>829</v>
      </c>
      <c r="P184" s="194">
        <v>410203800</v>
      </c>
      <c r="Q184" s="191" t="s">
        <v>805</v>
      </c>
      <c r="R184" s="194">
        <v>410203800</v>
      </c>
      <c r="S184" s="191" t="s">
        <v>805</v>
      </c>
      <c r="T184" s="295" t="s">
        <v>157</v>
      </c>
      <c r="U184" s="181">
        <v>10</v>
      </c>
      <c r="V184" s="181"/>
      <c r="W184" s="194">
        <f t="shared" si="10"/>
        <v>10</v>
      </c>
      <c r="X184" s="194">
        <v>8</v>
      </c>
      <c r="Y184" s="195">
        <v>2020003630034</v>
      </c>
      <c r="Z184" s="189" t="s">
        <v>830</v>
      </c>
      <c r="AA184" s="257" t="s">
        <v>831</v>
      </c>
      <c r="AB184" s="180"/>
      <c r="AC184" s="180"/>
      <c r="AD184" s="180"/>
      <c r="AE184" s="180"/>
      <c r="AF184" s="180"/>
      <c r="AG184" s="180"/>
      <c r="AH184" s="187">
        <f>37000000+11100000+20381667</f>
        <v>68481667</v>
      </c>
      <c r="AI184" s="180"/>
      <c r="AJ184" s="180"/>
      <c r="AK184" s="180"/>
      <c r="AL184" s="187">
        <f t="shared" si="8"/>
        <v>68481667</v>
      </c>
      <c r="AM184" s="198" t="s">
        <v>6</v>
      </c>
    </row>
    <row r="185" spans="1:39" s="200" customFormat="1" ht="66.75" customHeight="1">
      <c r="A185" s="188">
        <v>316</v>
      </c>
      <c r="B185" s="189" t="s">
        <v>755</v>
      </c>
      <c r="C185" s="188">
        <v>1</v>
      </c>
      <c r="D185" s="189" t="s">
        <v>148</v>
      </c>
      <c r="E185" s="188">
        <v>41</v>
      </c>
      <c r="F185" s="189" t="s">
        <v>772</v>
      </c>
      <c r="G185" s="188">
        <v>4103</v>
      </c>
      <c r="H185" s="189" t="s">
        <v>322</v>
      </c>
      <c r="I185" s="188">
        <v>4103</v>
      </c>
      <c r="J185" s="189" t="s">
        <v>323</v>
      </c>
      <c r="K185" s="189" t="s">
        <v>832</v>
      </c>
      <c r="L185" s="186">
        <v>4103059</v>
      </c>
      <c r="M185" s="191" t="s">
        <v>833</v>
      </c>
      <c r="N185" s="186">
        <v>4103059</v>
      </c>
      <c r="O185" s="189" t="s">
        <v>833</v>
      </c>
      <c r="P185" s="181">
        <v>410305900</v>
      </c>
      <c r="Q185" s="191" t="s">
        <v>834</v>
      </c>
      <c r="R185" s="181">
        <v>410305900</v>
      </c>
      <c r="S185" s="191" t="s">
        <v>834</v>
      </c>
      <c r="T185" s="194" t="s">
        <v>157</v>
      </c>
      <c r="U185" s="194">
        <v>16</v>
      </c>
      <c r="V185" s="194"/>
      <c r="W185" s="194">
        <f t="shared" si="10"/>
        <v>16</v>
      </c>
      <c r="X185" s="194">
        <v>12</v>
      </c>
      <c r="Y185" s="195">
        <v>2020003630103</v>
      </c>
      <c r="Z185" s="189" t="s">
        <v>835</v>
      </c>
      <c r="AA185" s="189" t="s">
        <v>836</v>
      </c>
      <c r="AB185" s="180"/>
      <c r="AC185" s="180"/>
      <c r="AD185" s="180"/>
      <c r="AE185" s="180"/>
      <c r="AF185" s="180"/>
      <c r="AG185" s="180"/>
      <c r="AH185" s="187">
        <f>35000000+10500000+18000000+12327000</f>
        <v>75827000</v>
      </c>
      <c r="AI185" s="180"/>
      <c r="AJ185" s="180"/>
      <c r="AK185" s="180"/>
      <c r="AL185" s="187">
        <f t="shared" si="8"/>
        <v>75827000</v>
      </c>
      <c r="AM185" s="198" t="s">
        <v>6</v>
      </c>
    </row>
    <row r="186" spans="1:39" s="200" customFormat="1" ht="66.75" customHeight="1">
      <c r="A186" s="188">
        <v>316</v>
      </c>
      <c r="B186" s="189" t="s">
        <v>755</v>
      </c>
      <c r="C186" s="188">
        <v>1</v>
      </c>
      <c r="D186" s="189" t="s">
        <v>148</v>
      </c>
      <c r="E186" s="188">
        <v>41</v>
      </c>
      <c r="F186" s="189" t="s">
        <v>772</v>
      </c>
      <c r="G186" s="188">
        <v>4103</v>
      </c>
      <c r="H186" s="189" t="s">
        <v>322</v>
      </c>
      <c r="I186" s="188">
        <v>4103</v>
      </c>
      <c r="J186" s="189" t="s">
        <v>323</v>
      </c>
      <c r="K186" s="189" t="s">
        <v>837</v>
      </c>
      <c r="L186" s="188">
        <v>4103052</v>
      </c>
      <c r="M186" s="191" t="s">
        <v>326</v>
      </c>
      <c r="N186" s="188">
        <v>4103052</v>
      </c>
      <c r="O186" s="189" t="s">
        <v>326</v>
      </c>
      <c r="P186" s="194">
        <v>410305202</v>
      </c>
      <c r="Q186" s="191" t="s">
        <v>838</v>
      </c>
      <c r="R186" s="194">
        <v>410305202</v>
      </c>
      <c r="S186" s="191" t="s">
        <v>839</v>
      </c>
      <c r="T186" s="194" t="s">
        <v>69</v>
      </c>
      <c r="U186" s="194">
        <v>1</v>
      </c>
      <c r="V186" s="194"/>
      <c r="W186" s="194">
        <f t="shared" si="10"/>
        <v>1</v>
      </c>
      <c r="X186" s="194">
        <v>0.75</v>
      </c>
      <c r="Y186" s="195">
        <v>2020003630104</v>
      </c>
      <c r="Z186" s="191" t="s">
        <v>840</v>
      </c>
      <c r="AA186" s="189" t="s">
        <v>841</v>
      </c>
      <c r="AB186" s="180"/>
      <c r="AC186" s="180"/>
      <c r="AD186" s="180"/>
      <c r="AE186" s="180"/>
      <c r="AF186" s="180"/>
      <c r="AG186" s="180"/>
      <c r="AH186" s="187">
        <f>32000000+9600000+12100000+20983000</f>
        <v>74683000</v>
      </c>
      <c r="AI186" s="180"/>
      <c r="AJ186" s="180"/>
      <c r="AK186" s="180"/>
      <c r="AL186" s="187">
        <f t="shared" si="8"/>
        <v>74683000</v>
      </c>
      <c r="AM186" s="198" t="s">
        <v>6</v>
      </c>
    </row>
    <row r="187" spans="1:39" s="200" customFormat="1" ht="127.5" customHeight="1">
      <c r="A187" s="188">
        <v>316</v>
      </c>
      <c r="B187" s="189" t="s">
        <v>755</v>
      </c>
      <c r="C187" s="188">
        <v>1</v>
      </c>
      <c r="D187" s="189" t="s">
        <v>148</v>
      </c>
      <c r="E187" s="188">
        <v>41</v>
      </c>
      <c r="F187" s="189" t="s">
        <v>772</v>
      </c>
      <c r="G187" s="188">
        <v>4103</v>
      </c>
      <c r="H187" s="189" t="s">
        <v>322</v>
      </c>
      <c r="I187" s="188">
        <v>4103</v>
      </c>
      <c r="J187" s="189" t="s">
        <v>323</v>
      </c>
      <c r="K187" s="189" t="s">
        <v>822</v>
      </c>
      <c r="L187" s="188">
        <v>4103050</v>
      </c>
      <c r="M187" s="191" t="s">
        <v>842</v>
      </c>
      <c r="N187" s="188">
        <v>4103050</v>
      </c>
      <c r="O187" s="189" t="s">
        <v>842</v>
      </c>
      <c r="P187" s="194">
        <v>410305001</v>
      </c>
      <c r="Q187" s="191" t="s">
        <v>843</v>
      </c>
      <c r="R187" s="194">
        <v>410305001</v>
      </c>
      <c r="S187" s="191" t="s">
        <v>843</v>
      </c>
      <c r="T187" s="194" t="s">
        <v>69</v>
      </c>
      <c r="U187" s="194">
        <v>12</v>
      </c>
      <c r="V187" s="194"/>
      <c r="W187" s="194">
        <f t="shared" si="10"/>
        <v>12</v>
      </c>
      <c r="X187" s="194">
        <v>9</v>
      </c>
      <c r="Y187" s="195">
        <v>2020003630105</v>
      </c>
      <c r="Z187" s="191" t="s">
        <v>844</v>
      </c>
      <c r="AA187" s="189" t="s">
        <v>845</v>
      </c>
      <c r="AB187" s="180"/>
      <c r="AC187" s="180"/>
      <c r="AD187" s="180"/>
      <c r="AE187" s="180"/>
      <c r="AF187" s="180"/>
      <c r="AG187" s="180"/>
      <c r="AH187" s="187">
        <f>29000000+8700000</f>
        <v>37700000</v>
      </c>
      <c r="AI187" s="180"/>
      <c r="AJ187" s="180"/>
      <c r="AK187" s="180"/>
      <c r="AL187" s="187">
        <f t="shared" si="8"/>
        <v>37700000</v>
      </c>
      <c r="AM187" s="198" t="s">
        <v>6</v>
      </c>
    </row>
    <row r="188" spans="1:39" s="200" customFormat="1" ht="66.75" customHeight="1">
      <c r="A188" s="188">
        <v>316</v>
      </c>
      <c r="B188" s="189" t="s">
        <v>755</v>
      </c>
      <c r="C188" s="188">
        <v>1</v>
      </c>
      <c r="D188" s="189" t="s">
        <v>148</v>
      </c>
      <c r="E188" s="188">
        <v>41</v>
      </c>
      <c r="F188" s="189" t="s">
        <v>772</v>
      </c>
      <c r="G188" s="188">
        <v>4103</v>
      </c>
      <c r="H188" s="189" t="s">
        <v>322</v>
      </c>
      <c r="I188" s="188">
        <v>4103</v>
      </c>
      <c r="J188" s="189" t="s">
        <v>323</v>
      </c>
      <c r="K188" s="189" t="s">
        <v>846</v>
      </c>
      <c r="L188" s="186">
        <v>4103058</v>
      </c>
      <c r="M188" s="191" t="s">
        <v>847</v>
      </c>
      <c r="N188" s="186">
        <v>4103058</v>
      </c>
      <c r="O188" s="189" t="s">
        <v>847</v>
      </c>
      <c r="P188" s="181">
        <v>410305800</v>
      </c>
      <c r="Q188" s="191" t="s">
        <v>848</v>
      </c>
      <c r="R188" s="181">
        <v>410305800</v>
      </c>
      <c r="S188" s="191" t="s">
        <v>848</v>
      </c>
      <c r="T188" s="194" t="s">
        <v>157</v>
      </c>
      <c r="U188" s="194">
        <v>5</v>
      </c>
      <c r="V188" s="194"/>
      <c r="W188" s="194">
        <f t="shared" si="10"/>
        <v>5</v>
      </c>
      <c r="X188" s="194">
        <v>4</v>
      </c>
      <c r="Y188" s="195">
        <v>2020003630106</v>
      </c>
      <c r="Z188" s="191" t="s">
        <v>849</v>
      </c>
      <c r="AA188" s="189" t="s">
        <v>850</v>
      </c>
      <c r="AB188" s="180"/>
      <c r="AC188" s="180"/>
      <c r="AD188" s="180"/>
      <c r="AE188" s="180"/>
      <c r="AF188" s="180"/>
      <c r="AG188" s="180"/>
      <c r="AH188" s="187">
        <f>30000000+9000000+14800000+11200000</f>
        <v>65000000</v>
      </c>
      <c r="AI188" s="180"/>
      <c r="AJ188" s="180"/>
      <c r="AK188" s="180"/>
      <c r="AL188" s="187">
        <f t="shared" si="8"/>
        <v>65000000</v>
      </c>
      <c r="AM188" s="198" t="s">
        <v>6</v>
      </c>
    </row>
    <row r="189" spans="1:39" s="200" customFormat="1" ht="66.75" customHeight="1">
      <c r="A189" s="188">
        <v>316</v>
      </c>
      <c r="B189" s="189" t="s">
        <v>755</v>
      </c>
      <c r="C189" s="188">
        <v>1</v>
      </c>
      <c r="D189" s="189" t="s">
        <v>148</v>
      </c>
      <c r="E189" s="188">
        <v>41</v>
      </c>
      <c r="F189" s="189" t="s">
        <v>772</v>
      </c>
      <c r="G189" s="188">
        <v>4103</v>
      </c>
      <c r="H189" s="189" t="s">
        <v>322</v>
      </c>
      <c r="I189" s="188">
        <v>4103</v>
      </c>
      <c r="J189" s="189" t="s">
        <v>323</v>
      </c>
      <c r="K189" s="183" t="s">
        <v>851</v>
      </c>
      <c r="L189" s="188" t="s">
        <v>61</v>
      </c>
      <c r="M189" s="191" t="s">
        <v>852</v>
      </c>
      <c r="N189" s="186">
        <v>4103060</v>
      </c>
      <c r="O189" s="189" t="s">
        <v>853</v>
      </c>
      <c r="P189" s="188" t="s">
        <v>61</v>
      </c>
      <c r="Q189" s="191" t="s">
        <v>854</v>
      </c>
      <c r="R189" s="186">
        <v>410306000</v>
      </c>
      <c r="S189" s="191" t="s">
        <v>855</v>
      </c>
      <c r="T189" s="194" t="s">
        <v>157</v>
      </c>
      <c r="U189" s="194">
        <v>5</v>
      </c>
      <c r="V189" s="194"/>
      <c r="W189" s="194">
        <f t="shared" si="10"/>
        <v>5</v>
      </c>
      <c r="X189" s="194">
        <v>3</v>
      </c>
      <c r="Y189" s="195">
        <v>2020003630036</v>
      </c>
      <c r="Z189" s="189" t="s">
        <v>856</v>
      </c>
      <c r="AA189" s="189" t="s">
        <v>857</v>
      </c>
      <c r="AB189" s="180"/>
      <c r="AC189" s="180"/>
      <c r="AD189" s="180"/>
      <c r="AE189" s="180"/>
      <c r="AF189" s="180"/>
      <c r="AG189" s="180"/>
      <c r="AH189" s="187">
        <f>55000000+2500000</f>
        <v>57500000</v>
      </c>
      <c r="AI189" s="180"/>
      <c r="AJ189" s="180"/>
      <c r="AK189" s="180"/>
      <c r="AL189" s="187">
        <f t="shared" si="8"/>
        <v>57500000</v>
      </c>
      <c r="AM189" s="198" t="s">
        <v>6</v>
      </c>
    </row>
    <row r="190" spans="1:39" s="200" customFormat="1" ht="66.75" customHeight="1">
      <c r="A190" s="188">
        <v>316</v>
      </c>
      <c r="B190" s="189" t="s">
        <v>755</v>
      </c>
      <c r="C190" s="188">
        <v>1</v>
      </c>
      <c r="D190" s="189" t="s">
        <v>148</v>
      </c>
      <c r="E190" s="188">
        <v>41</v>
      </c>
      <c r="F190" s="189" t="s">
        <v>772</v>
      </c>
      <c r="G190" s="188">
        <v>4103</v>
      </c>
      <c r="H190" s="189" t="s">
        <v>322</v>
      </c>
      <c r="I190" s="188">
        <v>4103</v>
      </c>
      <c r="J190" s="189" t="s">
        <v>323</v>
      </c>
      <c r="K190" s="183" t="s">
        <v>858</v>
      </c>
      <c r="L190" s="188" t="s">
        <v>61</v>
      </c>
      <c r="M190" s="191" t="s">
        <v>859</v>
      </c>
      <c r="N190" s="186">
        <v>4103060</v>
      </c>
      <c r="O190" s="189" t="s">
        <v>853</v>
      </c>
      <c r="P190" s="188" t="s">
        <v>61</v>
      </c>
      <c r="Q190" s="191" t="s">
        <v>860</v>
      </c>
      <c r="R190" s="186">
        <v>410306000</v>
      </c>
      <c r="S190" s="191" t="s">
        <v>855</v>
      </c>
      <c r="T190" s="194" t="s">
        <v>69</v>
      </c>
      <c r="U190" s="194">
        <v>2</v>
      </c>
      <c r="V190" s="194"/>
      <c r="W190" s="194">
        <f t="shared" si="10"/>
        <v>2</v>
      </c>
      <c r="X190" s="194">
        <v>2</v>
      </c>
      <c r="Y190" s="195">
        <v>2020003630036</v>
      </c>
      <c r="Z190" s="189" t="s">
        <v>856</v>
      </c>
      <c r="AA190" s="189" t="s">
        <v>857</v>
      </c>
      <c r="AB190" s="180"/>
      <c r="AC190" s="180"/>
      <c r="AD190" s="180"/>
      <c r="AE190" s="180"/>
      <c r="AF190" s="180"/>
      <c r="AG190" s="180"/>
      <c r="AH190" s="187">
        <f>40000000+2500000</f>
        <v>42500000</v>
      </c>
      <c r="AI190" s="180"/>
      <c r="AJ190" s="180"/>
      <c r="AK190" s="180"/>
      <c r="AL190" s="187">
        <f t="shared" si="8"/>
        <v>42500000</v>
      </c>
      <c r="AM190" s="198" t="s">
        <v>6</v>
      </c>
    </row>
    <row r="191" spans="1:39" s="200" customFormat="1" ht="66.75" customHeight="1">
      <c r="A191" s="188">
        <v>316</v>
      </c>
      <c r="B191" s="189" t="s">
        <v>755</v>
      </c>
      <c r="C191" s="188">
        <v>1</v>
      </c>
      <c r="D191" s="189" t="s">
        <v>148</v>
      </c>
      <c r="E191" s="188">
        <v>41</v>
      </c>
      <c r="F191" s="189" t="s">
        <v>772</v>
      </c>
      <c r="G191" s="188">
        <v>4103</v>
      </c>
      <c r="H191" s="189" t="s">
        <v>322</v>
      </c>
      <c r="I191" s="188">
        <v>4103</v>
      </c>
      <c r="J191" s="189" t="s">
        <v>323</v>
      </c>
      <c r="K191" s="189" t="s">
        <v>861</v>
      </c>
      <c r="L191" s="188" t="s">
        <v>61</v>
      </c>
      <c r="M191" s="191" t="s">
        <v>862</v>
      </c>
      <c r="N191" s="186">
        <v>4103052</v>
      </c>
      <c r="O191" s="189" t="s">
        <v>326</v>
      </c>
      <c r="P191" s="188" t="s">
        <v>61</v>
      </c>
      <c r="Q191" s="191" t="s">
        <v>863</v>
      </c>
      <c r="R191" s="186">
        <v>410305202</v>
      </c>
      <c r="S191" s="191" t="s">
        <v>838</v>
      </c>
      <c r="T191" s="194" t="s">
        <v>69</v>
      </c>
      <c r="U191" s="194">
        <v>1</v>
      </c>
      <c r="V191" s="194"/>
      <c r="W191" s="194">
        <f t="shared" si="10"/>
        <v>1</v>
      </c>
      <c r="X191" s="194">
        <v>0.4</v>
      </c>
      <c r="Y191" s="195">
        <v>2020003630037</v>
      </c>
      <c r="Z191" s="189" t="s">
        <v>864</v>
      </c>
      <c r="AA191" s="189" t="s">
        <v>865</v>
      </c>
      <c r="AB191" s="180"/>
      <c r="AC191" s="180"/>
      <c r="AD191" s="180"/>
      <c r="AE191" s="180"/>
      <c r="AF191" s="180"/>
      <c r="AG191" s="180"/>
      <c r="AH191" s="187">
        <f>40000000+22000000</f>
        <v>62000000</v>
      </c>
      <c r="AI191" s="180"/>
      <c r="AJ191" s="180"/>
      <c r="AK191" s="180"/>
      <c r="AL191" s="187">
        <f t="shared" si="8"/>
        <v>62000000</v>
      </c>
      <c r="AM191" s="198" t="s">
        <v>6</v>
      </c>
    </row>
    <row r="192" spans="1:39" s="200" customFormat="1" ht="66.75" customHeight="1">
      <c r="A192" s="188">
        <v>316</v>
      </c>
      <c r="B192" s="189" t="s">
        <v>755</v>
      </c>
      <c r="C192" s="188">
        <v>1</v>
      </c>
      <c r="D192" s="189" t="s">
        <v>148</v>
      </c>
      <c r="E192" s="188">
        <v>41</v>
      </c>
      <c r="F192" s="189" t="s">
        <v>772</v>
      </c>
      <c r="G192" s="188">
        <v>4104</v>
      </c>
      <c r="H192" s="189" t="s">
        <v>866</v>
      </c>
      <c r="I192" s="188">
        <v>4104</v>
      </c>
      <c r="J192" s="189" t="s">
        <v>182</v>
      </c>
      <c r="K192" s="191" t="s">
        <v>867</v>
      </c>
      <c r="L192" s="188">
        <v>4104035</v>
      </c>
      <c r="M192" s="191" t="s">
        <v>868</v>
      </c>
      <c r="N192" s="186">
        <v>4104020</v>
      </c>
      <c r="O192" s="189" t="s">
        <v>869</v>
      </c>
      <c r="P192" s="188">
        <v>410403500</v>
      </c>
      <c r="Q192" s="191" t="s">
        <v>870</v>
      </c>
      <c r="R192" s="186">
        <v>410402000</v>
      </c>
      <c r="S192" s="191" t="s">
        <v>871</v>
      </c>
      <c r="T192" s="194" t="s">
        <v>157</v>
      </c>
      <c r="U192" s="194">
        <v>315</v>
      </c>
      <c r="V192" s="194"/>
      <c r="W192" s="194">
        <f t="shared" si="10"/>
        <v>315</v>
      </c>
      <c r="X192" s="194">
        <v>278</v>
      </c>
      <c r="Y192" s="195">
        <v>2020003630035</v>
      </c>
      <c r="Z192" s="189" t="s">
        <v>872</v>
      </c>
      <c r="AA192" s="189" t="s">
        <v>873</v>
      </c>
      <c r="AB192" s="180"/>
      <c r="AC192" s="180"/>
      <c r="AD192" s="180"/>
      <c r="AE192" s="180"/>
      <c r="AF192" s="180"/>
      <c r="AG192" s="180"/>
      <c r="AH192" s="187">
        <v>80000000</v>
      </c>
      <c r="AI192" s="180"/>
      <c r="AJ192" s="180"/>
      <c r="AK192" s="180"/>
      <c r="AL192" s="187">
        <f t="shared" si="8"/>
        <v>80000000</v>
      </c>
      <c r="AM192" s="198" t="s">
        <v>6</v>
      </c>
    </row>
    <row r="193" spans="1:39" s="200" customFormat="1" ht="66.75" customHeight="1">
      <c r="A193" s="188">
        <v>316</v>
      </c>
      <c r="B193" s="189" t="s">
        <v>755</v>
      </c>
      <c r="C193" s="188">
        <v>1</v>
      </c>
      <c r="D193" s="189" t="s">
        <v>148</v>
      </c>
      <c r="E193" s="188">
        <v>41</v>
      </c>
      <c r="F193" s="189" t="s">
        <v>772</v>
      </c>
      <c r="G193" s="188">
        <v>4104</v>
      </c>
      <c r="H193" s="189" t="s">
        <v>866</v>
      </c>
      <c r="I193" s="188">
        <v>4104</v>
      </c>
      <c r="J193" s="189" t="s">
        <v>182</v>
      </c>
      <c r="K193" s="191" t="s">
        <v>874</v>
      </c>
      <c r="L193" s="188">
        <v>4104035</v>
      </c>
      <c r="M193" s="191" t="s">
        <v>868</v>
      </c>
      <c r="N193" s="186">
        <v>4104020</v>
      </c>
      <c r="O193" s="189" t="s">
        <v>869</v>
      </c>
      <c r="P193" s="188" t="s">
        <v>61</v>
      </c>
      <c r="Q193" s="296" t="s">
        <v>875</v>
      </c>
      <c r="R193" s="186">
        <v>410402000</v>
      </c>
      <c r="S193" s="191" t="s">
        <v>871</v>
      </c>
      <c r="T193" s="272" t="s">
        <v>69</v>
      </c>
      <c r="U193" s="194">
        <v>12</v>
      </c>
      <c r="V193" s="194"/>
      <c r="W193" s="194">
        <f t="shared" si="10"/>
        <v>12</v>
      </c>
      <c r="X193" s="194">
        <v>9</v>
      </c>
      <c r="Y193" s="195">
        <v>2020003630035</v>
      </c>
      <c r="Z193" s="189" t="s">
        <v>872</v>
      </c>
      <c r="AA193" s="189" t="s">
        <v>873</v>
      </c>
      <c r="AB193" s="180"/>
      <c r="AC193" s="180"/>
      <c r="AD193" s="180"/>
      <c r="AE193" s="180"/>
      <c r="AF193" s="180"/>
      <c r="AG193" s="180"/>
      <c r="AH193" s="187">
        <f>81000000+48300000+3000000+103100000+60330000+40000000</f>
        <v>335730000</v>
      </c>
      <c r="AI193" s="180"/>
      <c r="AJ193" s="180"/>
      <c r="AK193" s="180"/>
      <c r="AL193" s="187">
        <f t="shared" si="8"/>
        <v>335730000</v>
      </c>
      <c r="AM193" s="198" t="s">
        <v>6</v>
      </c>
    </row>
    <row r="194" spans="1:39" s="200" customFormat="1" ht="66.75" customHeight="1">
      <c r="A194" s="188">
        <v>316</v>
      </c>
      <c r="B194" s="189" t="s">
        <v>755</v>
      </c>
      <c r="C194" s="188">
        <v>1</v>
      </c>
      <c r="D194" s="189" t="s">
        <v>148</v>
      </c>
      <c r="E194" s="188">
        <v>41</v>
      </c>
      <c r="F194" s="189" t="s">
        <v>772</v>
      </c>
      <c r="G194" s="188">
        <v>4104</v>
      </c>
      <c r="H194" s="189" t="s">
        <v>866</v>
      </c>
      <c r="I194" s="188">
        <v>4104</v>
      </c>
      <c r="J194" s="189" t="s">
        <v>182</v>
      </c>
      <c r="K194" s="189" t="s">
        <v>876</v>
      </c>
      <c r="L194" s="181">
        <v>4104026</v>
      </c>
      <c r="M194" s="191" t="s">
        <v>877</v>
      </c>
      <c r="N194" s="186">
        <v>4104027</v>
      </c>
      <c r="O194" s="189" t="s">
        <v>878</v>
      </c>
      <c r="P194" s="188" t="s">
        <v>61</v>
      </c>
      <c r="Q194" s="191" t="s">
        <v>879</v>
      </c>
      <c r="R194" s="186">
        <v>410402700</v>
      </c>
      <c r="S194" s="191" t="s">
        <v>880</v>
      </c>
      <c r="T194" s="194" t="s">
        <v>69</v>
      </c>
      <c r="U194" s="194">
        <v>12</v>
      </c>
      <c r="V194" s="194"/>
      <c r="W194" s="194">
        <f t="shared" si="10"/>
        <v>12</v>
      </c>
      <c r="X194" s="194">
        <v>9</v>
      </c>
      <c r="Y194" s="195">
        <v>2020003630012</v>
      </c>
      <c r="Z194" s="189" t="s">
        <v>881</v>
      </c>
      <c r="AA194" s="189" t="s">
        <v>882</v>
      </c>
      <c r="AB194" s="180"/>
      <c r="AC194" s="180"/>
      <c r="AD194" s="180"/>
      <c r="AE194" s="180"/>
      <c r="AF194" s="180"/>
      <c r="AG194" s="180"/>
      <c r="AH194" s="187">
        <f>40000000+12000000+70000000+21000000+22400000</f>
        <v>165400000</v>
      </c>
      <c r="AI194" s="180"/>
      <c r="AJ194" s="180"/>
      <c r="AK194" s="180"/>
      <c r="AL194" s="187">
        <f t="shared" si="8"/>
        <v>165400000</v>
      </c>
      <c r="AM194" s="198" t="s">
        <v>6</v>
      </c>
    </row>
    <row r="195" spans="1:39" s="200" customFormat="1" ht="66.75" customHeight="1">
      <c r="A195" s="188">
        <v>316</v>
      </c>
      <c r="B195" s="189" t="s">
        <v>755</v>
      </c>
      <c r="C195" s="188">
        <v>1</v>
      </c>
      <c r="D195" s="189" t="s">
        <v>148</v>
      </c>
      <c r="E195" s="188">
        <v>41</v>
      </c>
      <c r="F195" s="189" t="s">
        <v>772</v>
      </c>
      <c r="G195" s="188">
        <v>4104</v>
      </c>
      <c r="H195" s="189" t="s">
        <v>866</v>
      </c>
      <c r="I195" s="188">
        <v>4104</v>
      </c>
      <c r="J195" s="189" t="s">
        <v>182</v>
      </c>
      <c r="K195" s="189" t="s">
        <v>883</v>
      </c>
      <c r="L195" s="186">
        <v>4104015</v>
      </c>
      <c r="M195" s="191" t="s">
        <v>884</v>
      </c>
      <c r="N195" s="186">
        <v>4104015</v>
      </c>
      <c r="O195" s="257" t="s">
        <v>885</v>
      </c>
      <c r="P195" s="181">
        <v>410401500</v>
      </c>
      <c r="Q195" s="191" t="s">
        <v>886</v>
      </c>
      <c r="R195" s="181">
        <v>410401500</v>
      </c>
      <c r="S195" s="191" t="s">
        <v>887</v>
      </c>
      <c r="T195" s="194" t="s">
        <v>69</v>
      </c>
      <c r="U195" s="194">
        <v>7500</v>
      </c>
      <c r="V195" s="194"/>
      <c r="W195" s="194">
        <f t="shared" si="10"/>
        <v>7500</v>
      </c>
      <c r="X195" s="194">
        <v>9542</v>
      </c>
      <c r="Y195" s="195">
        <v>2020003630109</v>
      </c>
      <c r="Z195" s="189" t="s">
        <v>888</v>
      </c>
      <c r="AA195" s="262" t="s">
        <v>889</v>
      </c>
      <c r="AB195" s="180"/>
      <c r="AC195" s="180"/>
      <c r="AD195" s="180"/>
      <c r="AE195" s="180"/>
      <c r="AF195" s="180"/>
      <c r="AG195" s="180"/>
      <c r="AH195" s="187">
        <f>108700000+32400000+14000000+118300000+45327000+30000000</f>
        <v>348727000</v>
      </c>
      <c r="AI195" s="180"/>
      <c r="AJ195" s="180"/>
      <c r="AK195" s="180"/>
      <c r="AL195" s="187">
        <f t="shared" si="8"/>
        <v>348727000</v>
      </c>
      <c r="AM195" s="198" t="s">
        <v>6</v>
      </c>
    </row>
    <row r="196" spans="1:39" s="200" customFormat="1" ht="66.75" customHeight="1">
      <c r="A196" s="188">
        <v>316</v>
      </c>
      <c r="B196" s="189" t="s">
        <v>755</v>
      </c>
      <c r="C196" s="188">
        <v>1</v>
      </c>
      <c r="D196" s="189" t="s">
        <v>148</v>
      </c>
      <c r="E196" s="188">
        <v>41</v>
      </c>
      <c r="F196" s="189" t="s">
        <v>772</v>
      </c>
      <c r="G196" s="188">
        <v>4104</v>
      </c>
      <c r="H196" s="189" t="s">
        <v>866</v>
      </c>
      <c r="I196" s="188">
        <v>4104</v>
      </c>
      <c r="J196" s="189" t="s">
        <v>182</v>
      </c>
      <c r="K196" s="189" t="s">
        <v>890</v>
      </c>
      <c r="L196" s="188" t="s">
        <v>61</v>
      </c>
      <c r="M196" s="191" t="s">
        <v>891</v>
      </c>
      <c r="N196" s="188">
        <v>4104008</v>
      </c>
      <c r="O196" s="257" t="s">
        <v>892</v>
      </c>
      <c r="P196" s="188" t="s">
        <v>61</v>
      </c>
      <c r="Q196" s="296" t="s">
        <v>893</v>
      </c>
      <c r="R196" s="188">
        <v>410400800</v>
      </c>
      <c r="S196" s="296" t="s">
        <v>894</v>
      </c>
      <c r="T196" s="192" t="s">
        <v>69</v>
      </c>
      <c r="U196" s="194">
        <v>12</v>
      </c>
      <c r="V196" s="194"/>
      <c r="W196" s="194">
        <f t="shared" si="10"/>
        <v>12</v>
      </c>
      <c r="X196" s="194">
        <v>12</v>
      </c>
      <c r="Y196" s="195">
        <v>2020003630109</v>
      </c>
      <c r="Z196" s="189" t="s">
        <v>888</v>
      </c>
      <c r="AA196" s="262" t="s">
        <v>889</v>
      </c>
      <c r="AB196" s="180">
        <f>4406063424+1400016+934325106.43+408270300.95</f>
        <v>5750058847.3800001</v>
      </c>
      <c r="AC196" s="180"/>
      <c r="AD196" s="180"/>
      <c r="AE196" s="180"/>
      <c r="AF196" s="180"/>
      <c r="AG196" s="180"/>
      <c r="AH196" s="187"/>
      <c r="AI196" s="180"/>
      <c r="AJ196" s="180"/>
      <c r="AK196" s="180"/>
      <c r="AL196" s="187">
        <f t="shared" si="8"/>
        <v>5750058847.3800001</v>
      </c>
      <c r="AM196" s="198" t="s">
        <v>6</v>
      </c>
    </row>
    <row r="197" spans="1:39" s="200" customFormat="1" ht="66.75" customHeight="1">
      <c r="A197" s="188">
        <v>316</v>
      </c>
      <c r="B197" s="189" t="s">
        <v>755</v>
      </c>
      <c r="C197" s="188">
        <v>2</v>
      </c>
      <c r="D197" s="189" t="s">
        <v>200</v>
      </c>
      <c r="E197" s="188">
        <v>17</v>
      </c>
      <c r="F197" s="189" t="s">
        <v>201</v>
      </c>
      <c r="G197" s="188">
        <v>1702</v>
      </c>
      <c r="H197" s="189" t="s">
        <v>464</v>
      </c>
      <c r="I197" s="188">
        <v>1702</v>
      </c>
      <c r="J197" s="189" t="s">
        <v>465</v>
      </c>
      <c r="K197" s="189" t="s">
        <v>895</v>
      </c>
      <c r="L197" s="186">
        <v>1702011</v>
      </c>
      <c r="M197" s="191" t="s">
        <v>896</v>
      </c>
      <c r="N197" s="186">
        <v>1702011</v>
      </c>
      <c r="O197" s="189" t="s">
        <v>896</v>
      </c>
      <c r="P197" s="181" t="s">
        <v>897</v>
      </c>
      <c r="Q197" s="191" t="s">
        <v>898</v>
      </c>
      <c r="R197" s="181" t="s">
        <v>897</v>
      </c>
      <c r="S197" s="191" t="s">
        <v>898</v>
      </c>
      <c r="T197" s="272" t="s">
        <v>157</v>
      </c>
      <c r="U197" s="194">
        <v>10</v>
      </c>
      <c r="V197" s="194"/>
      <c r="W197" s="194">
        <f t="shared" si="10"/>
        <v>10</v>
      </c>
      <c r="X197" s="194">
        <v>4</v>
      </c>
      <c r="Y197" s="195">
        <v>2020003630113</v>
      </c>
      <c r="Z197" s="189" t="s">
        <v>899</v>
      </c>
      <c r="AA197" s="189" t="s">
        <v>900</v>
      </c>
      <c r="AB197" s="180"/>
      <c r="AC197" s="180"/>
      <c r="AD197" s="180"/>
      <c r="AE197" s="180"/>
      <c r="AF197" s="180"/>
      <c r="AG197" s="180"/>
      <c r="AH197" s="187">
        <f>18000000+5400000+9900000+13000000</f>
        <v>46300000</v>
      </c>
      <c r="AI197" s="180"/>
      <c r="AJ197" s="180"/>
      <c r="AK197" s="180"/>
      <c r="AL197" s="187">
        <f t="shared" si="8"/>
        <v>46300000</v>
      </c>
      <c r="AM197" s="198" t="s">
        <v>6</v>
      </c>
    </row>
    <row r="198" spans="1:39" s="200" customFormat="1" ht="66.75" customHeight="1">
      <c r="A198" s="188">
        <v>316</v>
      </c>
      <c r="B198" s="189" t="s">
        <v>755</v>
      </c>
      <c r="C198" s="188">
        <v>2</v>
      </c>
      <c r="D198" s="189" t="s">
        <v>200</v>
      </c>
      <c r="E198" s="188">
        <v>36</v>
      </c>
      <c r="F198" s="189" t="s">
        <v>446</v>
      </c>
      <c r="G198" s="188">
        <v>3604</v>
      </c>
      <c r="H198" s="189" t="s">
        <v>901</v>
      </c>
      <c r="I198" s="188">
        <v>3604</v>
      </c>
      <c r="J198" s="189" t="s">
        <v>902</v>
      </c>
      <c r="K198" s="189" t="s">
        <v>903</v>
      </c>
      <c r="L198" s="188">
        <v>3604006</v>
      </c>
      <c r="M198" s="191" t="s">
        <v>904</v>
      </c>
      <c r="N198" s="188">
        <v>3604006</v>
      </c>
      <c r="O198" s="189" t="s">
        <v>904</v>
      </c>
      <c r="P198" s="181">
        <v>360400600</v>
      </c>
      <c r="Q198" s="191" t="s">
        <v>351</v>
      </c>
      <c r="R198" s="181">
        <v>360400600</v>
      </c>
      <c r="S198" s="191" t="s">
        <v>351</v>
      </c>
      <c r="T198" s="291" t="s">
        <v>157</v>
      </c>
      <c r="U198" s="291">
        <v>300</v>
      </c>
      <c r="V198" s="291"/>
      <c r="W198" s="194">
        <f t="shared" si="10"/>
        <v>300</v>
      </c>
      <c r="X198" s="194">
        <v>225</v>
      </c>
      <c r="Y198" s="195">
        <v>2020003630114</v>
      </c>
      <c r="Z198" s="257" t="s">
        <v>905</v>
      </c>
      <c r="AA198" s="257" t="s">
        <v>906</v>
      </c>
      <c r="AB198" s="180"/>
      <c r="AC198" s="180"/>
      <c r="AD198" s="180"/>
      <c r="AE198" s="180"/>
      <c r="AF198" s="180"/>
      <c r="AG198" s="180"/>
      <c r="AH198" s="187">
        <f>15000000+4000000</f>
        <v>19000000</v>
      </c>
      <c r="AI198" s="180"/>
      <c r="AJ198" s="180"/>
      <c r="AK198" s="180"/>
      <c r="AL198" s="187">
        <f t="shared" si="8"/>
        <v>19000000</v>
      </c>
      <c r="AM198" s="198" t="s">
        <v>6</v>
      </c>
    </row>
    <row r="199" spans="1:39" s="200" customFormat="1" ht="66.75" customHeight="1">
      <c r="A199" s="188">
        <v>316</v>
      </c>
      <c r="B199" s="189" t="s">
        <v>755</v>
      </c>
      <c r="C199" s="188">
        <v>4</v>
      </c>
      <c r="D199" s="189" t="s">
        <v>59</v>
      </c>
      <c r="E199" s="188">
        <v>45</v>
      </c>
      <c r="F199" s="189" t="s">
        <v>907</v>
      </c>
      <c r="G199" s="188">
        <v>4502</v>
      </c>
      <c r="H199" s="189" t="s">
        <v>78</v>
      </c>
      <c r="I199" s="188">
        <v>4502</v>
      </c>
      <c r="J199" s="189" t="s">
        <v>79</v>
      </c>
      <c r="K199" s="189" t="s">
        <v>908</v>
      </c>
      <c r="L199" s="186">
        <v>4502001</v>
      </c>
      <c r="M199" s="191" t="s">
        <v>90</v>
      </c>
      <c r="N199" s="186">
        <v>4502001</v>
      </c>
      <c r="O199" s="189" t="s">
        <v>90</v>
      </c>
      <c r="P199" s="188" t="s">
        <v>61</v>
      </c>
      <c r="Q199" s="191" t="s">
        <v>909</v>
      </c>
      <c r="R199" s="186">
        <v>450200108</v>
      </c>
      <c r="S199" s="191" t="s">
        <v>910</v>
      </c>
      <c r="T199" s="194" t="s">
        <v>157</v>
      </c>
      <c r="U199" s="194">
        <v>1</v>
      </c>
      <c r="V199" s="194">
        <v>1</v>
      </c>
      <c r="W199" s="194">
        <f t="shared" si="10"/>
        <v>2</v>
      </c>
      <c r="X199" s="194">
        <v>0.25</v>
      </c>
      <c r="Y199" s="195">
        <v>2020003630115</v>
      </c>
      <c r="Z199" s="189" t="s">
        <v>911</v>
      </c>
      <c r="AA199" s="189" t="s">
        <v>912</v>
      </c>
      <c r="AB199" s="180"/>
      <c r="AC199" s="180"/>
      <c r="AD199" s="180"/>
      <c r="AE199" s="180"/>
      <c r="AF199" s="180"/>
      <c r="AG199" s="180"/>
      <c r="AH199" s="187">
        <v>15000000</v>
      </c>
      <c r="AI199" s="180"/>
      <c r="AJ199" s="180"/>
      <c r="AK199" s="180"/>
      <c r="AL199" s="187">
        <f t="shared" ref="AL199:AL262" si="11">AB199+AC199+AD199+AE199+AF199+AG199+AH199+AI199+AK199+AJ199</f>
        <v>15000000</v>
      </c>
      <c r="AM199" s="198" t="s">
        <v>6</v>
      </c>
    </row>
    <row r="200" spans="1:39" s="200" customFormat="1" ht="105.75" customHeight="1">
      <c r="A200" s="188">
        <v>316</v>
      </c>
      <c r="B200" s="189" t="s">
        <v>755</v>
      </c>
      <c r="C200" s="188">
        <v>4</v>
      </c>
      <c r="D200" s="189" t="s">
        <v>59</v>
      </c>
      <c r="E200" s="188">
        <v>45</v>
      </c>
      <c r="F200" s="189" t="s">
        <v>907</v>
      </c>
      <c r="G200" s="188">
        <v>4502</v>
      </c>
      <c r="H200" s="189" t="s">
        <v>78</v>
      </c>
      <c r="I200" s="188">
        <v>4502</v>
      </c>
      <c r="J200" s="189" t="s">
        <v>79</v>
      </c>
      <c r="K200" s="191" t="s">
        <v>913</v>
      </c>
      <c r="L200" s="188" t="s">
        <v>61</v>
      </c>
      <c r="M200" s="191" t="s">
        <v>914</v>
      </c>
      <c r="N200" s="258">
        <v>4502038</v>
      </c>
      <c r="O200" s="189" t="s">
        <v>915</v>
      </c>
      <c r="P200" s="188" t="s">
        <v>61</v>
      </c>
      <c r="Q200" s="191" t="s">
        <v>916</v>
      </c>
      <c r="R200" s="194">
        <v>450203800</v>
      </c>
      <c r="S200" s="191" t="s">
        <v>917</v>
      </c>
      <c r="T200" s="194" t="s">
        <v>69</v>
      </c>
      <c r="U200" s="194">
        <v>1</v>
      </c>
      <c r="V200" s="194"/>
      <c r="W200" s="194">
        <f t="shared" si="10"/>
        <v>1</v>
      </c>
      <c r="X200" s="194">
        <v>0.5</v>
      </c>
      <c r="Y200" s="261">
        <v>2021003630008</v>
      </c>
      <c r="Z200" s="189" t="s">
        <v>918</v>
      </c>
      <c r="AA200" s="189" t="s">
        <v>919</v>
      </c>
      <c r="AB200" s="180"/>
      <c r="AC200" s="180"/>
      <c r="AD200" s="180"/>
      <c r="AE200" s="180"/>
      <c r="AF200" s="180"/>
      <c r="AG200" s="180"/>
      <c r="AH200" s="187">
        <f>80000000+24000000+2000000+71600000+65600000+30000000</f>
        <v>273200000</v>
      </c>
      <c r="AI200" s="180"/>
      <c r="AJ200" s="180"/>
      <c r="AK200" s="180"/>
      <c r="AL200" s="187">
        <f t="shared" si="11"/>
        <v>273200000</v>
      </c>
      <c r="AM200" s="198" t="s">
        <v>6</v>
      </c>
    </row>
    <row r="201" spans="1:39" s="200" customFormat="1" ht="105.75" customHeight="1">
      <c r="A201" s="188">
        <v>316</v>
      </c>
      <c r="B201" s="189" t="s">
        <v>755</v>
      </c>
      <c r="C201" s="188">
        <v>4</v>
      </c>
      <c r="D201" s="189" t="s">
        <v>59</v>
      </c>
      <c r="E201" s="188">
        <v>45</v>
      </c>
      <c r="F201" s="189" t="s">
        <v>907</v>
      </c>
      <c r="G201" s="188">
        <v>4502</v>
      </c>
      <c r="H201" s="189" t="s">
        <v>78</v>
      </c>
      <c r="I201" s="188">
        <v>4502</v>
      </c>
      <c r="J201" s="189" t="s">
        <v>79</v>
      </c>
      <c r="K201" s="189" t="s">
        <v>913</v>
      </c>
      <c r="L201" s="188" t="s">
        <v>61</v>
      </c>
      <c r="M201" s="191" t="s">
        <v>920</v>
      </c>
      <c r="N201" s="258">
        <v>4502038</v>
      </c>
      <c r="O201" s="189" t="s">
        <v>915</v>
      </c>
      <c r="P201" s="188" t="s">
        <v>61</v>
      </c>
      <c r="Q201" s="191" t="s">
        <v>921</v>
      </c>
      <c r="R201" s="194">
        <v>450203800</v>
      </c>
      <c r="S201" s="191" t="s">
        <v>917</v>
      </c>
      <c r="T201" s="194" t="s">
        <v>69</v>
      </c>
      <c r="U201" s="194">
        <v>1</v>
      </c>
      <c r="V201" s="194"/>
      <c r="W201" s="194">
        <f t="shared" si="10"/>
        <v>1</v>
      </c>
      <c r="X201" s="194">
        <v>0.65</v>
      </c>
      <c r="Y201" s="261">
        <v>2021003630007</v>
      </c>
      <c r="Z201" s="189" t="s">
        <v>922</v>
      </c>
      <c r="AA201" s="189" t="s">
        <v>923</v>
      </c>
      <c r="AB201" s="180"/>
      <c r="AC201" s="180"/>
      <c r="AD201" s="180"/>
      <c r="AE201" s="180"/>
      <c r="AF201" s="180"/>
      <c r="AG201" s="180"/>
      <c r="AH201" s="187">
        <f>78000000+23400000+24600000+51200000+30000000</f>
        <v>207200000</v>
      </c>
      <c r="AI201" s="180"/>
      <c r="AJ201" s="180"/>
      <c r="AK201" s="180"/>
      <c r="AL201" s="187">
        <f t="shared" si="11"/>
        <v>207200000</v>
      </c>
      <c r="AM201" s="198" t="s">
        <v>6</v>
      </c>
    </row>
    <row r="202" spans="1:39" s="200" customFormat="1" ht="66.75" customHeight="1">
      <c r="A202" s="188">
        <v>316</v>
      </c>
      <c r="B202" s="189" t="s">
        <v>755</v>
      </c>
      <c r="C202" s="188">
        <v>4</v>
      </c>
      <c r="D202" s="189" t="s">
        <v>59</v>
      </c>
      <c r="E202" s="188">
        <v>45</v>
      </c>
      <c r="F202" s="189" t="s">
        <v>907</v>
      </c>
      <c r="G202" s="188">
        <v>4502</v>
      </c>
      <c r="H202" s="189" t="s">
        <v>78</v>
      </c>
      <c r="I202" s="188">
        <v>4502</v>
      </c>
      <c r="J202" s="189" t="s">
        <v>79</v>
      </c>
      <c r="K202" s="191" t="s">
        <v>924</v>
      </c>
      <c r="L202" s="186">
        <v>4502024</v>
      </c>
      <c r="M202" s="191" t="s">
        <v>361</v>
      </c>
      <c r="N202" s="186">
        <v>4502024</v>
      </c>
      <c r="O202" s="189" t="s">
        <v>361</v>
      </c>
      <c r="P202" s="188" t="s">
        <v>61</v>
      </c>
      <c r="Q202" s="191" t="s">
        <v>925</v>
      </c>
      <c r="R202" s="186">
        <v>450202401</v>
      </c>
      <c r="S202" s="190" t="s">
        <v>926</v>
      </c>
      <c r="T202" s="194" t="s">
        <v>69</v>
      </c>
      <c r="U202" s="194">
        <v>1</v>
      </c>
      <c r="V202" s="194"/>
      <c r="W202" s="194">
        <f t="shared" si="10"/>
        <v>1</v>
      </c>
      <c r="X202" s="194">
        <v>0.6</v>
      </c>
      <c r="Y202" s="261">
        <v>2020003630111</v>
      </c>
      <c r="Z202" s="189" t="s">
        <v>927</v>
      </c>
      <c r="AA202" s="189" t="s">
        <v>928</v>
      </c>
      <c r="AB202" s="180"/>
      <c r="AC202" s="180"/>
      <c r="AD202" s="180"/>
      <c r="AE202" s="180"/>
      <c r="AF202" s="180"/>
      <c r="AG202" s="180"/>
      <c r="AH202" s="187">
        <f>30172972+9000000+3000000+45000000+42880000+20000000</f>
        <v>150052972</v>
      </c>
      <c r="AI202" s="180"/>
      <c r="AJ202" s="180"/>
      <c r="AK202" s="180"/>
      <c r="AL202" s="187">
        <f t="shared" si="11"/>
        <v>150052972</v>
      </c>
      <c r="AM202" s="198" t="s">
        <v>6</v>
      </c>
    </row>
    <row r="203" spans="1:39" s="200" customFormat="1" ht="66.75" customHeight="1">
      <c r="A203" s="188">
        <v>316</v>
      </c>
      <c r="B203" s="189" t="s">
        <v>755</v>
      </c>
      <c r="C203" s="188">
        <v>4</v>
      </c>
      <c r="D203" s="189" t="s">
        <v>59</v>
      </c>
      <c r="E203" s="188">
        <v>45</v>
      </c>
      <c r="F203" s="189" t="s">
        <v>907</v>
      </c>
      <c r="G203" s="188">
        <v>4502</v>
      </c>
      <c r="H203" s="189" t="s">
        <v>78</v>
      </c>
      <c r="I203" s="188">
        <v>4502</v>
      </c>
      <c r="J203" s="189" t="s">
        <v>79</v>
      </c>
      <c r="K203" s="297" t="s">
        <v>929</v>
      </c>
      <c r="L203" s="186">
        <v>4502024</v>
      </c>
      <c r="M203" s="191" t="s">
        <v>361</v>
      </c>
      <c r="N203" s="186">
        <v>4502024</v>
      </c>
      <c r="O203" s="189" t="s">
        <v>361</v>
      </c>
      <c r="P203" s="188" t="s">
        <v>61</v>
      </c>
      <c r="Q203" s="191" t="s">
        <v>930</v>
      </c>
      <c r="R203" s="186">
        <v>450202401</v>
      </c>
      <c r="S203" s="191" t="s">
        <v>926</v>
      </c>
      <c r="T203" s="194" t="s">
        <v>69</v>
      </c>
      <c r="U203" s="194">
        <v>1</v>
      </c>
      <c r="V203" s="194"/>
      <c r="W203" s="194">
        <f t="shared" si="10"/>
        <v>1</v>
      </c>
      <c r="X203" s="194">
        <v>0.6</v>
      </c>
      <c r="Y203" s="195">
        <v>2020003630112</v>
      </c>
      <c r="Z203" s="189" t="s">
        <v>931</v>
      </c>
      <c r="AA203" s="189" t="s">
        <v>932</v>
      </c>
      <c r="AB203" s="180"/>
      <c r="AC203" s="180"/>
      <c r="AD203" s="180"/>
      <c r="AE203" s="180"/>
      <c r="AF203" s="180"/>
      <c r="AG203" s="180"/>
      <c r="AH203" s="187">
        <f>50000000+15000000+50000000</f>
        <v>115000000</v>
      </c>
      <c r="AI203" s="180"/>
      <c r="AJ203" s="180"/>
      <c r="AK203" s="180"/>
      <c r="AL203" s="187">
        <f t="shared" si="11"/>
        <v>115000000</v>
      </c>
      <c r="AM203" s="198" t="s">
        <v>6</v>
      </c>
    </row>
    <row r="204" spans="1:39" s="200" customFormat="1" ht="66.75" customHeight="1">
      <c r="A204" s="188">
        <v>318</v>
      </c>
      <c r="B204" s="189" t="s">
        <v>933</v>
      </c>
      <c r="C204" s="188">
        <v>1</v>
      </c>
      <c r="D204" s="189" t="s">
        <v>148</v>
      </c>
      <c r="E204" s="188">
        <v>19</v>
      </c>
      <c r="F204" s="189" t="s">
        <v>756</v>
      </c>
      <c r="G204" s="188">
        <v>1903</v>
      </c>
      <c r="H204" s="189" t="s">
        <v>934</v>
      </c>
      <c r="I204" s="188">
        <v>1903</v>
      </c>
      <c r="J204" s="189" t="s">
        <v>935</v>
      </c>
      <c r="K204" s="189" t="s">
        <v>936</v>
      </c>
      <c r="L204" s="188">
        <v>1903009</v>
      </c>
      <c r="M204" s="191" t="s">
        <v>937</v>
      </c>
      <c r="N204" s="188">
        <v>1903009</v>
      </c>
      <c r="O204" s="189" t="s">
        <v>938</v>
      </c>
      <c r="P204" s="194">
        <v>190300900</v>
      </c>
      <c r="Q204" s="191" t="s">
        <v>939</v>
      </c>
      <c r="R204" s="194">
        <v>190300900</v>
      </c>
      <c r="S204" s="191" t="s">
        <v>940</v>
      </c>
      <c r="T204" s="194" t="s">
        <v>157</v>
      </c>
      <c r="U204" s="194">
        <v>960</v>
      </c>
      <c r="V204" s="194"/>
      <c r="W204" s="194">
        <v>960</v>
      </c>
      <c r="X204" s="194">
        <v>922</v>
      </c>
      <c r="Y204" s="195">
        <v>2020003630116</v>
      </c>
      <c r="Z204" s="189" t="s">
        <v>941</v>
      </c>
      <c r="AA204" s="189" t="s">
        <v>942</v>
      </c>
      <c r="AB204" s="180"/>
      <c r="AC204" s="180"/>
      <c r="AD204" s="180">
        <f>35000000+21600000</f>
        <v>56600000</v>
      </c>
      <c r="AE204" s="180"/>
      <c r="AF204" s="180"/>
      <c r="AG204" s="180"/>
      <c r="AH204" s="184"/>
      <c r="AI204" s="180"/>
      <c r="AJ204" s="180"/>
      <c r="AK204" s="180"/>
      <c r="AL204" s="187">
        <f t="shared" si="11"/>
        <v>56600000</v>
      </c>
      <c r="AM204" s="198" t="s">
        <v>14</v>
      </c>
    </row>
    <row r="205" spans="1:39" s="200" customFormat="1" ht="66.75" customHeight="1">
      <c r="A205" s="188">
        <v>318</v>
      </c>
      <c r="B205" s="189" t="s">
        <v>933</v>
      </c>
      <c r="C205" s="188">
        <v>1</v>
      </c>
      <c r="D205" s="189" t="s">
        <v>148</v>
      </c>
      <c r="E205" s="188">
        <v>19</v>
      </c>
      <c r="F205" s="189" t="s">
        <v>756</v>
      </c>
      <c r="G205" s="188">
        <v>1903</v>
      </c>
      <c r="H205" s="189" t="s">
        <v>934</v>
      </c>
      <c r="I205" s="188">
        <v>1903</v>
      </c>
      <c r="J205" s="189" t="s">
        <v>935</v>
      </c>
      <c r="K205" s="189" t="s">
        <v>943</v>
      </c>
      <c r="L205" s="188">
        <v>1903031</v>
      </c>
      <c r="M205" s="191" t="s">
        <v>944</v>
      </c>
      <c r="N205" s="188">
        <v>1903031</v>
      </c>
      <c r="O205" s="189" t="s">
        <v>944</v>
      </c>
      <c r="P205" s="194">
        <v>190303100</v>
      </c>
      <c r="Q205" s="191" t="s">
        <v>945</v>
      </c>
      <c r="R205" s="194">
        <v>190303100</v>
      </c>
      <c r="S205" s="191" t="s">
        <v>945</v>
      </c>
      <c r="T205" s="194" t="s">
        <v>69</v>
      </c>
      <c r="U205" s="194">
        <v>12</v>
      </c>
      <c r="V205" s="194"/>
      <c r="W205" s="194">
        <v>12</v>
      </c>
      <c r="X205" s="194">
        <v>11</v>
      </c>
      <c r="Y205" s="195">
        <v>2020003630116</v>
      </c>
      <c r="Z205" s="189" t="s">
        <v>941</v>
      </c>
      <c r="AA205" s="189" t="s">
        <v>942</v>
      </c>
      <c r="AB205" s="180"/>
      <c r="AC205" s="180"/>
      <c r="AD205" s="197">
        <v>37500000</v>
      </c>
      <c r="AE205" s="180"/>
      <c r="AF205" s="180"/>
      <c r="AG205" s="180"/>
      <c r="AH205" s="184"/>
      <c r="AI205" s="180"/>
      <c r="AJ205" s="180"/>
      <c r="AK205" s="180"/>
      <c r="AL205" s="187">
        <f t="shared" si="11"/>
        <v>37500000</v>
      </c>
      <c r="AM205" s="198" t="s">
        <v>14</v>
      </c>
    </row>
    <row r="206" spans="1:39" s="200" customFormat="1" ht="66.75" customHeight="1">
      <c r="A206" s="188">
        <v>318</v>
      </c>
      <c r="B206" s="189" t="s">
        <v>933</v>
      </c>
      <c r="C206" s="188">
        <v>1</v>
      </c>
      <c r="D206" s="189" t="s">
        <v>148</v>
      </c>
      <c r="E206" s="188">
        <v>19</v>
      </c>
      <c r="F206" s="189" t="s">
        <v>756</v>
      </c>
      <c r="G206" s="188">
        <v>1903</v>
      </c>
      <c r="H206" s="189" t="s">
        <v>934</v>
      </c>
      <c r="I206" s="188">
        <v>1903</v>
      </c>
      <c r="J206" s="189" t="s">
        <v>935</v>
      </c>
      <c r="K206" s="189" t="s">
        <v>946</v>
      </c>
      <c r="L206" s="188">
        <v>1903023</v>
      </c>
      <c r="M206" s="191" t="s">
        <v>947</v>
      </c>
      <c r="N206" s="188">
        <v>1903023</v>
      </c>
      <c r="O206" s="189" t="s">
        <v>947</v>
      </c>
      <c r="P206" s="194">
        <v>190302300</v>
      </c>
      <c r="Q206" s="191" t="s">
        <v>948</v>
      </c>
      <c r="R206" s="194">
        <v>190302300</v>
      </c>
      <c r="S206" s="191" t="s">
        <v>948</v>
      </c>
      <c r="T206" s="194" t="s">
        <v>69</v>
      </c>
      <c r="U206" s="194">
        <v>12</v>
      </c>
      <c r="V206" s="194"/>
      <c r="W206" s="194">
        <v>12</v>
      </c>
      <c r="X206" s="194">
        <v>11</v>
      </c>
      <c r="Y206" s="195">
        <v>2020003630116</v>
      </c>
      <c r="Z206" s="189" t="s">
        <v>941</v>
      </c>
      <c r="AA206" s="189" t="s">
        <v>942</v>
      </c>
      <c r="AB206" s="180"/>
      <c r="AC206" s="180"/>
      <c r="AD206" s="180">
        <v>20000000</v>
      </c>
      <c r="AE206" s="180"/>
      <c r="AF206" s="180"/>
      <c r="AG206" s="180"/>
      <c r="AH206" s="197"/>
      <c r="AI206" s="180"/>
      <c r="AJ206" s="180"/>
      <c r="AK206" s="180"/>
      <c r="AL206" s="187">
        <f t="shared" si="11"/>
        <v>20000000</v>
      </c>
      <c r="AM206" s="198" t="s">
        <v>14</v>
      </c>
    </row>
    <row r="207" spans="1:39" s="200" customFormat="1" ht="66.75" customHeight="1">
      <c r="A207" s="188">
        <v>318</v>
      </c>
      <c r="B207" s="189" t="s">
        <v>933</v>
      </c>
      <c r="C207" s="188">
        <v>1</v>
      </c>
      <c r="D207" s="189" t="s">
        <v>148</v>
      </c>
      <c r="E207" s="188">
        <v>19</v>
      </c>
      <c r="F207" s="189" t="s">
        <v>756</v>
      </c>
      <c r="G207" s="188">
        <v>1903</v>
      </c>
      <c r="H207" s="189" t="s">
        <v>934</v>
      </c>
      <c r="I207" s="188">
        <v>1903</v>
      </c>
      <c r="J207" s="189" t="s">
        <v>935</v>
      </c>
      <c r="K207" s="189" t="s">
        <v>949</v>
      </c>
      <c r="L207" s="188" t="s">
        <v>61</v>
      </c>
      <c r="M207" s="191" t="s">
        <v>950</v>
      </c>
      <c r="N207" s="188">
        <v>1903023</v>
      </c>
      <c r="O207" s="189" t="s">
        <v>951</v>
      </c>
      <c r="P207" s="188" t="s">
        <v>61</v>
      </c>
      <c r="Q207" s="191" t="s">
        <v>952</v>
      </c>
      <c r="R207" s="194">
        <v>190302300</v>
      </c>
      <c r="S207" s="191" t="s">
        <v>953</v>
      </c>
      <c r="T207" s="194" t="s">
        <v>69</v>
      </c>
      <c r="U207" s="194">
        <v>12</v>
      </c>
      <c r="V207" s="194"/>
      <c r="W207" s="194">
        <v>12</v>
      </c>
      <c r="X207" s="194">
        <v>8</v>
      </c>
      <c r="Y207" s="195">
        <v>2020003630116</v>
      </c>
      <c r="Z207" s="189" t="s">
        <v>941</v>
      </c>
      <c r="AA207" s="189" t="s">
        <v>942</v>
      </c>
      <c r="AB207" s="180"/>
      <c r="AC207" s="180"/>
      <c r="AD207" s="180">
        <v>22500000</v>
      </c>
      <c r="AE207" s="197"/>
      <c r="AF207" s="180"/>
      <c r="AG207" s="180"/>
      <c r="AH207" s="197"/>
      <c r="AI207" s="180"/>
      <c r="AJ207" s="180"/>
      <c r="AK207" s="180"/>
      <c r="AL207" s="187">
        <f t="shared" si="11"/>
        <v>22500000</v>
      </c>
      <c r="AM207" s="198" t="s">
        <v>14</v>
      </c>
    </row>
    <row r="208" spans="1:39" s="200" customFormat="1" ht="66.75" customHeight="1">
      <c r="A208" s="188">
        <v>318</v>
      </c>
      <c r="B208" s="189" t="s">
        <v>933</v>
      </c>
      <c r="C208" s="188">
        <v>1</v>
      </c>
      <c r="D208" s="189" t="s">
        <v>148</v>
      </c>
      <c r="E208" s="188">
        <v>19</v>
      </c>
      <c r="F208" s="189" t="s">
        <v>756</v>
      </c>
      <c r="G208" s="188">
        <v>1903</v>
      </c>
      <c r="H208" s="189" t="s">
        <v>934</v>
      </c>
      <c r="I208" s="188">
        <v>1903</v>
      </c>
      <c r="J208" s="189" t="s">
        <v>935</v>
      </c>
      <c r="K208" s="189" t="s">
        <v>936</v>
      </c>
      <c r="L208" s="188" t="s">
        <v>61</v>
      </c>
      <c r="M208" s="191" t="s">
        <v>954</v>
      </c>
      <c r="N208" s="188">
        <v>1903038</v>
      </c>
      <c r="O208" s="189" t="s">
        <v>955</v>
      </c>
      <c r="P208" s="188" t="s">
        <v>61</v>
      </c>
      <c r="Q208" s="191" t="s">
        <v>956</v>
      </c>
      <c r="R208" s="188">
        <v>190303801</v>
      </c>
      <c r="S208" s="191" t="s">
        <v>957</v>
      </c>
      <c r="T208" s="194" t="s">
        <v>69</v>
      </c>
      <c r="U208" s="188">
        <v>1</v>
      </c>
      <c r="V208" s="188"/>
      <c r="W208" s="194">
        <v>1</v>
      </c>
      <c r="X208" s="194">
        <v>0.5</v>
      </c>
      <c r="Y208" s="195">
        <v>2020003630116</v>
      </c>
      <c r="Z208" s="189" t="s">
        <v>941</v>
      </c>
      <c r="AA208" s="189" t="s">
        <v>942</v>
      </c>
      <c r="AB208" s="180"/>
      <c r="AC208" s="180"/>
      <c r="AD208" s="180">
        <v>0</v>
      </c>
      <c r="AE208" s="180"/>
      <c r="AF208" s="180"/>
      <c r="AG208" s="180"/>
      <c r="AH208" s="197"/>
      <c r="AI208" s="180"/>
      <c r="AJ208" s="180"/>
      <c r="AK208" s="187">
        <f>400000000+696605698.65+60600</f>
        <v>1096666298.6500001</v>
      </c>
      <c r="AL208" s="187">
        <f t="shared" si="11"/>
        <v>1096666298.6500001</v>
      </c>
      <c r="AM208" s="198" t="s">
        <v>14</v>
      </c>
    </row>
    <row r="209" spans="1:50" s="200" customFormat="1" ht="66.75" customHeight="1">
      <c r="A209" s="188">
        <v>318</v>
      </c>
      <c r="B209" s="189" t="s">
        <v>933</v>
      </c>
      <c r="C209" s="188">
        <v>1</v>
      </c>
      <c r="D209" s="189" t="s">
        <v>148</v>
      </c>
      <c r="E209" s="188">
        <v>19</v>
      </c>
      <c r="F209" s="189" t="s">
        <v>756</v>
      </c>
      <c r="G209" s="188">
        <v>1903</v>
      </c>
      <c r="H209" s="189" t="s">
        <v>934</v>
      </c>
      <c r="I209" s="188">
        <v>1903</v>
      </c>
      <c r="J209" s="189" t="s">
        <v>935</v>
      </c>
      <c r="K209" s="189" t="s">
        <v>958</v>
      </c>
      <c r="L209" s="188">
        <v>1903038</v>
      </c>
      <c r="M209" s="191" t="s">
        <v>955</v>
      </c>
      <c r="N209" s="188">
        <v>1903038</v>
      </c>
      <c r="O209" s="189" t="s">
        <v>955</v>
      </c>
      <c r="P209" s="194">
        <v>190303801</v>
      </c>
      <c r="Q209" s="190" t="s">
        <v>959</v>
      </c>
      <c r="R209" s="194">
        <v>190303801</v>
      </c>
      <c r="S209" s="191" t="s">
        <v>959</v>
      </c>
      <c r="T209" s="194" t="s">
        <v>69</v>
      </c>
      <c r="U209" s="194">
        <v>11</v>
      </c>
      <c r="V209" s="194"/>
      <c r="W209" s="194">
        <v>11</v>
      </c>
      <c r="X209" s="194">
        <v>11</v>
      </c>
      <c r="Y209" s="195">
        <v>2020003630116</v>
      </c>
      <c r="Z209" s="189" t="s">
        <v>941</v>
      </c>
      <c r="AA209" s="189" t="s">
        <v>942</v>
      </c>
      <c r="AB209" s="180"/>
      <c r="AC209" s="180"/>
      <c r="AD209" s="187">
        <f>17500000+300000000+80000000</f>
        <v>397500000</v>
      </c>
      <c r="AE209" s="180"/>
      <c r="AF209" s="180"/>
      <c r="AG209" s="180"/>
      <c r="AH209" s="197"/>
      <c r="AI209" s="180"/>
      <c r="AJ209" s="180"/>
      <c r="AK209" s="180"/>
      <c r="AL209" s="187">
        <f t="shared" si="11"/>
        <v>397500000</v>
      </c>
      <c r="AM209" s="198" t="s">
        <v>14</v>
      </c>
    </row>
    <row r="210" spans="1:50" s="200" customFormat="1" ht="66.75" customHeight="1">
      <c r="A210" s="188">
        <v>318</v>
      </c>
      <c r="B210" s="189" t="s">
        <v>933</v>
      </c>
      <c r="C210" s="188">
        <v>1</v>
      </c>
      <c r="D210" s="189" t="s">
        <v>148</v>
      </c>
      <c r="E210" s="188">
        <v>19</v>
      </c>
      <c r="F210" s="189" t="s">
        <v>756</v>
      </c>
      <c r="G210" s="188">
        <v>1903</v>
      </c>
      <c r="H210" s="190" t="s">
        <v>934</v>
      </c>
      <c r="I210" s="188">
        <v>1903</v>
      </c>
      <c r="J210" s="190" t="s">
        <v>935</v>
      </c>
      <c r="K210" s="189" t="s">
        <v>943</v>
      </c>
      <c r="L210" s="188">
        <v>1903027</v>
      </c>
      <c r="M210" s="191" t="s">
        <v>960</v>
      </c>
      <c r="N210" s="188">
        <v>1903027</v>
      </c>
      <c r="O210" s="189" t="s">
        <v>960</v>
      </c>
      <c r="P210" s="194">
        <v>190302700</v>
      </c>
      <c r="Q210" s="191" t="s">
        <v>961</v>
      </c>
      <c r="R210" s="194">
        <v>190302700</v>
      </c>
      <c r="S210" s="191" t="s">
        <v>961</v>
      </c>
      <c r="T210" s="194" t="s">
        <v>69</v>
      </c>
      <c r="U210" s="194">
        <v>5</v>
      </c>
      <c r="V210" s="194"/>
      <c r="W210" s="194">
        <v>5</v>
      </c>
      <c r="X210" s="194">
        <v>5</v>
      </c>
      <c r="Y210" s="195">
        <v>2020003630116</v>
      </c>
      <c r="Z210" s="189" t="s">
        <v>941</v>
      </c>
      <c r="AA210" s="189" t="s">
        <v>942</v>
      </c>
      <c r="AB210" s="180"/>
      <c r="AC210" s="180"/>
      <c r="AD210" s="187">
        <v>12500000</v>
      </c>
      <c r="AE210" s="180"/>
      <c r="AF210" s="180"/>
      <c r="AG210" s="180"/>
      <c r="AH210" s="197"/>
      <c r="AI210" s="180"/>
      <c r="AJ210" s="180"/>
      <c r="AK210" s="180"/>
      <c r="AL210" s="187">
        <f t="shared" si="11"/>
        <v>12500000</v>
      </c>
      <c r="AM210" s="198" t="s">
        <v>14</v>
      </c>
    </row>
    <row r="211" spans="1:50" s="200" customFormat="1" ht="66.75" customHeight="1">
      <c r="A211" s="188">
        <v>318</v>
      </c>
      <c r="B211" s="189" t="s">
        <v>933</v>
      </c>
      <c r="C211" s="188">
        <v>1</v>
      </c>
      <c r="D211" s="189" t="s">
        <v>148</v>
      </c>
      <c r="E211" s="188">
        <v>19</v>
      </c>
      <c r="F211" s="189" t="s">
        <v>756</v>
      </c>
      <c r="G211" s="188">
        <v>1903</v>
      </c>
      <c r="H211" s="189" t="s">
        <v>934</v>
      </c>
      <c r="I211" s="188">
        <v>1903</v>
      </c>
      <c r="J211" s="189" t="s">
        <v>935</v>
      </c>
      <c r="K211" s="191" t="s">
        <v>962</v>
      </c>
      <c r="L211" s="188">
        <v>1903011</v>
      </c>
      <c r="M211" s="191" t="s">
        <v>963</v>
      </c>
      <c r="N211" s="188">
        <v>1903011</v>
      </c>
      <c r="O211" s="189" t="s">
        <v>963</v>
      </c>
      <c r="P211" s="194">
        <v>190301100</v>
      </c>
      <c r="Q211" s="191" t="s">
        <v>964</v>
      </c>
      <c r="R211" s="194">
        <v>190301100</v>
      </c>
      <c r="S211" s="191" t="s">
        <v>965</v>
      </c>
      <c r="T211" s="194" t="s">
        <v>69</v>
      </c>
      <c r="U211" s="194">
        <v>140</v>
      </c>
      <c r="V211" s="194"/>
      <c r="W211" s="194">
        <v>140</v>
      </c>
      <c r="X211" s="194">
        <v>177</v>
      </c>
      <c r="Y211" s="195">
        <v>2020003630116</v>
      </c>
      <c r="Z211" s="189" t="s">
        <v>941</v>
      </c>
      <c r="AA211" s="189" t="s">
        <v>942</v>
      </c>
      <c r="AB211" s="180"/>
      <c r="AC211" s="180"/>
      <c r="AD211" s="180">
        <v>22500000</v>
      </c>
      <c r="AE211" s="180"/>
      <c r="AF211" s="180"/>
      <c r="AG211" s="180"/>
      <c r="AH211" s="197"/>
      <c r="AI211" s="180"/>
      <c r="AJ211" s="180"/>
      <c r="AK211" s="180"/>
      <c r="AL211" s="187">
        <f t="shared" si="11"/>
        <v>22500000</v>
      </c>
      <c r="AM211" s="198" t="s">
        <v>14</v>
      </c>
    </row>
    <row r="212" spans="1:50" s="200" customFormat="1" ht="66.75" customHeight="1">
      <c r="A212" s="188">
        <v>318</v>
      </c>
      <c r="B212" s="189" t="s">
        <v>933</v>
      </c>
      <c r="C212" s="188">
        <v>1</v>
      </c>
      <c r="D212" s="189" t="s">
        <v>148</v>
      </c>
      <c r="E212" s="188">
        <v>19</v>
      </c>
      <c r="F212" s="189" t="s">
        <v>756</v>
      </c>
      <c r="G212" s="188">
        <v>1903</v>
      </c>
      <c r="H212" s="189" t="s">
        <v>934</v>
      </c>
      <c r="I212" s="188">
        <v>1903</v>
      </c>
      <c r="J212" s="189" t="s">
        <v>935</v>
      </c>
      <c r="K212" s="189" t="s">
        <v>966</v>
      </c>
      <c r="L212" s="188">
        <v>1903001</v>
      </c>
      <c r="M212" s="191" t="s">
        <v>101</v>
      </c>
      <c r="N212" s="188">
        <v>1903001</v>
      </c>
      <c r="O212" s="189" t="s">
        <v>101</v>
      </c>
      <c r="P212" s="194">
        <v>190300100</v>
      </c>
      <c r="Q212" s="191" t="s">
        <v>967</v>
      </c>
      <c r="R212" s="194">
        <v>190300100</v>
      </c>
      <c r="S212" s="191" t="s">
        <v>967</v>
      </c>
      <c r="T212" s="194" t="s">
        <v>69</v>
      </c>
      <c r="U212" s="194">
        <v>2</v>
      </c>
      <c r="V212" s="194"/>
      <c r="W212" s="194">
        <v>2</v>
      </c>
      <c r="X212" s="194">
        <v>1</v>
      </c>
      <c r="Y212" s="195">
        <v>2020003630117</v>
      </c>
      <c r="Z212" s="189" t="s">
        <v>968</v>
      </c>
      <c r="AA212" s="189" t="s">
        <v>969</v>
      </c>
      <c r="AB212" s="180"/>
      <c r="AC212" s="180"/>
      <c r="AD212" s="180">
        <v>62500000</v>
      </c>
      <c r="AE212" s="180">
        <v>38240000</v>
      </c>
      <c r="AF212" s="180"/>
      <c r="AG212" s="180"/>
      <c r="AH212" s="184"/>
      <c r="AI212" s="180"/>
      <c r="AJ212" s="180"/>
      <c r="AK212" s="180"/>
      <c r="AL212" s="187">
        <f t="shared" si="11"/>
        <v>100740000</v>
      </c>
      <c r="AM212" s="198" t="s">
        <v>14</v>
      </c>
    </row>
    <row r="213" spans="1:50" s="200" customFormat="1" ht="66.75" customHeight="1">
      <c r="A213" s="188">
        <v>318</v>
      </c>
      <c r="B213" s="189" t="s">
        <v>933</v>
      </c>
      <c r="C213" s="188">
        <v>1</v>
      </c>
      <c r="D213" s="189" t="s">
        <v>148</v>
      </c>
      <c r="E213" s="188">
        <v>19</v>
      </c>
      <c r="F213" s="189" t="s">
        <v>756</v>
      </c>
      <c r="G213" s="188">
        <v>1903</v>
      </c>
      <c r="H213" s="189" t="s">
        <v>934</v>
      </c>
      <c r="I213" s="188">
        <v>1903</v>
      </c>
      <c r="J213" s="189" t="s">
        <v>935</v>
      </c>
      <c r="K213" s="189" t="s">
        <v>970</v>
      </c>
      <c r="L213" s="188">
        <v>1903012</v>
      </c>
      <c r="M213" s="191" t="s">
        <v>971</v>
      </c>
      <c r="N213" s="188">
        <v>1903012</v>
      </c>
      <c r="O213" s="189" t="s">
        <v>971</v>
      </c>
      <c r="P213" s="194">
        <v>190301200</v>
      </c>
      <c r="Q213" s="190" t="s">
        <v>972</v>
      </c>
      <c r="R213" s="194">
        <v>190301200</v>
      </c>
      <c r="S213" s="191" t="s">
        <v>972</v>
      </c>
      <c r="T213" s="194" t="s">
        <v>69</v>
      </c>
      <c r="U213" s="194">
        <v>4000</v>
      </c>
      <c r="V213" s="194"/>
      <c r="W213" s="194">
        <v>4000</v>
      </c>
      <c r="X213" s="194">
        <v>3204</v>
      </c>
      <c r="Y213" s="195">
        <v>2020003630118</v>
      </c>
      <c r="Z213" s="189" t="s">
        <v>973</v>
      </c>
      <c r="AA213" s="189" t="s">
        <v>974</v>
      </c>
      <c r="AB213" s="180"/>
      <c r="AC213" s="180"/>
      <c r="AD213" s="197">
        <v>1134356161</v>
      </c>
      <c r="AE213" s="197"/>
      <c r="AF213" s="180"/>
      <c r="AG213" s="180"/>
      <c r="AH213" s="184"/>
      <c r="AI213" s="180"/>
      <c r="AJ213" s="180"/>
      <c r="AK213" s="185"/>
      <c r="AL213" s="187">
        <f t="shared" si="11"/>
        <v>1134356161</v>
      </c>
      <c r="AM213" s="198" t="s">
        <v>14</v>
      </c>
    </row>
    <row r="214" spans="1:50" s="200" customFormat="1" ht="66.75" customHeight="1">
      <c r="A214" s="188">
        <v>318</v>
      </c>
      <c r="B214" s="189" t="s">
        <v>933</v>
      </c>
      <c r="C214" s="188">
        <v>1</v>
      </c>
      <c r="D214" s="189" t="s">
        <v>148</v>
      </c>
      <c r="E214" s="188">
        <v>19</v>
      </c>
      <c r="F214" s="189" t="s">
        <v>756</v>
      </c>
      <c r="G214" s="188">
        <v>1903</v>
      </c>
      <c r="H214" s="189" t="s">
        <v>934</v>
      </c>
      <c r="I214" s="188">
        <v>1903</v>
      </c>
      <c r="J214" s="189" t="s">
        <v>935</v>
      </c>
      <c r="K214" s="189" t="s">
        <v>975</v>
      </c>
      <c r="L214" s="188">
        <v>1903016</v>
      </c>
      <c r="M214" s="191" t="s">
        <v>976</v>
      </c>
      <c r="N214" s="188">
        <v>1903016</v>
      </c>
      <c r="O214" s="189" t="s">
        <v>976</v>
      </c>
      <c r="P214" s="194">
        <v>190301600</v>
      </c>
      <c r="Q214" s="191" t="s">
        <v>977</v>
      </c>
      <c r="R214" s="194">
        <v>190301600</v>
      </c>
      <c r="S214" s="191" t="s">
        <v>977</v>
      </c>
      <c r="T214" s="194" t="s">
        <v>69</v>
      </c>
      <c r="U214" s="194">
        <v>240</v>
      </c>
      <c r="V214" s="194"/>
      <c r="W214" s="194">
        <v>240</v>
      </c>
      <c r="X214" s="194">
        <v>108</v>
      </c>
      <c r="Y214" s="195">
        <v>2020003630118</v>
      </c>
      <c r="Z214" s="189" t="s">
        <v>973</v>
      </c>
      <c r="AA214" s="189" t="s">
        <v>974</v>
      </c>
      <c r="AB214" s="180"/>
      <c r="AC214" s="180"/>
      <c r="AD214" s="197">
        <v>135772557</v>
      </c>
      <c r="AE214" s="180"/>
      <c r="AF214" s="180"/>
      <c r="AG214" s="180"/>
      <c r="AH214" s="184"/>
      <c r="AI214" s="180"/>
      <c r="AJ214" s="180"/>
      <c r="AK214" s="180"/>
      <c r="AL214" s="187">
        <f t="shared" si="11"/>
        <v>135772557</v>
      </c>
      <c r="AM214" s="198" t="s">
        <v>14</v>
      </c>
    </row>
    <row r="215" spans="1:50" s="200" customFormat="1" ht="66.75" customHeight="1">
      <c r="A215" s="188">
        <v>318</v>
      </c>
      <c r="B215" s="189" t="s">
        <v>933</v>
      </c>
      <c r="C215" s="188">
        <v>1</v>
      </c>
      <c r="D215" s="189" t="s">
        <v>148</v>
      </c>
      <c r="E215" s="188">
        <v>19</v>
      </c>
      <c r="F215" s="189" t="s">
        <v>756</v>
      </c>
      <c r="G215" s="188">
        <v>1903</v>
      </c>
      <c r="H215" s="190" t="s">
        <v>934</v>
      </c>
      <c r="I215" s="188">
        <v>1903</v>
      </c>
      <c r="J215" s="189" t="s">
        <v>935</v>
      </c>
      <c r="K215" s="189" t="s">
        <v>978</v>
      </c>
      <c r="L215" s="188">
        <v>1903011</v>
      </c>
      <c r="M215" s="191" t="s">
        <v>963</v>
      </c>
      <c r="N215" s="188">
        <v>1903011</v>
      </c>
      <c r="O215" s="189" t="s">
        <v>963</v>
      </c>
      <c r="P215" s="194">
        <v>190301101</v>
      </c>
      <c r="Q215" s="189" t="s">
        <v>979</v>
      </c>
      <c r="R215" s="194">
        <v>190301101</v>
      </c>
      <c r="S215" s="191" t="s">
        <v>979</v>
      </c>
      <c r="T215" s="194" t="s">
        <v>69</v>
      </c>
      <c r="U215" s="194">
        <v>12</v>
      </c>
      <c r="V215" s="194"/>
      <c r="W215" s="194">
        <v>12</v>
      </c>
      <c r="X215" s="194">
        <v>9</v>
      </c>
      <c r="Y215" s="195">
        <v>2020003630118</v>
      </c>
      <c r="Z215" s="189" t="s">
        <v>973</v>
      </c>
      <c r="AA215" s="189" t="s">
        <v>974</v>
      </c>
      <c r="AB215" s="180"/>
      <c r="AC215" s="180"/>
      <c r="AD215" s="197">
        <v>157350078</v>
      </c>
      <c r="AE215" s="180"/>
      <c r="AF215" s="180"/>
      <c r="AG215" s="180"/>
      <c r="AH215" s="184"/>
      <c r="AI215" s="180"/>
      <c r="AJ215" s="180"/>
      <c r="AK215" s="180"/>
      <c r="AL215" s="187">
        <f t="shared" si="11"/>
        <v>157350078</v>
      </c>
      <c r="AM215" s="198" t="s">
        <v>14</v>
      </c>
    </row>
    <row r="216" spans="1:50" s="200" customFormat="1" ht="66.75" customHeight="1">
      <c r="A216" s="188">
        <v>318</v>
      </c>
      <c r="B216" s="189" t="s">
        <v>933</v>
      </c>
      <c r="C216" s="188">
        <v>1</v>
      </c>
      <c r="D216" s="189" t="s">
        <v>148</v>
      </c>
      <c r="E216" s="188">
        <v>19</v>
      </c>
      <c r="F216" s="189" t="s">
        <v>756</v>
      </c>
      <c r="G216" s="188">
        <v>1903</v>
      </c>
      <c r="H216" s="189" t="s">
        <v>934</v>
      </c>
      <c r="I216" s="188">
        <v>1903</v>
      </c>
      <c r="J216" s="189" t="s">
        <v>935</v>
      </c>
      <c r="K216" s="189" t="s">
        <v>978</v>
      </c>
      <c r="L216" s="188">
        <v>1903034</v>
      </c>
      <c r="M216" s="191" t="s">
        <v>119</v>
      </c>
      <c r="N216" s="188">
        <v>1903034</v>
      </c>
      <c r="O216" s="189" t="s">
        <v>119</v>
      </c>
      <c r="P216" s="194">
        <v>190303400</v>
      </c>
      <c r="Q216" s="191" t="s">
        <v>980</v>
      </c>
      <c r="R216" s="194">
        <v>190303400</v>
      </c>
      <c r="S216" s="191" t="s">
        <v>980</v>
      </c>
      <c r="T216" s="194" t="s">
        <v>69</v>
      </c>
      <c r="U216" s="194">
        <v>12</v>
      </c>
      <c r="V216" s="194"/>
      <c r="W216" s="194">
        <v>12</v>
      </c>
      <c r="X216" s="194">
        <v>12</v>
      </c>
      <c r="Y216" s="195">
        <v>2020003630119</v>
      </c>
      <c r="Z216" s="189" t="s">
        <v>981</v>
      </c>
      <c r="AA216" s="189" t="s">
        <v>982</v>
      </c>
      <c r="AB216" s="180"/>
      <c r="AC216" s="180"/>
      <c r="AD216" s="180"/>
      <c r="AE216" s="197"/>
      <c r="AF216" s="180"/>
      <c r="AG216" s="180"/>
      <c r="AH216" s="184">
        <v>92585478</v>
      </c>
      <c r="AI216" s="180"/>
      <c r="AJ216" s="180"/>
      <c r="AK216" s="180"/>
      <c r="AL216" s="187">
        <f t="shared" si="11"/>
        <v>92585478</v>
      </c>
      <c r="AM216" s="198" t="s">
        <v>14</v>
      </c>
    </row>
    <row r="217" spans="1:50" s="200" customFormat="1" ht="66.75" customHeight="1">
      <c r="A217" s="188">
        <v>318</v>
      </c>
      <c r="B217" s="189" t="s">
        <v>933</v>
      </c>
      <c r="C217" s="188">
        <v>1</v>
      </c>
      <c r="D217" s="189" t="s">
        <v>148</v>
      </c>
      <c r="E217" s="188">
        <v>19</v>
      </c>
      <c r="F217" s="189" t="s">
        <v>756</v>
      </c>
      <c r="G217" s="188">
        <v>1903</v>
      </c>
      <c r="H217" s="189" t="s">
        <v>934</v>
      </c>
      <c r="I217" s="188">
        <v>1903</v>
      </c>
      <c r="J217" s="189" t="s">
        <v>935</v>
      </c>
      <c r="K217" s="189" t="s">
        <v>983</v>
      </c>
      <c r="L217" s="188">
        <v>1903045</v>
      </c>
      <c r="M217" s="191" t="s">
        <v>984</v>
      </c>
      <c r="N217" s="188">
        <v>1903045</v>
      </c>
      <c r="O217" s="189" t="s">
        <v>984</v>
      </c>
      <c r="P217" s="194">
        <v>190304500</v>
      </c>
      <c r="Q217" s="191" t="s">
        <v>985</v>
      </c>
      <c r="R217" s="194">
        <v>190304500</v>
      </c>
      <c r="S217" s="191" t="s">
        <v>985</v>
      </c>
      <c r="T217" s="194" t="s">
        <v>157</v>
      </c>
      <c r="U217" s="194">
        <v>1058</v>
      </c>
      <c r="V217" s="194">
        <v>840</v>
      </c>
      <c r="W217" s="194">
        <f>U217+V217</f>
        <v>1898</v>
      </c>
      <c r="X217" s="194">
        <v>1243</v>
      </c>
      <c r="Y217" s="195">
        <v>2020003630120</v>
      </c>
      <c r="Z217" s="189" t="s">
        <v>986</v>
      </c>
      <c r="AA217" s="189" t="s">
        <v>987</v>
      </c>
      <c r="AB217" s="180"/>
      <c r="AC217" s="180"/>
      <c r="AD217" s="180"/>
      <c r="AE217" s="197">
        <v>30898000</v>
      </c>
      <c r="AF217" s="180"/>
      <c r="AG217" s="180"/>
      <c r="AH217" s="184">
        <v>19000000</v>
      </c>
      <c r="AI217" s="180"/>
      <c r="AJ217" s="180"/>
      <c r="AK217" s="180"/>
      <c r="AL217" s="187">
        <f t="shared" si="11"/>
        <v>49898000</v>
      </c>
      <c r="AM217" s="198" t="s">
        <v>14</v>
      </c>
    </row>
    <row r="218" spans="1:50" s="200" customFormat="1" ht="66.75" customHeight="1">
      <c r="A218" s="188">
        <v>318</v>
      </c>
      <c r="B218" s="189" t="s">
        <v>933</v>
      </c>
      <c r="C218" s="188">
        <v>1</v>
      </c>
      <c r="D218" s="189" t="s">
        <v>148</v>
      </c>
      <c r="E218" s="188">
        <v>19</v>
      </c>
      <c r="F218" s="189" t="s">
        <v>756</v>
      </c>
      <c r="G218" s="188">
        <v>1903</v>
      </c>
      <c r="H218" s="189" t="s">
        <v>934</v>
      </c>
      <c r="I218" s="188">
        <v>1903</v>
      </c>
      <c r="J218" s="189" t="s">
        <v>935</v>
      </c>
      <c r="K218" s="189" t="s">
        <v>966</v>
      </c>
      <c r="L218" s="188">
        <v>1903001</v>
      </c>
      <c r="M218" s="191" t="s">
        <v>101</v>
      </c>
      <c r="N218" s="188">
        <v>1903001</v>
      </c>
      <c r="O218" s="189" t="s">
        <v>101</v>
      </c>
      <c r="P218" s="194">
        <v>190300100</v>
      </c>
      <c r="Q218" s="191" t="s">
        <v>967</v>
      </c>
      <c r="R218" s="194">
        <v>190300100</v>
      </c>
      <c r="S218" s="191" t="s">
        <v>967</v>
      </c>
      <c r="T218" s="194" t="s">
        <v>69</v>
      </c>
      <c r="U218" s="188">
        <v>2</v>
      </c>
      <c r="V218" s="188"/>
      <c r="W218" s="194">
        <v>2</v>
      </c>
      <c r="X218" s="194">
        <v>2</v>
      </c>
      <c r="Y218" s="195">
        <v>2020003630120</v>
      </c>
      <c r="Z218" s="189" t="s">
        <v>986</v>
      </c>
      <c r="AA218" s="189" t="s">
        <v>987</v>
      </c>
      <c r="AB218" s="180"/>
      <c r="AC218" s="180"/>
      <c r="AD218" s="180"/>
      <c r="AE218" s="180"/>
      <c r="AF218" s="180"/>
      <c r="AG218" s="180"/>
      <c r="AH218" s="184">
        <v>15000000</v>
      </c>
      <c r="AI218" s="180"/>
      <c r="AJ218" s="180"/>
      <c r="AK218" s="180"/>
      <c r="AL218" s="187">
        <f t="shared" si="11"/>
        <v>15000000</v>
      </c>
      <c r="AM218" s="198" t="s">
        <v>14</v>
      </c>
    </row>
    <row r="219" spans="1:50" s="200" customFormat="1" ht="66.75" customHeight="1">
      <c r="A219" s="188">
        <v>318</v>
      </c>
      <c r="B219" s="189" t="s">
        <v>933</v>
      </c>
      <c r="C219" s="188">
        <v>1</v>
      </c>
      <c r="D219" s="189" t="s">
        <v>148</v>
      </c>
      <c r="E219" s="188">
        <v>19</v>
      </c>
      <c r="F219" s="189" t="s">
        <v>756</v>
      </c>
      <c r="G219" s="188">
        <v>1903</v>
      </c>
      <c r="H219" s="189" t="s">
        <v>934</v>
      </c>
      <c r="I219" s="188">
        <v>1903</v>
      </c>
      <c r="J219" s="189" t="s">
        <v>935</v>
      </c>
      <c r="K219" s="191" t="s">
        <v>988</v>
      </c>
      <c r="L219" s="194">
        <v>1903010</v>
      </c>
      <c r="M219" s="191" t="s">
        <v>989</v>
      </c>
      <c r="N219" s="194">
        <v>1903010</v>
      </c>
      <c r="O219" s="191" t="s">
        <v>989</v>
      </c>
      <c r="P219" s="194">
        <v>190301000</v>
      </c>
      <c r="Q219" s="191" t="s">
        <v>990</v>
      </c>
      <c r="R219" s="194">
        <v>190301000</v>
      </c>
      <c r="S219" s="191" t="s">
        <v>990</v>
      </c>
      <c r="T219" s="194" t="s">
        <v>69</v>
      </c>
      <c r="U219" s="194">
        <v>12</v>
      </c>
      <c r="V219" s="194"/>
      <c r="W219" s="194">
        <v>12</v>
      </c>
      <c r="X219" s="194">
        <v>7</v>
      </c>
      <c r="Y219" s="195">
        <v>2020003630120</v>
      </c>
      <c r="Z219" s="189" t="s">
        <v>986</v>
      </c>
      <c r="AA219" s="189" t="s">
        <v>987</v>
      </c>
      <c r="AB219" s="180"/>
      <c r="AC219" s="180"/>
      <c r="AD219" s="180"/>
      <c r="AE219" s="197"/>
      <c r="AF219" s="180"/>
      <c r="AG219" s="180"/>
      <c r="AH219" s="184">
        <v>15000000</v>
      </c>
      <c r="AI219" s="180"/>
      <c r="AJ219" s="180"/>
      <c r="AK219" s="180"/>
      <c r="AL219" s="187">
        <f t="shared" si="11"/>
        <v>15000000</v>
      </c>
      <c r="AM219" s="198" t="s">
        <v>14</v>
      </c>
    </row>
    <row r="220" spans="1:50" s="200" customFormat="1" ht="66.75" customHeight="1">
      <c r="A220" s="188">
        <v>318</v>
      </c>
      <c r="B220" s="189" t="s">
        <v>933</v>
      </c>
      <c r="C220" s="188">
        <v>1</v>
      </c>
      <c r="D220" s="189" t="s">
        <v>148</v>
      </c>
      <c r="E220" s="188">
        <v>19</v>
      </c>
      <c r="F220" s="189" t="s">
        <v>756</v>
      </c>
      <c r="G220" s="188">
        <v>1903</v>
      </c>
      <c r="H220" s="189" t="s">
        <v>934</v>
      </c>
      <c r="I220" s="188">
        <v>1903</v>
      </c>
      <c r="J220" s="189" t="s">
        <v>935</v>
      </c>
      <c r="K220" s="191" t="s">
        <v>978</v>
      </c>
      <c r="L220" s="188">
        <v>1903011</v>
      </c>
      <c r="M220" s="191" t="s">
        <v>963</v>
      </c>
      <c r="N220" s="188">
        <v>1903011</v>
      </c>
      <c r="O220" s="189" t="s">
        <v>963</v>
      </c>
      <c r="P220" s="194">
        <v>190301101</v>
      </c>
      <c r="Q220" s="189" t="s">
        <v>979</v>
      </c>
      <c r="R220" s="194">
        <v>190301101</v>
      </c>
      <c r="S220" s="191" t="s">
        <v>979</v>
      </c>
      <c r="T220" s="194" t="s">
        <v>69</v>
      </c>
      <c r="U220" s="194">
        <v>12</v>
      </c>
      <c r="V220" s="194"/>
      <c r="W220" s="194">
        <v>12</v>
      </c>
      <c r="X220" s="194">
        <v>12</v>
      </c>
      <c r="Y220" s="195">
        <v>2020003630120</v>
      </c>
      <c r="Z220" s="189" t="s">
        <v>986</v>
      </c>
      <c r="AA220" s="189" t="s">
        <v>987</v>
      </c>
      <c r="AB220" s="180"/>
      <c r="AC220" s="180"/>
      <c r="AD220" s="180"/>
      <c r="AE220" s="197">
        <v>19202000</v>
      </c>
      <c r="AF220" s="180"/>
      <c r="AG220" s="180"/>
      <c r="AH220" s="184">
        <v>15000000</v>
      </c>
      <c r="AI220" s="180"/>
      <c r="AJ220" s="180"/>
      <c r="AK220" s="180"/>
      <c r="AL220" s="187">
        <f t="shared" si="11"/>
        <v>34202000</v>
      </c>
      <c r="AM220" s="198" t="s">
        <v>14</v>
      </c>
    </row>
    <row r="221" spans="1:50" s="200" customFormat="1" ht="66.75" customHeight="1">
      <c r="A221" s="188">
        <v>318</v>
      </c>
      <c r="B221" s="189" t="s">
        <v>933</v>
      </c>
      <c r="C221" s="188">
        <v>1</v>
      </c>
      <c r="D221" s="189" t="s">
        <v>148</v>
      </c>
      <c r="E221" s="188">
        <v>19</v>
      </c>
      <c r="F221" s="189" t="s">
        <v>756</v>
      </c>
      <c r="G221" s="188">
        <v>1903</v>
      </c>
      <c r="H221" s="189" t="s">
        <v>934</v>
      </c>
      <c r="I221" s="188">
        <v>1903</v>
      </c>
      <c r="J221" s="189" t="s">
        <v>935</v>
      </c>
      <c r="K221" s="189" t="s">
        <v>991</v>
      </c>
      <c r="L221" s="188">
        <v>1903047</v>
      </c>
      <c r="M221" s="191" t="s">
        <v>992</v>
      </c>
      <c r="N221" s="188">
        <v>1903047</v>
      </c>
      <c r="O221" s="189" t="s">
        <v>992</v>
      </c>
      <c r="P221" s="194">
        <v>190304701</v>
      </c>
      <c r="Q221" s="191" t="s">
        <v>993</v>
      </c>
      <c r="R221" s="194">
        <v>190304701</v>
      </c>
      <c r="S221" s="191" t="s">
        <v>993</v>
      </c>
      <c r="T221" s="194" t="s">
        <v>69</v>
      </c>
      <c r="U221" s="194">
        <v>1</v>
      </c>
      <c r="V221" s="194"/>
      <c r="W221" s="194">
        <v>1</v>
      </c>
      <c r="X221" s="194">
        <v>1</v>
      </c>
      <c r="Y221" s="195">
        <v>2020003630121</v>
      </c>
      <c r="Z221" s="189" t="s">
        <v>994</v>
      </c>
      <c r="AA221" s="189" t="s">
        <v>995</v>
      </c>
      <c r="AB221" s="180"/>
      <c r="AC221" s="180"/>
      <c r="AD221" s="180"/>
      <c r="AE221" s="187">
        <v>20000000</v>
      </c>
      <c r="AF221" s="180"/>
      <c r="AG221" s="180"/>
      <c r="AH221" s="184"/>
      <c r="AI221" s="180"/>
      <c r="AJ221" s="180"/>
      <c r="AK221" s="180"/>
      <c r="AL221" s="187">
        <f t="shared" si="11"/>
        <v>20000000</v>
      </c>
      <c r="AM221" s="198" t="s">
        <v>14</v>
      </c>
    </row>
    <row r="222" spans="1:50" s="200" customFormat="1" ht="66.75" customHeight="1">
      <c r="A222" s="188">
        <v>318</v>
      </c>
      <c r="B222" s="189" t="s">
        <v>933</v>
      </c>
      <c r="C222" s="188">
        <v>1</v>
      </c>
      <c r="D222" s="189" t="s">
        <v>148</v>
      </c>
      <c r="E222" s="188">
        <v>19</v>
      </c>
      <c r="F222" s="189" t="s">
        <v>756</v>
      </c>
      <c r="G222" s="188">
        <v>1903</v>
      </c>
      <c r="H222" s="189" t="s">
        <v>934</v>
      </c>
      <c r="I222" s="188">
        <v>1903</v>
      </c>
      <c r="J222" s="189" t="s">
        <v>935</v>
      </c>
      <c r="K222" s="189" t="s">
        <v>996</v>
      </c>
      <c r="L222" s="188">
        <v>1903019</v>
      </c>
      <c r="M222" s="191" t="s">
        <v>997</v>
      </c>
      <c r="N222" s="188">
        <v>1903019</v>
      </c>
      <c r="O222" s="189" t="s">
        <v>997</v>
      </c>
      <c r="P222" s="194">
        <v>190301900</v>
      </c>
      <c r="Q222" s="191" t="s">
        <v>998</v>
      </c>
      <c r="R222" s="194">
        <v>190301900</v>
      </c>
      <c r="S222" s="191" t="s">
        <v>998</v>
      </c>
      <c r="T222" s="194" t="s">
        <v>69</v>
      </c>
      <c r="U222" s="194">
        <v>75</v>
      </c>
      <c r="V222" s="194"/>
      <c r="W222" s="194">
        <v>75</v>
      </c>
      <c r="X222" s="194">
        <v>66</v>
      </c>
      <c r="Y222" s="195">
        <v>2020003630121</v>
      </c>
      <c r="Z222" s="189" t="s">
        <v>994</v>
      </c>
      <c r="AA222" s="189" t="s">
        <v>995</v>
      </c>
      <c r="AB222" s="180"/>
      <c r="AC222" s="180"/>
      <c r="AD222" s="180"/>
      <c r="AE222" s="187">
        <v>50000000</v>
      </c>
      <c r="AF222" s="184"/>
      <c r="AG222" s="180"/>
      <c r="AH222" s="184"/>
      <c r="AI222" s="180"/>
      <c r="AJ222" s="180"/>
      <c r="AK222" s="180"/>
      <c r="AL222" s="187">
        <f t="shared" si="11"/>
        <v>50000000</v>
      </c>
      <c r="AM222" s="198" t="s">
        <v>14</v>
      </c>
    </row>
    <row r="223" spans="1:50" s="298" customFormat="1" ht="66.75" customHeight="1">
      <c r="A223" s="188">
        <v>318</v>
      </c>
      <c r="B223" s="189" t="s">
        <v>933</v>
      </c>
      <c r="C223" s="188">
        <v>1</v>
      </c>
      <c r="D223" s="189" t="s">
        <v>148</v>
      </c>
      <c r="E223" s="188">
        <v>19</v>
      </c>
      <c r="F223" s="189" t="s">
        <v>756</v>
      </c>
      <c r="G223" s="188">
        <v>1903</v>
      </c>
      <c r="H223" s="189" t="s">
        <v>934</v>
      </c>
      <c r="I223" s="188">
        <v>1903</v>
      </c>
      <c r="J223" s="189" t="s">
        <v>935</v>
      </c>
      <c r="K223" s="189" t="s">
        <v>999</v>
      </c>
      <c r="L223" s="188">
        <v>1903028</v>
      </c>
      <c r="M223" s="191" t="s">
        <v>1000</v>
      </c>
      <c r="N223" s="188">
        <v>1903028</v>
      </c>
      <c r="O223" s="189" t="s">
        <v>1000</v>
      </c>
      <c r="P223" s="194">
        <v>190302800</v>
      </c>
      <c r="Q223" s="191" t="s">
        <v>1001</v>
      </c>
      <c r="R223" s="194">
        <v>190302800</v>
      </c>
      <c r="S223" s="191" t="s">
        <v>1001</v>
      </c>
      <c r="T223" s="194" t="s">
        <v>69</v>
      </c>
      <c r="U223" s="194">
        <v>250</v>
      </c>
      <c r="V223" s="194"/>
      <c r="W223" s="194">
        <v>250</v>
      </c>
      <c r="X223" s="194">
        <v>314</v>
      </c>
      <c r="Y223" s="195">
        <v>2020003630121</v>
      </c>
      <c r="Z223" s="189" t="s">
        <v>994</v>
      </c>
      <c r="AA223" s="189" t="s">
        <v>995</v>
      </c>
      <c r="AB223" s="180"/>
      <c r="AC223" s="180"/>
      <c r="AD223" s="180"/>
      <c r="AE223" s="187">
        <f>40000000+64100000</f>
        <v>104100000</v>
      </c>
      <c r="AF223" s="180"/>
      <c r="AG223" s="180"/>
      <c r="AH223" s="184"/>
      <c r="AI223" s="180"/>
      <c r="AJ223" s="180"/>
      <c r="AK223" s="180"/>
      <c r="AL223" s="187">
        <f t="shared" si="11"/>
        <v>104100000</v>
      </c>
      <c r="AM223" s="198" t="s">
        <v>14</v>
      </c>
      <c r="AN223" s="200"/>
      <c r="AO223" s="200"/>
      <c r="AP223" s="200"/>
      <c r="AQ223" s="200"/>
      <c r="AR223" s="200"/>
      <c r="AS223" s="200"/>
      <c r="AT223" s="200"/>
      <c r="AU223" s="200"/>
      <c r="AV223" s="200"/>
      <c r="AW223" s="200"/>
      <c r="AX223" s="200"/>
    </row>
    <row r="224" spans="1:50" s="298" customFormat="1" ht="66.75" customHeight="1">
      <c r="A224" s="188">
        <v>318</v>
      </c>
      <c r="B224" s="189" t="s">
        <v>933</v>
      </c>
      <c r="C224" s="188">
        <v>1</v>
      </c>
      <c r="D224" s="189" t="s">
        <v>148</v>
      </c>
      <c r="E224" s="188">
        <v>19</v>
      </c>
      <c r="F224" s="189" t="s">
        <v>756</v>
      </c>
      <c r="G224" s="188">
        <v>1903</v>
      </c>
      <c r="H224" s="189" t="s">
        <v>934</v>
      </c>
      <c r="I224" s="188">
        <v>1903</v>
      </c>
      <c r="J224" s="189" t="s">
        <v>935</v>
      </c>
      <c r="K224" s="189" t="s">
        <v>1002</v>
      </c>
      <c r="L224" s="188">
        <v>1903025</v>
      </c>
      <c r="M224" s="191" t="s">
        <v>1003</v>
      </c>
      <c r="N224" s="188">
        <v>1903025</v>
      </c>
      <c r="O224" s="189" t="s">
        <v>1003</v>
      </c>
      <c r="P224" s="194">
        <v>190302500</v>
      </c>
      <c r="Q224" s="191" t="s">
        <v>1004</v>
      </c>
      <c r="R224" s="194">
        <v>190302500</v>
      </c>
      <c r="S224" s="191" t="s">
        <v>1004</v>
      </c>
      <c r="T224" s="272" t="s">
        <v>69</v>
      </c>
      <c r="U224" s="194">
        <v>12</v>
      </c>
      <c r="V224" s="194"/>
      <c r="W224" s="194">
        <v>12</v>
      </c>
      <c r="X224" s="194">
        <v>9</v>
      </c>
      <c r="Y224" s="195">
        <v>2020003630121</v>
      </c>
      <c r="Z224" s="189" t="s">
        <v>994</v>
      </c>
      <c r="AA224" s="189" t="s">
        <v>995</v>
      </c>
      <c r="AB224" s="180"/>
      <c r="AC224" s="180"/>
      <c r="AD224" s="180"/>
      <c r="AE224" s="187">
        <v>49135000</v>
      </c>
      <c r="AF224" s="180"/>
      <c r="AG224" s="180"/>
      <c r="AH224" s="184"/>
      <c r="AI224" s="180"/>
      <c r="AJ224" s="180"/>
      <c r="AK224" s="180"/>
      <c r="AL224" s="187">
        <f t="shared" si="11"/>
        <v>49135000</v>
      </c>
      <c r="AM224" s="198" t="s">
        <v>14</v>
      </c>
      <c r="AN224" s="200"/>
      <c r="AO224" s="200"/>
      <c r="AP224" s="200"/>
      <c r="AQ224" s="200"/>
      <c r="AR224" s="200"/>
      <c r="AS224" s="200"/>
      <c r="AT224" s="200"/>
      <c r="AU224" s="200"/>
      <c r="AV224" s="200"/>
      <c r="AW224" s="200"/>
      <c r="AX224" s="200"/>
    </row>
    <row r="225" spans="1:50" s="200" customFormat="1" ht="66.75" customHeight="1">
      <c r="A225" s="188">
        <v>318</v>
      </c>
      <c r="B225" s="189" t="s">
        <v>933</v>
      </c>
      <c r="C225" s="188">
        <v>1</v>
      </c>
      <c r="D225" s="189" t="s">
        <v>148</v>
      </c>
      <c r="E225" s="188">
        <v>19</v>
      </c>
      <c r="F225" s="189" t="s">
        <v>756</v>
      </c>
      <c r="G225" s="188">
        <v>1905</v>
      </c>
      <c r="H225" s="189" t="s">
        <v>757</v>
      </c>
      <c r="I225" s="188">
        <v>1905</v>
      </c>
      <c r="J225" s="189" t="s">
        <v>1005</v>
      </c>
      <c r="K225" s="189" t="s">
        <v>946</v>
      </c>
      <c r="L225" s="188">
        <v>1905031</v>
      </c>
      <c r="M225" s="191" t="s">
        <v>1010</v>
      </c>
      <c r="N225" s="188">
        <v>1905031</v>
      </c>
      <c r="O225" s="189" t="s">
        <v>1010</v>
      </c>
      <c r="P225" s="188">
        <v>190503100</v>
      </c>
      <c r="Q225" s="191" t="s">
        <v>1011</v>
      </c>
      <c r="R225" s="188">
        <v>190503100</v>
      </c>
      <c r="S225" s="191" t="s">
        <v>1011</v>
      </c>
      <c r="T225" s="194" t="s">
        <v>69</v>
      </c>
      <c r="U225" s="194">
        <v>12</v>
      </c>
      <c r="V225" s="194"/>
      <c r="W225" s="194">
        <v>12</v>
      </c>
      <c r="X225" s="194">
        <v>12</v>
      </c>
      <c r="Y225" s="195">
        <v>2020003630122</v>
      </c>
      <c r="Z225" s="189" t="s">
        <v>1008</v>
      </c>
      <c r="AA225" s="189" t="s">
        <v>1009</v>
      </c>
      <c r="AB225" s="180"/>
      <c r="AC225" s="180">
        <v>100000000</v>
      </c>
      <c r="AD225" s="180">
        <v>25891929</v>
      </c>
      <c r="AE225" s="180">
        <v>21650000</v>
      </c>
      <c r="AF225" s="180"/>
      <c r="AG225" s="180"/>
      <c r="AH225" s="184">
        <v>12000000</v>
      </c>
      <c r="AI225" s="180"/>
      <c r="AJ225" s="180"/>
      <c r="AK225" s="180"/>
      <c r="AL225" s="187">
        <f t="shared" si="11"/>
        <v>159541929</v>
      </c>
      <c r="AM225" s="198" t="s">
        <v>14</v>
      </c>
    </row>
    <row r="226" spans="1:50" s="200" customFormat="1" ht="66.75" customHeight="1">
      <c r="A226" s="188">
        <v>318</v>
      </c>
      <c r="B226" s="189" t="s">
        <v>933</v>
      </c>
      <c r="C226" s="188">
        <v>1</v>
      </c>
      <c r="D226" s="189" t="s">
        <v>148</v>
      </c>
      <c r="E226" s="188">
        <v>19</v>
      </c>
      <c r="F226" s="189" t="s">
        <v>756</v>
      </c>
      <c r="G226" s="188">
        <v>1905</v>
      </c>
      <c r="H226" s="189" t="s">
        <v>757</v>
      </c>
      <c r="I226" s="188">
        <v>1905</v>
      </c>
      <c r="J226" s="189" t="s">
        <v>1005</v>
      </c>
      <c r="K226" s="189" t="s">
        <v>946</v>
      </c>
      <c r="L226" s="188">
        <v>1905031</v>
      </c>
      <c r="M226" s="191" t="s">
        <v>1010</v>
      </c>
      <c r="N226" s="188">
        <v>1905031</v>
      </c>
      <c r="O226" s="189" t="s">
        <v>1010</v>
      </c>
      <c r="P226" s="188">
        <v>190503100</v>
      </c>
      <c r="Q226" s="191" t="s">
        <v>1011</v>
      </c>
      <c r="R226" s="188">
        <v>190503100</v>
      </c>
      <c r="S226" s="191" t="s">
        <v>1011</v>
      </c>
      <c r="T226" s="194" t="s">
        <v>69</v>
      </c>
      <c r="U226" s="194">
        <v>12</v>
      </c>
      <c r="V226" s="194"/>
      <c r="W226" s="194">
        <v>12</v>
      </c>
      <c r="X226" s="194">
        <v>12</v>
      </c>
      <c r="Y226" s="195">
        <v>2020003630126</v>
      </c>
      <c r="Z226" s="190" t="s">
        <v>1045</v>
      </c>
      <c r="AA226" s="189" t="s">
        <v>1046</v>
      </c>
      <c r="AB226" s="180"/>
      <c r="AC226" s="180"/>
      <c r="AD226" s="184">
        <v>50000000</v>
      </c>
      <c r="AE226" s="180">
        <v>22000000</v>
      </c>
      <c r="AF226" s="180"/>
      <c r="AG226" s="180"/>
      <c r="AH226" s="184"/>
      <c r="AI226" s="180"/>
      <c r="AJ226" s="180"/>
      <c r="AK226" s="180"/>
      <c r="AL226" s="187">
        <f t="shared" si="11"/>
        <v>72000000</v>
      </c>
      <c r="AM226" s="198" t="s">
        <v>14</v>
      </c>
    </row>
    <row r="227" spans="1:50" s="200" customFormat="1" ht="66.75" customHeight="1">
      <c r="A227" s="188">
        <v>318</v>
      </c>
      <c r="B227" s="189" t="s">
        <v>933</v>
      </c>
      <c r="C227" s="188">
        <v>1</v>
      </c>
      <c r="D227" s="189" t="s">
        <v>148</v>
      </c>
      <c r="E227" s="188">
        <v>19</v>
      </c>
      <c r="F227" s="189" t="s">
        <v>756</v>
      </c>
      <c r="G227" s="188">
        <v>1905</v>
      </c>
      <c r="H227" s="189" t="s">
        <v>757</v>
      </c>
      <c r="I227" s="188">
        <v>1905</v>
      </c>
      <c r="J227" s="189" t="s">
        <v>1005</v>
      </c>
      <c r="K227" s="191" t="s">
        <v>946</v>
      </c>
      <c r="L227" s="188">
        <v>1905031</v>
      </c>
      <c r="M227" s="191" t="s">
        <v>1010</v>
      </c>
      <c r="N227" s="274">
        <v>1905031</v>
      </c>
      <c r="O227" s="189" t="s">
        <v>1010</v>
      </c>
      <c r="P227" s="274">
        <v>190503100</v>
      </c>
      <c r="Q227" s="191" t="s">
        <v>1011</v>
      </c>
      <c r="R227" s="188">
        <v>190503100</v>
      </c>
      <c r="S227" s="191" t="s">
        <v>1011</v>
      </c>
      <c r="T227" s="194" t="s">
        <v>69</v>
      </c>
      <c r="U227" s="194">
        <v>12</v>
      </c>
      <c r="V227" s="194"/>
      <c r="W227" s="194">
        <v>12</v>
      </c>
      <c r="X227" s="194">
        <v>12</v>
      </c>
      <c r="Y227" s="195">
        <v>2020003630135</v>
      </c>
      <c r="Z227" s="196" t="s">
        <v>1072</v>
      </c>
      <c r="AA227" s="190" t="s">
        <v>1073</v>
      </c>
      <c r="AB227" s="180"/>
      <c r="AC227" s="180"/>
      <c r="AD227" s="180">
        <f>1430478796+400000000+22000000</f>
        <v>1852478796</v>
      </c>
      <c r="AE227" s="180"/>
      <c r="AF227" s="180"/>
      <c r="AG227" s="180"/>
      <c r="AH227" s="184"/>
      <c r="AI227" s="180"/>
      <c r="AJ227" s="180"/>
      <c r="AK227" s="180"/>
      <c r="AL227" s="187">
        <f t="shared" si="11"/>
        <v>1852478796</v>
      </c>
      <c r="AM227" s="198" t="s">
        <v>14</v>
      </c>
      <c r="AN227" s="298"/>
      <c r="AO227" s="298"/>
      <c r="AP227" s="298"/>
      <c r="AQ227" s="298"/>
      <c r="AR227" s="298"/>
      <c r="AS227" s="298"/>
      <c r="AT227" s="298"/>
      <c r="AU227" s="298"/>
      <c r="AV227" s="298"/>
      <c r="AW227" s="298"/>
      <c r="AX227" s="298"/>
    </row>
    <row r="228" spans="1:50" s="200" customFormat="1" ht="66.75" customHeight="1">
      <c r="A228" s="188">
        <v>318</v>
      </c>
      <c r="B228" s="189" t="s">
        <v>933</v>
      </c>
      <c r="C228" s="188">
        <v>1</v>
      </c>
      <c r="D228" s="189" t="s">
        <v>148</v>
      </c>
      <c r="E228" s="188">
        <v>19</v>
      </c>
      <c r="F228" s="189" t="s">
        <v>756</v>
      </c>
      <c r="G228" s="188">
        <v>1905</v>
      </c>
      <c r="H228" s="189" t="s">
        <v>757</v>
      </c>
      <c r="I228" s="188">
        <v>1905</v>
      </c>
      <c r="J228" s="189" t="s">
        <v>1005</v>
      </c>
      <c r="K228" s="189" t="s">
        <v>946</v>
      </c>
      <c r="L228" s="188">
        <v>1905028</v>
      </c>
      <c r="M228" s="191" t="s">
        <v>1006</v>
      </c>
      <c r="N228" s="188">
        <v>1905028</v>
      </c>
      <c r="O228" s="189" t="s">
        <v>1006</v>
      </c>
      <c r="P228" s="194">
        <v>190502800</v>
      </c>
      <c r="Q228" s="191" t="s">
        <v>1007</v>
      </c>
      <c r="R228" s="194">
        <v>190502800</v>
      </c>
      <c r="S228" s="191" t="s">
        <v>1007</v>
      </c>
      <c r="T228" s="192" t="s">
        <v>69</v>
      </c>
      <c r="U228" s="194">
        <v>12</v>
      </c>
      <c r="V228" s="194"/>
      <c r="W228" s="194">
        <v>12</v>
      </c>
      <c r="X228" s="194">
        <v>11</v>
      </c>
      <c r="Y228" s="195">
        <v>2020003630122</v>
      </c>
      <c r="Z228" s="189" t="s">
        <v>1008</v>
      </c>
      <c r="AA228" s="189" t="s">
        <v>1009</v>
      </c>
      <c r="AB228" s="180"/>
      <c r="AC228" s="180"/>
      <c r="AD228" s="180">
        <v>25000000</v>
      </c>
      <c r="AE228" s="180">
        <v>7350000</v>
      </c>
      <c r="AF228" s="180"/>
      <c r="AG228" s="180"/>
      <c r="AH228" s="184"/>
      <c r="AI228" s="180"/>
      <c r="AJ228" s="180"/>
      <c r="AK228" s="180"/>
      <c r="AL228" s="187">
        <f t="shared" si="11"/>
        <v>32350000</v>
      </c>
      <c r="AM228" s="198" t="s">
        <v>14</v>
      </c>
    </row>
    <row r="229" spans="1:50" s="200" customFormat="1" ht="66.75" customHeight="1">
      <c r="A229" s="188">
        <v>318</v>
      </c>
      <c r="B229" s="189" t="s">
        <v>933</v>
      </c>
      <c r="C229" s="188">
        <v>1</v>
      </c>
      <c r="D229" s="189" t="s">
        <v>148</v>
      </c>
      <c r="E229" s="188">
        <v>19</v>
      </c>
      <c r="F229" s="189" t="s">
        <v>756</v>
      </c>
      <c r="G229" s="188">
        <v>1905</v>
      </c>
      <c r="H229" s="189" t="s">
        <v>757</v>
      </c>
      <c r="I229" s="188">
        <v>1905</v>
      </c>
      <c r="J229" s="189" t="s">
        <v>1005</v>
      </c>
      <c r="K229" s="189" t="s">
        <v>1012</v>
      </c>
      <c r="L229" s="188">
        <v>1905019</v>
      </c>
      <c r="M229" s="191" t="s">
        <v>1013</v>
      </c>
      <c r="N229" s="188">
        <v>1905019</v>
      </c>
      <c r="O229" s="189" t="s">
        <v>1013</v>
      </c>
      <c r="P229" s="188">
        <v>190501900</v>
      </c>
      <c r="Q229" s="190" t="s">
        <v>351</v>
      </c>
      <c r="R229" s="188">
        <v>190501900</v>
      </c>
      <c r="S229" s="191" t="s">
        <v>351</v>
      </c>
      <c r="T229" s="194" t="s">
        <v>69</v>
      </c>
      <c r="U229" s="194">
        <v>60</v>
      </c>
      <c r="V229" s="194"/>
      <c r="W229" s="194">
        <v>60</v>
      </c>
      <c r="X229" s="194">
        <v>0</v>
      </c>
      <c r="Y229" s="195">
        <v>2020003630123</v>
      </c>
      <c r="Z229" s="189" t="s">
        <v>1014</v>
      </c>
      <c r="AA229" s="189" t="s">
        <v>1015</v>
      </c>
      <c r="AB229" s="180"/>
      <c r="AC229" s="180"/>
      <c r="AD229" s="260">
        <v>17500000</v>
      </c>
      <c r="AE229" s="180"/>
      <c r="AF229" s="180"/>
      <c r="AG229" s="180"/>
      <c r="AH229" s="184"/>
      <c r="AI229" s="180"/>
      <c r="AJ229" s="180"/>
      <c r="AK229" s="180"/>
      <c r="AL229" s="187">
        <f t="shared" si="11"/>
        <v>17500000</v>
      </c>
      <c r="AM229" s="198" t="s">
        <v>14</v>
      </c>
    </row>
    <row r="230" spans="1:50" s="200" customFormat="1" ht="66.75" customHeight="1">
      <c r="A230" s="188">
        <v>318</v>
      </c>
      <c r="B230" s="189" t="s">
        <v>933</v>
      </c>
      <c r="C230" s="188">
        <v>1</v>
      </c>
      <c r="D230" s="189" t="s">
        <v>148</v>
      </c>
      <c r="E230" s="188">
        <v>19</v>
      </c>
      <c r="F230" s="189" t="s">
        <v>756</v>
      </c>
      <c r="G230" s="188">
        <v>1905</v>
      </c>
      <c r="H230" s="189" t="s">
        <v>757</v>
      </c>
      <c r="I230" s="188">
        <v>1905</v>
      </c>
      <c r="J230" s="189" t="s">
        <v>1005</v>
      </c>
      <c r="K230" s="189" t="s">
        <v>1016</v>
      </c>
      <c r="L230" s="188" t="s">
        <v>61</v>
      </c>
      <c r="M230" s="191" t="s">
        <v>1017</v>
      </c>
      <c r="N230" s="188">
        <v>1905031</v>
      </c>
      <c r="O230" s="189" t="s">
        <v>1018</v>
      </c>
      <c r="P230" s="188" t="s">
        <v>1019</v>
      </c>
      <c r="Q230" s="191" t="s">
        <v>1020</v>
      </c>
      <c r="R230" s="188">
        <v>190503100</v>
      </c>
      <c r="S230" s="191" t="s">
        <v>1021</v>
      </c>
      <c r="T230" s="192" t="s">
        <v>69</v>
      </c>
      <c r="U230" s="194">
        <v>11</v>
      </c>
      <c r="V230" s="194"/>
      <c r="W230" s="194">
        <v>11</v>
      </c>
      <c r="X230" s="194">
        <v>8</v>
      </c>
      <c r="Y230" s="195">
        <v>2020003630123</v>
      </c>
      <c r="Z230" s="190" t="s">
        <v>1014</v>
      </c>
      <c r="AA230" s="189" t="s">
        <v>1015</v>
      </c>
      <c r="AB230" s="180"/>
      <c r="AC230" s="180"/>
      <c r="AD230" s="180">
        <v>27500000</v>
      </c>
      <c r="AE230" s="180"/>
      <c r="AF230" s="180"/>
      <c r="AG230" s="180"/>
      <c r="AH230" s="184"/>
      <c r="AI230" s="180"/>
      <c r="AJ230" s="180"/>
      <c r="AK230" s="180"/>
      <c r="AL230" s="187">
        <f t="shared" si="11"/>
        <v>27500000</v>
      </c>
      <c r="AM230" s="198" t="s">
        <v>14</v>
      </c>
    </row>
    <row r="231" spans="1:50" s="200" customFormat="1" ht="66.75" customHeight="1">
      <c r="A231" s="188">
        <v>318</v>
      </c>
      <c r="B231" s="189" t="s">
        <v>933</v>
      </c>
      <c r="C231" s="188">
        <v>1</v>
      </c>
      <c r="D231" s="189" t="s">
        <v>148</v>
      </c>
      <c r="E231" s="188">
        <v>19</v>
      </c>
      <c r="F231" s="189" t="s">
        <v>756</v>
      </c>
      <c r="G231" s="188">
        <v>1905</v>
      </c>
      <c r="H231" s="189" t="s">
        <v>757</v>
      </c>
      <c r="I231" s="188">
        <v>1905</v>
      </c>
      <c r="J231" s="189" t="s">
        <v>1005</v>
      </c>
      <c r="K231" s="191" t="s">
        <v>1022</v>
      </c>
      <c r="L231" s="188" t="s">
        <v>61</v>
      </c>
      <c r="M231" s="191" t="s">
        <v>1023</v>
      </c>
      <c r="N231" s="188">
        <v>1905015</v>
      </c>
      <c r="O231" s="189" t="s">
        <v>254</v>
      </c>
      <c r="P231" s="188" t="s">
        <v>61</v>
      </c>
      <c r="Q231" s="191" t="s">
        <v>1024</v>
      </c>
      <c r="R231" s="188">
        <v>190501500</v>
      </c>
      <c r="S231" s="191" t="s">
        <v>256</v>
      </c>
      <c r="T231" s="194" t="s">
        <v>69</v>
      </c>
      <c r="U231" s="194">
        <v>1</v>
      </c>
      <c r="V231" s="194"/>
      <c r="W231" s="194">
        <v>1</v>
      </c>
      <c r="X231" s="194">
        <v>0.61</v>
      </c>
      <c r="Y231" s="195">
        <v>2020003630123</v>
      </c>
      <c r="Z231" s="189" t="s">
        <v>1014</v>
      </c>
      <c r="AA231" s="189" t="s">
        <v>1015</v>
      </c>
      <c r="AB231" s="180"/>
      <c r="AC231" s="180"/>
      <c r="AD231" s="180">
        <f>65000000-28000000</f>
        <v>37000000</v>
      </c>
      <c r="AE231" s="180"/>
      <c r="AF231" s="180"/>
      <c r="AG231" s="180"/>
      <c r="AH231" s="184"/>
      <c r="AI231" s="180"/>
      <c r="AJ231" s="180"/>
      <c r="AK231" s="180"/>
      <c r="AL231" s="187">
        <f t="shared" si="11"/>
        <v>37000000</v>
      </c>
      <c r="AM231" s="198" t="s">
        <v>14</v>
      </c>
    </row>
    <row r="232" spans="1:50" s="200" customFormat="1" ht="66.75" customHeight="1">
      <c r="A232" s="188">
        <v>318</v>
      </c>
      <c r="B232" s="189" t="s">
        <v>933</v>
      </c>
      <c r="C232" s="188">
        <v>1</v>
      </c>
      <c r="D232" s="189" t="s">
        <v>148</v>
      </c>
      <c r="E232" s="188">
        <v>19</v>
      </c>
      <c r="F232" s="189" t="s">
        <v>756</v>
      </c>
      <c r="G232" s="188">
        <v>1905</v>
      </c>
      <c r="H232" s="189" t="s">
        <v>757</v>
      </c>
      <c r="I232" s="188">
        <v>1905</v>
      </c>
      <c r="J232" s="189" t="s">
        <v>1005</v>
      </c>
      <c r="K232" s="189" t="s">
        <v>949</v>
      </c>
      <c r="L232" s="188" t="s">
        <v>61</v>
      </c>
      <c r="M232" s="191" t="s">
        <v>1025</v>
      </c>
      <c r="N232" s="188">
        <v>1905024</v>
      </c>
      <c r="O232" s="189" t="s">
        <v>1026</v>
      </c>
      <c r="P232" s="188" t="s">
        <v>61</v>
      </c>
      <c r="Q232" s="191" t="s">
        <v>1027</v>
      </c>
      <c r="R232" s="188">
        <v>190502400</v>
      </c>
      <c r="S232" s="191" t="s">
        <v>1028</v>
      </c>
      <c r="T232" s="194" t="s">
        <v>157</v>
      </c>
      <c r="U232" s="194">
        <v>3</v>
      </c>
      <c r="V232" s="194"/>
      <c r="W232" s="194">
        <v>3</v>
      </c>
      <c r="X232" s="194">
        <v>1</v>
      </c>
      <c r="Y232" s="195">
        <v>2020003630123</v>
      </c>
      <c r="Z232" s="190" t="s">
        <v>1014</v>
      </c>
      <c r="AA232" s="189" t="s">
        <v>1015</v>
      </c>
      <c r="AB232" s="180"/>
      <c r="AC232" s="180"/>
      <c r="AD232" s="180">
        <f>70000000+6400000</f>
        <v>76400000</v>
      </c>
      <c r="AE232" s="180"/>
      <c r="AF232" s="180"/>
      <c r="AG232" s="180"/>
      <c r="AH232" s="184">
        <v>10000000</v>
      </c>
      <c r="AI232" s="180"/>
      <c r="AJ232" s="180"/>
      <c r="AK232" s="180"/>
      <c r="AL232" s="187">
        <f t="shared" si="11"/>
        <v>86400000</v>
      </c>
      <c r="AM232" s="198" t="s">
        <v>14</v>
      </c>
    </row>
    <row r="233" spans="1:50" s="200" customFormat="1" ht="66.75" customHeight="1">
      <c r="A233" s="188">
        <v>318</v>
      </c>
      <c r="B233" s="189" t="s">
        <v>933</v>
      </c>
      <c r="C233" s="188">
        <v>1</v>
      </c>
      <c r="D233" s="189" t="s">
        <v>148</v>
      </c>
      <c r="E233" s="188">
        <v>19</v>
      </c>
      <c r="F233" s="189" t="s">
        <v>756</v>
      </c>
      <c r="G233" s="188">
        <v>1905</v>
      </c>
      <c r="H233" s="189" t="s">
        <v>757</v>
      </c>
      <c r="I233" s="188">
        <v>1905</v>
      </c>
      <c r="J233" s="189" t="s">
        <v>1005</v>
      </c>
      <c r="K233" s="189" t="s">
        <v>1022</v>
      </c>
      <c r="L233" s="188" t="s">
        <v>61</v>
      </c>
      <c r="M233" s="191" t="s">
        <v>1029</v>
      </c>
      <c r="N233" s="188">
        <v>1905015</v>
      </c>
      <c r="O233" s="189" t="s">
        <v>254</v>
      </c>
      <c r="P233" s="188" t="s">
        <v>61</v>
      </c>
      <c r="Q233" s="191" t="s">
        <v>1030</v>
      </c>
      <c r="R233" s="188">
        <v>190501500</v>
      </c>
      <c r="S233" s="191" t="s">
        <v>256</v>
      </c>
      <c r="T233" s="192" t="s">
        <v>157</v>
      </c>
      <c r="U233" s="194">
        <v>2</v>
      </c>
      <c r="V233" s="194"/>
      <c r="W233" s="194">
        <f>U233+V233</f>
        <v>2</v>
      </c>
      <c r="X233" s="194">
        <v>2</v>
      </c>
      <c r="Y233" s="195">
        <v>2020003630123</v>
      </c>
      <c r="Z233" s="190" t="s">
        <v>1014</v>
      </c>
      <c r="AA233" s="189" t="s">
        <v>1015</v>
      </c>
      <c r="AB233" s="180"/>
      <c r="AC233" s="180"/>
      <c r="AD233" s="180">
        <f>35000000</f>
        <v>35000000</v>
      </c>
      <c r="AE233" s="180"/>
      <c r="AF233" s="180"/>
      <c r="AG233" s="180"/>
      <c r="AH233" s="184"/>
      <c r="AI233" s="180"/>
      <c r="AJ233" s="180"/>
      <c r="AK233" s="180"/>
      <c r="AL233" s="187">
        <f t="shared" si="11"/>
        <v>35000000</v>
      </c>
      <c r="AM233" s="198" t="s">
        <v>14</v>
      </c>
    </row>
    <row r="234" spans="1:50" s="200" customFormat="1" ht="66.75" customHeight="1">
      <c r="A234" s="188">
        <v>318</v>
      </c>
      <c r="B234" s="189" t="s">
        <v>933</v>
      </c>
      <c r="C234" s="188">
        <v>1</v>
      </c>
      <c r="D234" s="189" t="s">
        <v>148</v>
      </c>
      <c r="E234" s="188">
        <v>19</v>
      </c>
      <c r="F234" s="189" t="s">
        <v>756</v>
      </c>
      <c r="G234" s="188">
        <v>1905</v>
      </c>
      <c r="H234" s="189" t="s">
        <v>757</v>
      </c>
      <c r="I234" s="188">
        <v>1905</v>
      </c>
      <c r="J234" s="189" t="s">
        <v>1005</v>
      </c>
      <c r="K234" s="189" t="s">
        <v>949</v>
      </c>
      <c r="L234" s="188" t="s">
        <v>61</v>
      </c>
      <c r="M234" s="191" t="s">
        <v>1031</v>
      </c>
      <c r="N234" s="188">
        <v>1905024</v>
      </c>
      <c r="O234" s="189" t="s">
        <v>1026</v>
      </c>
      <c r="P234" s="188" t="s">
        <v>61</v>
      </c>
      <c r="Q234" s="191" t="s">
        <v>1032</v>
      </c>
      <c r="R234" s="194">
        <v>190502400</v>
      </c>
      <c r="S234" s="191" t="s">
        <v>1028</v>
      </c>
      <c r="T234" s="194" t="s">
        <v>69</v>
      </c>
      <c r="U234" s="194">
        <v>12</v>
      </c>
      <c r="V234" s="194"/>
      <c r="W234" s="194">
        <v>12</v>
      </c>
      <c r="X234" s="194">
        <v>4</v>
      </c>
      <c r="Y234" s="195">
        <v>2020003630123</v>
      </c>
      <c r="Z234" s="189" t="s">
        <v>1014</v>
      </c>
      <c r="AA234" s="189" t="s">
        <v>1015</v>
      </c>
      <c r="AB234" s="180"/>
      <c r="AC234" s="180"/>
      <c r="AD234" s="180">
        <f>35000000</f>
        <v>35000000</v>
      </c>
      <c r="AE234" s="180"/>
      <c r="AF234" s="180"/>
      <c r="AG234" s="180"/>
      <c r="AH234" s="184"/>
      <c r="AI234" s="180"/>
      <c r="AJ234" s="180"/>
      <c r="AK234" s="180"/>
      <c r="AL234" s="187">
        <f t="shared" si="11"/>
        <v>35000000</v>
      </c>
      <c r="AM234" s="198" t="s">
        <v>14</v>
      </c>
    </row>
    <row r="235" spans="1:50" s="200" customFormat="1" ht="66.75" customHeight="1">
      <c r="A235" s="188">
        <v>318</v>
      </c>
      <c r="B235" s="189" t="s">
        <v>933</v>
      </c>
      <c r="C235" s="188">
        <v>1</v>
      </c>
      <c r="D235" s="189" t="s">
        <v>148</v>
      </c>
      <c r="E235" s="188">
        <v>19</v>
      </c>
      <c r="F235" s="189" t="s">
        <v>756</v>
      </c>
      <c r="G235" s="188">
        <v>1905</v>
      </c>
      <c r="H235" s="189" t="s">
        <v>757</v>
      </c>
      <c r="I235" s="188">
        <v>1905</v>
      </c>
      <c r="J235" s="189" t="s">
        <v>1005</v>
      </c>
      <c r="K235" s="189" t="s">
        <v>983</v>
      </c>
      <c r="L235" s="188" t="s">
        <v>61</v>
      </c>
      <c r="M235" s="191" t="s">
        <v>1033</v>
      </c>
      <c r="N235" s="188">
        <v>1905024</v>
      </c>
      <c r="O235" s="189" t="s">
        <v>1026</v>
      </c>
      <c r="P235" s="188" t="s">
        <v>61</v>
      </c>
      <c r="Q235" s="191" t="s">
        <v>1034</v>
      </c>
      <c r="R235" s="194">
        <v>190502401</v>
      </c>
      <c r="S235" s="191" t="s">
        <v>1035</v>
      </c>
      <c r="T235" s="194" t="s">
        <v>157</v>
      </c>
      <c r="U235" s="194">
        <v>2</v>
      </c>
      <c r="V235" s="194"/>
      <c r="W235" s="194">
        <v>2</v>
      </c>
      <c r="X235" s="194">
        <v>2</v>
      </c>
      <c r="Y235" s="195">
        <v>2020003630123</v>
      </c>
      <c r="Z235" s="189" t="s">
        <v>1014</v>
      </c>
      <c r="AA235" s="189" t="s">
        <v>1015</v>
      </c>
      <c r="AB235" s="180"/>
      <c r="AC235" s="180"/>
      <c r="AD235" s="180">
        <v>35000000</v>
      </c>
      <c r="AE235" s="180"/>
      <c r="AF235" s="180"/>
      <c r="AG235" s="180"/>
      <c r="AH235" s="184"/>
      <c r="AI235" s="180"/>
      <c r="AJ235" s="180"/>
      <c r="AK235" s="180"/>
      <c r="AL235" s="187">
        <f t="shared" si="11"/>
        <v>35000000</v>
      </c>
      <c r="AM235" s="198" t="s">
        <v>14</v>
      </c>
    </row>
    <row r="236" spans="1:50" s="200" customFormat="1" ht="66.75" customHeight="1">
      <c r="A236" s="188">
        <v>318</v>
      </c>
      <c r="B236" s="189" t="s">
        <v>933</v>
      </c>
      <c r="C236" s="188">
        <v>1</v>
      </c>
      <c r="D236" s="189" t="s">
        <v>148</v>
      </c>
      <c r="E236" s="188">
        <v>19</v>
      </c>
      <c r="F236" s="189" t="s">
        <v>756</v>
      </c>
      <c r="G236" s="188">
        <v>1905</v>
      </c>
      <c r="H236" s="189" t="s">
        <v>757</v>
      </c>
      <c r="I236" s="188">
        <v>1905</v>
      </c>
      <c r="J236" s="189" t="s">
        <v>1005</v>
      </c>
      <c r="K236" s="189" t="s">
        <v>759</v>
      </c>
      <c r="L236" s="188">
        <v>1905021</v>
      </c>
      <c r="M236" s="191" t="s">
        <v>760</v>
      </c>
      <c r="N236" s="188">
        <v>1905021</v>
      </c>
      <c r="O236" s="189" t="s">
        <v>760</v>
      </c>
      <c r="P236" s="194">
        <v>190502100</v>
      </c>
      <c r="Q236" s="191" t="s">
        <v>761</v>
      </c>
      <c r="R236" s="194">
        <v>190502100</v>
      </c>
      <c r="S236" s="191" t="s">
        <v>761</v>
      </c>
      <c r="T236" s="192" t="s">
        <v>69</v>
      </c>
      <c r="U236" s="194">
        <v>12</v>
      </c>
      <c r="V236" s="194"/>
      <c r="W236" s="194">
        <v>12</v>
      </c>
      <c r="X236" s="194">
        <v>12</v>
      </c>
      <c r="Y236" s="195">
        <v>2020003630124</v>
      </c>
      <c r="Z236" s="189" t="s">
        <v>1036</v>
      </c>
      <c r="AA236" s="189" t="s">
        <v>1037</v>
      </c>
      <c r="AB236" s="180"/>
      <c r="AC236" s="180"/>
      <c r="AD236" s="180">
        <v>100000000</v>
      </c>
      <c r="AE236" s="180">
        <v>20000000</v>
      </c>
      <c r="AF236" s="180"/>
      <c r="AG236" s="180"/>
      <c r="AH236" s="184"/>
      <c r="AI236" s="180"/>
      <c r="AJ236" s="180"/>
      <c r="AK236" s="180"/>
      <c r="AL236" s="187">
        <f t="shared" si="11"/>
        <v>120000000</v>
      </c>
      <c r="AM236" s="198" t="s">
        <v>14</v>
      </c>
    </row>
    <row r="237" spans="1:50" s="200" customFormat="1" ht="66.75" customHeight="1">
      <c r="A237" s="188">
        <v>318</v>
      </c>
      <c r="B237" s="189" t="s">
        <v>933</v>
      </c>
      <c r="C237" s="188">
        <v>1</v>
      </c>
      <c r="D237" s="189" t="s">
        <v>148</v>
      </c>
      <c r="E237" s="188">
        <v>19</v>
      </c>
      <c r="F237" s="189" t="s">
        <v>756</v>
      </c>
      <c r="G237" s="188">
        <v>1905</v>
      </c>
      <c r="H237" s="189" t="s">
        <v>757</v>
      </c>
      <c r="I237" s="188">
        <v>1905</v>
      </c>
      <c r="J237" s="189" t="s">
        <v>1005</v>
      </c>
      <c r="K237" s="189" t="s">
        <v>1016</v>
      </c>
      <c r="L237" s="188" t="s">
        <v>61</v>
      </c>
      <c r="M237" s="191" t="s">
        <v>1038</v>
      </c>
      <c r="N237" s="188">
        <v>1905021</v>
      </c>
      <c r="O237" s="189" t="s">
        <v>1039</v>
      </c>
      <c r="P237" s="188" t="s">
        <v>61</v>
      </c>
      <c r="Q237" s="191" t="s">
        <v>1020</v>
      </c>
      <c r="R237" s="188">
        <v>190502100</v>
      </c>
      <c r="S237" s="191" t="s">
        <v>1040</v>
      </c>
      <c r="T237" s="192" t="s">
        <v>69</v>
      </c>
      <c r="U237" s="194">
        <v>11</v>
      </c>
      <c r="V237" s="194"/>
      <c r="W237" s="194">
        <v>11</v>
      </c>
      <c r="X237" s="194">
        <v>11</v>
      </c>
      <c r="Y237" s="195">
        <v>2020003630124</v>
      </c>
      <c r="Z237" s="189" t="s">
        <v>1036</v>
      </c>
      <c r="AA237" s="189" t="s">
        <v>1037</v>
      </c>
      <c r="AB237" s="180"/>
      <c r="AC237" s="180"/>
      <c r="AD237" s="180">
        <v>100000000</v>
      </c>
      <c r="AE237" s="180">
        <v>20000000</v>
      </c>
      <c r="AF237" s="180"/>
      <c r="AG237" s="180"/>
      <c r="AH237" s="184"/>
      <c r="AI237" s="180"/>
      <c r="AJ237" s="180"/>
      <c r="AK237" s="180"/>
      <c r="AL237" s="187">
        <f t="shared" si="11"/>
        <v>120000000</v>
      </c>
      <c r="AM237" s="198" t="s">
        <v>14</v>
      </c>
    </row>
    <row r="238" spans="1:50" s="200" customFormat="1" ht="66.75" customHeight="1">
      <c r="A238" s="188">
        <v>318</v>
      </c>
      <c r="B238" s="189" t="s">
        <v>933</v>
      </c>
      <c r="C238" s="188">
        <v>1</v>
      </c>
      <c r="D238" s="189" t="s">
        <v>148</v>
      </c>
      <c r="E238" s="188">
        <v>19</v>
      </c>
      <c r="F238" s="189" t="s">
        <v>756</v>
      </c>
      <c r="G238" s="188">
        <v>1905</v>
      </c>
      <c r="H238" s="189" t="s">
        <v>757</v>
      </c>
      <c r="I238" s="188">
        <v>1905</v>
      </c>
      <c r="J238" s="189" t="s">
        <v>1005</v>
      </c>
      <c r="K238" s="189" t="s">
        <v>1002</v>
      </c>
      <c r="L238" s="188">
        <v>1905020</v>
      </c>
      <c r="M238" s="191" t="s">
        <v>1041</v>
      </c>
      <c r="N238" s="274">
        <v>1905020</v>
      </c>
      <c r="O238" s="189" t="s">
        <v>1041</v>
      </c>
      <c r="P238" s="194">
        <v>190502000</v>
      </c>
      <c r="Q238" s="191" t="s">
        <v>1042</v>
      </c>
      <c r="R238" s="194">
        <v>190502000</v>
      </c>
      <c r="S238" s="191" t="s">
        <v>1042</v>
      </c>
      <c r="T238" s="194" t="s">
        <v>69</v>
      </c>
      <c r="U238" s="194">
        <v>12</v>
      </c>
      <c r="V238" s="194"/>
      <c r="W238" s="194">
        <v>12</v>
      </c>
      <c r="X238" s="194">
        <v>12</v>
      </c>
      <c r="Y238" s="195">
        <v>2020003630125</v>
      </c>
      <c r="Z238" s="190" t="s">
        <v>1043</v>
      </c>
      <c r="AA238" s="189" t="s">
        <v>1044</v>
      </c>
      <c r="AB238" s="180"/>
      <c r="AC238" s="180"/>
      <c r="AD238" s="184">
        <v>50000000</v>
      </c>
      <c r="AE238" s="180">
        <v>4062000</v>
      </c>
      <c r="AF238" s="180"/>
      <c r="AG238" s="180"/>
      <c r="AH238" s="184"/>
      <c r="AI238" s="180"/>
      <c r="AJ238" s="180"/>
      <c r="AK238" s="180"/>
      <c r="AL238" s="187">
        <f t="shared" si="11"/>
        <v>54062000</v>
      </c>
      <c r="AM238" s="198" t="s">
        <v>14</v>
      </c>
    </row>
    <row r="239" spans="1:50" s="200" customFormat="1" ht="116.25" customHeight="1">
      <c r="A239" s="188">
        <v>318</v>
      </c>
      <c r="B239" s="189" t="s">
        <v>933</v>
      </c>
      <c r="C239" s="188">
        <v>1</v>
      </c>
      <c r="D239" s="189" t="s">
        <v>148</v>
      </c>
      <c r="E239" s="188">
        <v>19</v>
      </c>
      <c r="F239" s="189" t="s">
        <v>756</v>
      </c>
      <c r="G239" s="188">
        <v>1905</v>
      </c>
      <c r="H239" s="189" t="s">
        <v>757</v>
      </c>
      <c r="I239" s="188">
        <v>1905</v>
      </c>
      <c r="J239" s="189" t="s">
        <v>1005</v>
      </c>
      <c r="K239" s="189" t="s">
        <v>764</v>
      </c>
      <c r="L239" s="188">
        <v>1905022</v>
      </c>
      <c r="M239" s="191" t="s">
        <v>765</v>
      </c>
      <c r="N239" s="274">
        <v>1905022</v>
      </c>
      <c r="O239" s="189" t="s">
        <v>765</v>
      </c>
      <c r="P239" s="194">
        <v>190502200</v>
      </c>
      <c r="Q239" s="191" t="s">
        <v>766</v>
      </c>
      <c r="R239" s="194">
        <v>190502200</v>
      </c>
      <c r="S239" s="191" t="s">
        <v>766</v>
      </c>
      <c r="T239" s="194" t="s">
        <v>69</v>
      </c>
      <c r="U239" s="194">
        <v>12</v>
      </c>
      <c r="V239" s="194"/>
      <c r="W239" s="194">
        <v>12</v>
      </c>
      <c r="X239" s="194">
        <v>11</v>
      </c>
      <c r="Y239" s="195">
        <v>2020003630125</v>
      </c>
      <c r="Z239" s="189" t="s">
        <v>1043</v>
      </c>
      <c r="AA239" s="189" t="s">
        <v>1044</v>
      </c>
      <c r="AB239" s="180"/>
      <c r="AC239" s="180"/>
      <c r="AD239" s="184">
        <v>57413133</v>
      </c>
      <c r="AE239" s="180">
        <v>5638000</v>
      </c>
      <c r="AF239" s="180"/>
      <c r="AG239" s="180"/>
      <c r="AH239" s="184"/>
      <c r="AI239" s="180"/>
      <c r="AJ239" s="180"/>
      <c r="AK239" s="180"/>
      <c r="AL239" s="187">
        <f t="shared" si="11"/>
        <v>63051133</v>
      </c>
      <c r="AM239" s="198" t="s">
        <v>14</v>
      </c>
    </row>
    <row r="240" spans="1:50" s="200" customFormat="1" ht="81.75" customHeight="1">
      <c r="A240" s="188">
        <v>318</v>
      </c>
      <c r="B240" s="189" t="s">
        <v>933</v>
      </c>
      <c r="C240" s="188">
        <v>1</v>
      </c>
      <c r="D240" s="189" t="s">
        <v>148</v>
      </c>
      <c r="E240" s="188">
        <v>19</v>
      </c>
      <c r="F240" s="189" t="s">
        <v>756</v>
      </c>
      <c r="G240" s="188">
        <v>1905</v>
      </c>
      <c r="H240" s="189" t="s">
        <v>757</v>
      </c>
      <c r="I240" s="188">
        <v>1905</v>
      </c>
      <c r="J240" s="189" t="s">
        <v>1005</v>
      </c>
      <c r="K240" s="189" t="s">
        <v>1047</v>
      </c>
      <c r="L240" s="188">
        <v>1905012</v>
      </c>
      <c r="M240" s="191" t="s">
        <v>1048</v>
      </c>
      <c r="N240" s="188">
        <v>1905012</v>
      </c>
      <c r="O240" s="189" t="s">
        <v>1048</v>
      </c>
      <c r="P240" s="194">
        <v>190501200</v>
      </c>
      <c r="Q240" s="191" t="s">
        <v>1048</v>
      </c>
      <c r="R240" s="194">
        <v>190501200</v>
      </c>
      <c r="S240" s="191" t="s">
        <v>1048</v>
      </c>
      <c r="T240" s="194" t="s">
        <v>69</v>
      </c>
      <c r="U240" s="194">
        <v>1</v>
      </c>
      <c r="V240" s="194"/>
      <c r="W240" s="194">
        <v>1</v>
      </c>
      <c r="X240" s="194">
        <v>0.71</v>
      </c>
      <c r="Y240" s="195">
        <v>2020003630127</v>
      </c>
      <c r="Z240" s="190" t="s">
        <v>1049</v>
      </c>
      <c r="AA240" s="189" t="s">
        <v>1050</v>
      </c>
      <c r="AB240" s="180"/>
      <c r="AC240" s="180"/>
      <c r="AD240" s="180">
        <f>15000000+200000000-100000000+49786050</f>
        <v>164786050</v>
      </c>
      <c r="AE240" s="180">
        <v>18866700</v>
      </c>
      <c r="AF240" s="180"/>
      <c r="AG240" s="180"/>
      <c r="AH240" s="184"/>
      <c r="AI240" s="180"/>
      <c r="AJ240" s="180"/>
      <c r="AK240" s="187"/>
      <c r="AL240" s="187">
        <f t="shared" si="11"/>
        <v>183652750</v>
      </c>
      <c r="AM240" s="198" t="s">
        <v>14</v>
      </c>
    </row>
    <row r="241" spans="1:50" s="200" customFormat="1" ht="112.5" customHeight="1">
      <c r="A241" s="188">
        <v>318</v>
      </c>
      <c r="B241" s="189" t="s">
        <v>933</v>
      </c>
      <c r="C241" s="188">
        <v>1</v>
      </c>
      <c r="D241" s="189" t="s">
        <v>148</v>
      </c>
      <c r="E241" s="188">
        <v>19</v>
      </c>
      <c r="F241" s="189" t="s">
        <v>756</v>
      </c>
      <c r="G241" s="188">
        <v>1905</v>
      </c>
      <c r="H241" s="189" t="s">
        <v>757</v>
      </c>
      <c r="I241" s="188">
        <v>1905</v>
      </c>
      <c r="J241" s="189" t="s">
        <v>1005</v>
      </c>
      <c r="K241" s="189" t="s">
        <v>1051</v>
      </c>
      <c r="L241" s="188">
        <v>1905026</v>
      </c>
      <c r="M241" s="191" t="s">
        <v>1052</v>
      </c>
      <c r="N241" s="188">
        <v>1905026</v>
      </c>
      <c r="O241" s="189" t="s">
        <v>1052</v>
      </c>
      <c r="P241" s="194">
        <v>190502600</v>
      </c>
      <c r="Q241" s="191" t="s">
        <v>1053</v>
      </c>
      <c r="R241" s="194">
        <v>190502600</v>
      </c>
      <c r="S241" s="191" t="s">
        <v>1053</v>
      </c>
      <c r="T241" s="192" t="s">
        <v>69</v>
      </c>
      <c r="U241" s="194">
        <v>12</v>
      </c>
      <c r="V241" s="194"/>
      <c r="W241" s="194">
        <v>12</v>
      </c>
      <c r="X241" s="194">
        <v>12</v>
      </c>
      <c r="Y241" s="195">
        <v>2020003630127</v>
      </c>
      <c r="Z241" s="190" t="s">
        <v>1049</v>
      </c>
      <c r="AA241" s="189" t="s">
        <v>1050</v>
      </c>
      <c r="AB241" s="180"/>
      <c r="AC241" s="180"/>
      <c r="AD241" s="180">
        <v>20000000</v>
      </c>
      <c r="AE241" s="187">
        <v>18300000</v>
      </c>
      <c r="AF241" s="180"/>
      <c r="AG241" s="180"/>
      <c r="AH241" s="184"/>
      <c r="AI241" s="180"/>
      <c r="AJ241" s="180"/>
      <c r="AK241" s="180"/>
      <c r="AL241" s="187">
        <f t="shared" si="11"/>
        <v>38300000</v>
      </c>
      <c r="AM241" s="198" t="s">
        <v>14</v>
      </c>
    </row>
    <row r="242" spans="1:50" s="200" customFormat="1" ht="66.75" customHeight="1">
      <c r="A242" s="188">
        <v>318</v>
      </c>
      <c r="B242" s="189" t="s">
        <v>933</v>
      </c>
      <c r="C242" s="188">
        <v>1</v>
      </c>
      <c r="D242" s="189" t="s">
        <v>148</v>
      </c>
      <c r="E242" s="188">
        <v>19</v>
      </c>
      <c r="F242" s="189" t="s">
        <v>756</v>
      </c>
      <c r="G242" s="188">
        <v>1905</v>
      </c>
      <c r="H242" s="189" t="s">
        <v>757</v>
      </c>
      <c r="I242" s="188">
        <v>1905</v>
      </c>
      <c r="J242" s="189" t="s">
        <v>1005</v>
      </c>
      <c r="K242" s="189" t="s">
        <v>1047</v>
      </c>
      <c r="L242" s="188">
        <v>1905027</v>
      </c>
      <c r="M242" s="191" t="s">
        <v>1054</v>
      </c>
      <c r="N242" s="188">
        <v>1905027</v>
      </c>
      <c r="O242" s="189" t="s">
        <v>1054</v>
      </c>
      <c r="P242" s="194">
        <v>190502700</v>
      </c>
      <c r="Q242" s="190" t="s">
        <v>1055</v>
      </c>
      <c r="R242" s="194">
        <v>190502700</v>
      </c>
      <c r="S242" s="191" t="s">
        <v>1055</v>
      </c>
      <c r="T242" s="194" t="s">
        <v>69</v>
      </c>
      <c r="U242" s="194">
        <v>12</v>
      </c>
      <c r="V242" s="194"/>
      <c r="W242" s="194">
        <v>12</v>
      </c>
      <c r="X242" s="194">
        <v>12</v>
      </c>
      <c r="Y242" s="195">
        <v>2020003630127</v>
      </c>
      <c r="Z242" s="189" t="s">
        <v>1049</v>
      </c>
      <c r="AA242" s="189" t="s">
        <v>1050</v>
      </c>
      <c r="AB242" s="180"/>
      <c r="AC242" s="180"/>
      <c r="AD242" s="180">
        <f>20000000+100000000</f>
        <v>120000000</v>
      </c>
      <c r="AE242" s="187">
        <v>28833300</v>
      </c>
      <c r="AF242" s="180"/>
      <c r="AG242" s="180"/>
      <c r="AH242" s="184"/>
      <c r="AI242" s="180"/>
      <c r="AJ242" s="180"/>
      <c r="AK242" s="180"/>
      <c r="AL242" s="187">
        <f t="shared" si="11"/>
        <v>148833300</v>
      </c>
      <c r="AM242" s="198" t="s">
        <v>14</v>
      </c>
    </row>
    <row r="243" spans="1:50" s="200" customFormat="1" ht="66.75" customHeight="1">
      <c r="A243" s="188">
        <v>318</v>
      </c>
      <c r="B243" s="189" t="s">
        <v>933</v>
      </c>
      <c r="C243" s="188">
        <v>1</v>
      </c>
      <c r="D243" s="189" t="s">
        <v>148</v>
      </c>
      <c r="E243" s="188">
        <v>19</v>
      </c>
      <c r="F243" s="189" t="s">
        <v>756</v>
      </c>
      <c r="G243" s="188">
        <v>1905</v>
      </c>
      <c r="H243" s="189" t="s">
        <v>757</v>
      </c>
      <c r="I243" s="188">
        <v>1905</v>
      </c>
      <c r="J243" s="189" t="s">
        <v>1005</v>
      </c>
      <c r="K243" s="189" t="s">
        <v>1056</v>
      </c>
      <c r="L243" s="188" t="s">
        <v>61</v>
      </c>
      <c r="M243" s="191" t="s">
        <v>1029</v>
      </c>
      <c r="N243" s="188">
        <v>1905015</v>
      </c>
      <c r="O243" s="189" t="s">
        <v>375</v>
      </c>
      <c r="P243" s="188" t="s">
        <v>61</v>
      </c>
      <c r="Q243" s="191" t="s">
        <v>1030</v>
      </c>
      <c r="R243" s="194" t="s">
        <v>1057</v>
      </c>
      <c r="S243" s="191" t="s">
        <v>256</v>
      </c>
      <c r="T243" s="192" t="s">
        <v>157</v>
      </c>
      <c r="U243" s="194">
        <v>2</v>
      </c>
      <c r="V243" s="194"/>
      <c r="W243" s="194">
        <f>U243+V243</f>
        <v>2</v>
      </c>
      <c r="X243" s="194">
        <v>2</v>
      </c>
      <c r="Y243" s="195">
        <v>2020003630128</v>
      </c>
      <c r="Z243" s="189" t="s">
        <v>1058</v>
      </c>
      <c r="AA243" s="189" t="s">
        <v>1059</v>
      </c>
      <c r="AB243" s="180"/>
      <c r="AC243" s="180"/>
      <c r="AD243" s="180">
        <v>20000000</v>
      </c>
      <c r="AE243" s="180"/>
      <c r="AF243" s="180"/>
      <c r="AG243" s="180"/>
      <c r="AH243" s="184"/>
      <c r="AI243" s="180"/>
      <c r="AJ243" s="180"/>
      <c r="AK243" s="180"/>
      <c r="AL243" s="187">
        <f t="shared" si="11"/>
        <v>20000000</v>
      </c>
      <c r="AM243" s="198" t="s">
        <v>14</v>
      </c>
    </row>
    <row r="244" spans="1:50" s="200" customFormat="1" ht="66.75" customHeight="1">
      <c r="A244" s="188">
        <v>318</v>
      </c>
      <c r="B244" s="189" t="s">
        <v>933</v>
      </c>
      <c r="C244" s="188">
        <v>1</v>
      </c>
      <c r="D244" s="189" t="s">
        <v>148</v>
      </c>
      <c r="E244" s="188">
        <v>19</v>
      </c>
      <c r="F244" s="189" t="s">
        <v>756</v>
      </c>
      <c r="G244" s="188">
        <v>1905</v>
      </c>
      <c r="H244" s="189" t="s">
        <v>757</v>
      </c>
      <c r="I244" s="188">
        <v>1905</v>
      </c>
      <c r="J244" s="189" t="s">
        <v>1005</v>
      </c>
      <c r="K244" s="189" t="s">
        <v>949</v>
      </c>
      <c r="L244" s="188">
        <v>1905014</v>
      </c>
      <c r="M244" s="191" t="s">
        <v>101</v>
      </c>
      <c r="N244" s="188">
        <v>1905014</v>
      </c>
      <c r="O244" s="189" t="s">
        <v>101</v>
      </c>
      <c r="P244" s="188">
        <v>190501400</v>
      </c>
      <c r="Q244" s="190" t="s">
        <v>540</v>
      </c>
      <c r="R244" s="188">
        <v>190501400</v>
      </c>
      <c r="S244" s="191" t="s">
        <v>540</v>
      </c>
      <c r="T244" s="194" t="s">
        <v>69</v>
      </c>
      <c r="U244" s="194">
        <v>12</v>
      </c>
      <c r="V244" s="194"/>
      <c r="W244" s="194">
        <v>12</v>
      </c>
      <c r="X244" s="194">
        <v>12</v>
      </c>
      <c r="Y244" s="195">
        <v>2020003630129</v>
      </c>
      <c r="Z244" s="189" t="s">
        <v>1060</v>
      </c>
      <c r="AA244" s="189" t="s">
        <v>1061</v>
      </c>
      <c r="AB244" s="180"/>
      <c r="AC244" s="180"/>
      <c r="AD244" s="180">
        <f>30000000+160639061.29-80000000</f>
        <v>110639061.28999999</v>
      </c>
      <c r="AE244" s="180"/>
      <c r="AF244" s="180"/>
      <c r="AG244" s="180"/>
      <c r="AH244" s="184"/>
      <c r="AI244" s="180"/>
      <c r="AJ244" s="180"/>
      <c r="AK244" s="180"/>
      <c r="AL244" s="187">
        <f t="shared" si="11"/>
        <v>110639061.28999999</v>
      </c>
      <c r="AM244" s="198" t="s">
        <v>14</v>
      </c>
    </row>
    <row r="245" spans="1:50" s="200" customFormat="1" ht="66.75" customHeight="1">
      <c r="A245" s="188">
        <v>318</v>
      </c>
      <c r="B245" s="189" t="s">
        <v>933</v>
      </c>
      <c r="C245" s="188">
        <v>1</v>
      </c>
      <c r="D245" s="189" t="s">
        <v>148</v>
      </c>
      <c r="E245" s="188">
        <v>19</v>
      </c>
      <c r="F245" s="189" t="s">
        <v>756</v>
      </c>
      <c r="G245" s="188">
        <v>1905</v>
      </c>
      <c r="H245" s="189" t="s">
        <v>757</v>
      </c>
      <c r="I245" s="188">
        <v>1905</v>
      </c>
      <c r="J245" s="189" t="s">
        <v>1005</v>
      </c>
      <c r="K245" s="189" t="s">
        <v>978</v>
      </c>
      <c r="L245" s="188">
        <v>1905015</v>
      </c>
      <c r="M245" s="191" t="s">
        <v>254</v>
      </c>
      <c r="N245" s="188">
        <v>1905015</v>
      </c>
      <c r="O245" s="189" t="s">
        <v>254</v>
      </c>
      <c r="P245" s="188">
        <v>190501503</v>
      </c>
      <c r="Q245" s="191" t="s">
        <v>1062</v>
      </c>
      <c r="R245" s="188">
        <v>190501503</v>
      </c>
      <c r="S245" s="191" t="s">
        <v>1062</v>
      </c>
      <c r="T245" s="194" t="s">
        <v>69</v>
      </c>
      <c r="U245" s="194">
        <v>15</v>
      </c>
      <c r="V245" s="194"/>
      <c r="W245" s="194">
        <v>15</v>
      </c>
      <c r="X245" s="194">
        <v>12</v>
      </c>
      <c r="Y245" s="195">
        <v>2020003630133</v>
      </c>
      <c r="Z245" s="196" t="s">
        <v>1063</v>
      </c>
      <c r="AA245" s="189" t="s">
        <v>1064</v>
      </c>
      <c r="AB245" s="180"/>
      <c r="AC245" s="180"/>
      <c r="AD245" s="197">
        <v>600000000</v>
      </c>
      <c r="AE245" s="180"/>
      <c r="AF245" s="180"/>
      <c r="AG245" s="180"/>
      <c r="AH245" s="184"/>
      <c r="AI245" s="180"/>
      <c r="AJ245" s="180"/>
      <c r="AK245" s="180"/>
      <c r="AL245" s="187">
        <f t="shared" si="11"/>
        <v>600000000</v>
      </c>
      <c r="AM245" s="198" t="s">
        <v>14</v>
      </c>
    </row>
    <row r="246" spans="1:50" s="200" customFormat="1" ht="66.75" customHeight="1">
      <c r="A246" s="188">
        <v>318</v>
      </c>
      <c r="B246" s="189" t="s">
        <v>933</v>
      </c>
      <c r="C246" s="188">
        <v>1</v>
      </c>
      <c r="D246" s="189" t="s">
        <v>148</v>
      </c>
      <c r="E246" s="188">
        <v>19</v>
      </c>
      <c r="F246" s="189" t="s">
        <v>756</v>
      </c>
      <c r="G246" s="188">
        <v>1905</v>
      </c>
      <c r="H246" s="189" t="s">
        <v>757</v>
      </c>
      <c r="I246" s="188">
        <v>1905</v>
      </c>
      <c r="J246" s="189" t="s">
        <v>1005</v>
      </c>
      <c r="K246" s="189" t="s">
        <v>1065</v>
      </c>
      <c r="L246" s="188" t="s">
        <v>61</v>
      </c>
      <c r="M246" s="191" t="s">
        <v>1066</v>
      </c>
      <c r="N246" s="188">
        <v>1905009</v>
      </c>
      <c r="O246" s="189" t="s">
        <v>1067</v>
      </c>
      <c r="P246" s="188" t="s">
        <v>61</v>
      </c>
      <c r="Q246" s="191" t="s">
        <v>1068</v>
      </c>
      <c r="R246" s="188">
        <v>190500900</v>
      </c>
      <c r="S246" s="191" t="s">
        <v>1069</v>
      </c>
      <c r="T246" s="194" t="s">
        <v>69</v>
      </c>
      <c r="U246" s="194">
        <v>1</v>
      </c>
      <c r="V246" s="194"/>
      <c r="W246" s="194">
        <v>1</v>
      </c>
      <c r="X246" s="194">
        <v>1</v>
      </c>
      <c r="Y246" s="195">
        <v>2020003630134</v>
      </c>
      <c r="Z246" s="196" t="s">
        <v>1070</v>
      </c>
      <c r="AA246" s="189" t="s">
        <v>1071</v>
      </c>
      <c r="AB246" s="180"/>
      <c r="AC246" s="180"/>
      <c r="AD246" s="180"/>
      <c r="AE246" s="260"/>
      <c r="AF246" s="180"/>
      <c r="AG246" s="180"/>
      <c r="AH246" s="184">
        <f>300000000+45000000</f>
        <v>345000000</v>
      </c>
      <c r="AI246" s="180"/>
      <c r="AJ246" s="180"/>
      <c r="AK246" s="180"/>
      <c r="AL246" s="187">
        <f t="shared" si="11"/>
        <v>345000000</v>
      </c>
      <c r="AM246" s="198" t="s">
        <v>14</v>
      </c>
      <c r="AN246" s="298"/>
      <c r="AO246" s="298"/>
      <c r="AP246" s="298"/>
      <c r="AQ246" s="298"/>
      <c r="AR246" s="298"/>
      <c r="AS246" s="298"/>
      <c r="AT246" s="298"/>
      <c r="AU246" s="298"/>
      <c r="AV246" s="298"/>
      <c r="AW246" s="298"/>
      <c r="AX246" s="298"/>
    </row>
    <row r="247" spans="1:50" s="200" customFormat="1" ht="66.75" customHeight="1">
      <c r="A247" s="188">
        <v>318</v>
      </c>
      <c r="B247" s="189" t="s">
        <v>933</v>
      </c>
      <c r="C247" s="188">
        <v>1</v>
      </c>
      <c r="D247" s="189" t="s">
        <v>148</v>
      </c>
      <c r="E247" s="188">
        <v>19</v>
      </c>
      <c r="F247" s="189" t="s">
        <v>756</v>
      </c>
      <c r="G247" s="188">
        <v>1906</v>
      </c>
      <c r="H247" s="189" t="s">
        <v>1074</v>
      </c>
      <c r="I247" s="188">
        <v>1906</v>
      </c>
      <c r="J247" s="189" t="s">
        <v>1075</v>
      </c>
      <c r="K247" s="189" t="s">
        <v>1076</v>
      </c>
      <c r="L247" s="188" t="s">
        <v>61</v>
      </c>
      <c r="M247" s="191" t="s">
        <v>1077</v>
      </c>
      <c r="N247" s="188">
        <v>1906023</v>
      </c>
      <c r="O247" s="189" t="s">
        <v>1078</v>
      </c>
      <c r="P247" s="188" t="s">
        <v>61</v>
      </c>
      <c r="Q247" s="190" t="s">
        <v>1079</v>
      </c>
      <c r="R247" s="188">
        <v>190602300</v>
      </c>
      <c r="S247" s="191" t="s">
        <v>1080</v>
      </c>
      <c r="T247" s="194" t="s">
        <v>69</v>
      </c>
      <c r="U247" s="194">
        <v>19899</v>
      </c>
      <c r="V247" s="299"/>
      <c r="W247" s="194">
        <v>19899</v>
      </c>
      <c r="X247" s="194">
        <v>275491</v>
      </c>
      <c r="Y247" s="195">
        <v>2020003630136</v>
      </c>
      <c r="Z247" s="196" t="s">
        <v>1081</v>
      </c>
      <c r="AA247" s="189" t="s">
        <v>1082</v>
      </c>
      <c r="AB247" s="180"/>
      <c r="AC247" s="180"/>
      <c r="AD247" s="180"/>
      <c r="AE247" s="185">
        <f>35074003113.88+1912192250+4356206814.63</f>
        <v>41342402178.509995</v>
      </c>
      <c r="AF247" s="180"/>
      <c r="AG247" s="180"/>
      <c r="AH247" s="184"/>
      <c r="AI247" s="180"/>
      <c r="AJ247" s="180"/>
      <c r="AK247" s="180"/>
      <c r="AL247" s="187">
        <f t="shared" si="11"/>
        <v>41342402178.509995</v>
      </c>
      <c r="AM247" s="198" t="s">
        <v>14</v>
      </c>
    </row>
    <row r="248" spans="1:50" s="200" customFormat="1" ht="66.75" customHeight="1">
      <c r="A248" s="188">
        <v>318</v>
      </c>
      <c r="B248" s="189" t="s">
        <v>933</v>
      </c>
      <c r="C248" s="188">
        <v>1</v>
      </c>
      <c r="D248" s="189" t="s">
        <v>148</v>
      </c>
      <c r="E248" s="188">
        <v>19</v>
      </c>
      <c r="F248" s="189" t="s">
        <v>756</v>
      </c>
      <c r="G248" s="188">
        <v>1906</v>
      </c>
      <c r="H248" s="189" t="s">
        <v>1074</v>
      </c>
      <c r="I248" s="188">
        <v>1906</v>
      </c>
      <c r="J248" s="189" t="s">
        <v>1075</v>
      </c>
      <c r="K248" s="191" t="s">
        <v>975</v>
      </c>
      <c r="L248" s="188" t="s">
        <v>61</v>
      </c>
      <c r="M248" s="191" t="s">
        <v>1083</v>
      </c>
      <c r="N248" s="188">
        <v>1906023</v>
      </c>
      <c r="O248" s="189" t="s">
        <v>1078</v>
      </c>
      <c r="P248" s="188" t="s">
        <v>61</v>
      </c>
      <c r="Q248" s="191" t="s">
        <v>1084</v>
      </c>
      <c r="R248" s="194">
        <v>190602301</v>
      </c>
      <c r="S248" s="191" t="s">
        <v>1085</v>
      </c>
      <c r="T248" s="194" t="s">
        <v>69</v>
      </c>
      <c r="U248" s="194">
        <v>60</v>
      </c>
      <c r="V248" s="194"/>
      <c r="W248" s="194">
        <v>60</v>
      </c>
      <c r="X248" s="194">
        <v>43</v>
      </c>
      <c r="Y248" s="195">
        <v>2020003630137</v>
      </c>
      <c r="Z248" s="190" t="s">
        <v>1086</v>
      </c>
      <c r="AA248" s="189" t="s">
        <v>1087</v>
      </c>
      <c r="AB248" s="180"/>
      <c r="AC248" s="180">
        <f>600000000</f>
        <v>600000000</v>
      </c>
      <c r="AD248" s="180"/>
      <c r="AE248" s="185">
        <f>1040464361.47+19178603.4</f>
        <v>1059642964.87</v>
      </c>
      <c r="AF248" s="180"/>
      <c r="AG248" s="180"/>
      <c r="AH248" s="184"/>
      <c r="AI248" s="180"/>
      <c r="AJ248" s="180"/>
      <c r="AK248" s="180">
        <f>1902238000+878287000</f>
        <v>2780525000</v>
      </c>
      <c r="AL248" s="187">
        <f t="shared" si="11"/>
        <v>4440167964.8699999</v>
      </c>
      <c r="AM248" s="198" t="s">
        <v>14</v>
      </c>
    </row>
    <row r="249" spans="1:50" s="200" customFormat="1" ht="66.75" customHeight="1">
      <c r="A249" s="188">
        <v>318</v>
      </c>
      <c r="B249" s="189" t="s">
        <v>933</v>
      </c>
      <c r="C249" s="188">
        <v>1</v>
      </c>
      <c r="D249" s="189" t="s">
        <v>148</v>
      </c>
      <c r="E249" s="188">
        <v>19</v>
      </c>
      <c r="F249" s="189" t="s">
        <v>756</v>
      </c>
      <c r="G249" s="188">
        <v>1906</v>
      </c>
      <c r="H249" s="189" t="s">
        <v>1074</v>
      </c>
      <c r="I249" s="188">
        <v>1906</v>
      </c>
      <c r="J249" s="189" t="s">
        <v>1075</v>
      </c>
      <c r="K249" s="189" t="s">
        <v>1076</v>
      </c>
      <c r="L249" s="188" t="s">
        <v>61</v>
      </c>
      <c r="M249" s="191" t="s">
        <v>1088</v>
      </c>
      <c r="N249" s="188">
        <v>1906025</v>
      </c>
      <c r="O249" s="189" t="s">
        <v>1089</v>
      </c>
      <c r="P249" s="188" t="s">
        <v>61</v>
      </c>
      <c r="Q249" s="191" t="s">
        <v>1090</v>
      </c>
      <c r="R249" s="188">
        <v>190602500</v>
      </c>
      <c r="S249" s="191" t="s">
        <v>1091</v>
      </c>
      <c r="T249" s="194" t="s">
        <v>69</v>
      </c>
      <c r="U249" s="194">
        <v>100</v>
      </c>
      <c r="V249" s="194"/>
      <c r="W249" s="194">
        <v>100</v>
      </c>
      <c r="X249" s="194">
        <v>0</v>
      </c>
      <c r="Y249" s="195">
        <v>2020003630137</v>
      </c>
      <c r="Z249" s="196" t="s">
        <v>1086</v>
      </c>
      <c r="AA249" s="189" t="s">
        <v>1087</v>
      </c>
      <c r="AB249" s="180"/>
      <c r="AC249" s="180">
        <f>600000000-600000000</f>
        <v>0</v>
      </c>
      <c r="AD249" s="180">
        <f>1810933809+156125011.1+108005081</f>
        <v>2075063901.0999999</v>
      </c>
      <c r="AE249" s="180">
        <f>3827989379+956096123</f>
        <v>4784085502</v>
      </c>
      <c r="AF249" s="180"/>
      <c r="AG249" s="180"/>
      <c r="AH249" s="184"/>
      <c r="AI249" s="180"/>
      <c r="AJ249" s="180"/>
      <c r="AK249" s="180"/>
      <c r="AL249" s="187">
        <f t="shared" si="11"/>
        <v>6859149403.1000004</v>
      </c>
      <c r="AM249" s="198" t="s">
        <v>14</v>
      </c>
    </row>
    <row r="250" spans="1:50" s="200" customFormat="1" ht="66.75" customHeight="1">
      <c r="A250" s="188">
        <v>318</v>
      </c>
      <c r="B250" s="189" t="s">
        <v>933</v>
      </c>
      <c r="C250" s="188">
        <v>1</v>
      </c>
      <c r="D250" s="189" t="s">
        <v>148</v>
      </c>
      <c r="E250" s="188">
        <v>19</v>
      </c>
      <c r="F250" s="189" t="s">
        <v>756</v>
      </c>
      <c r="G250" s="188">
        <v>1906</v>
      </c>
      <c r="H250" s="189" t="s">
        <v>1074</v>
      </c>
      <c r="I250" s="188">
        <v>1906</v>
      </c>
      <c r="J250" s="189" t="s">
        <v>1075</v>
      </c>
      <c r="K250" s="189" t="s">
        <v>1076</v>
      </c>
      <c r="L250" s="188" t="s">
        <v>61</v>
      </c>
      <c r="M250" s="191" t="s">
        <v>1092</v>
      </c>
      <c r="N250" s="188">
        <v>1906025</v>
      </c>
      <c r="O250" s="189" t="s">
        <v>1089</v>
      </c>
      <c r="P250" s="188" t="s">
        <v>61</v>
      </c>
      <c r="Q250" s="191" t="s">
        <v>1093</v>
      </c>
      <c r="R250" s="188">
        <v>190602500</v>
      </c>
      <c r="S250" s="191" t="s">
        <v>1091</v>
      </c>
      <c r="T250" s="194" t="s">
        <v>69</v>
      </c>
      <c r="U250" s="194">
        <v>100</v>
      </c>
      <c r="V250" s="194"/>
      <c r="W250" s="194">
        <v>100</v>
      </c>
      <c r="X250" s="194">
        <v>0</v>
      </c>
      <c r="Y250" s="195">
        <v>2020003630137</v>
      </c>
      <c r="Z250" s="196" t="s">
        <v>1086</v>
      </c>
      <c r="AA250" s="189" t="s">
        <v>1087</v>
      </c>
      <c r="AB250" s="180"/>
      <c r="AC250" s="180"/>
      <c r="AD250" s="180"/>
      <c r="AE250" s="180"/>
      <c r="AF250" s="180"/>
      <c r="AG250" s="180"/>
      <c r="AH250" s="184"/>
      <c r="AI250" s="180"/>
      <c r="AJ250" s="180"/>
      <c r="AK250" s="180"/>
      <c r="AL250" s="187">
        <f t="shared" si="11"/>
        <v>0</v>
      </c>
      <c r="AM250" s="198" t="s">
        <v>14</v>
      </c>
    </row>
    <row r="251" spans="1:50" s="200" customFormat="1" ht="66.75" customHeight="1">
      <c r="A251" s="188">
        <v>318</v>
      </c>
      <c r="B251" s="189" t="s">
        <v>933</v>
      </c>
      <c r="C251" s="188">
        <v>1</v>
      </c>
      <c r="D251" s="189" t="s">
        <v>148</v>
      </c>
      <c r="E251" s="188">
        <v>19</v>
      </c>
      <c r="F251" s="189" t="s">
        <v>756</v>
      </c>
      <c r="G251" s="188">
        <v>1906</v>
      </c>
      <c r="H251" s="189" t="s">
        <v>1074</v>
      </c>
      <c r="I251" s="188">
        <v>1906</v>
      </c>
      <c r="J251" s="189" t="s">
        <v>1075</v>
      </c>
      <c r="K251" s="189" t="s">
        <v>1094</v>
      </c>
      <c r="L251" s="188">
        <v>1906029</v>
      </c>
      <c r="M251" s="191" t="s">
        <v>1095</v>
      </c>
      <c r="N251" s="188">
        <v>1906029</v>
      </c>
      <c r="O251" s="189" t="s">
        <v>1095</v>
      </c>
      <c r="P251" s="194">
        <v>190602900</v>
      </c>
      <c r="Q251" s="191" t="s">
        <v>1096</v>
      </c>
      <c r="R251" s="194">
        <v>190602900</v>
      </c>
      <c r="S251" s="191" t="s">
        <v>1096</v>
      </c>
      <c r="T251" s="194" t="s">
        <v>69</v>
      </c>
      <c r="U251" s="194">
        <v>40</v>
      </c>
      <c r="V251" s="194"/>
      <c r="W251" s="194">
        <v>40</v>
      </c>
      <c r="X251" s="194">
        <v>14</v>
      </c>
      <c r="Y251" s="195">
        <v>2020003630138</v>
      </c>
      <c r="Z251" s="196" t="s">
        <v>1097</v>
      </c>
      <c r="AA251" s="189" t="s">
        <v>1098</v>
      </c>
      <c r="AB251" s="180"/>
      <c r="AC251" s="180"/>
      <c r="AD251" s="180"/>
      <c r="AE251" s="197"/>
      <c r="AF251" s="180"/>
      <c r="AG251" s="180"/>
      <c r="AH251" s="184">
        <v>150390000</v>
      </c>
      <c r="AI251" s="180"/>
      <c r="AJ251" s="180"/>
      <c r="AK251" s="180"/>
      <c r="AL251" s="187">
        <f t="shared" si="11"/>
        <v>150390000</v>
      </c>
      <c r="AM251" s="198" t="s">
        <v>14</v>
      </c>
    </row>
    <row r="252" spans="1:50" s="200" customFormat="1" ht="66.75" customHeight="1">
      <c r="A252" s="188">
        <v>318</v>
      </c>
      <c r="B252" s="189" t="s">
        <v>933</v>
      </c>
      <c r="C252" s="188">
        <v>1</v>
      </c>
      <c r="D252" s="189" t="s">
        <v>148</v>
      </c>
      <c r="E252" s="188">
        <v>19</v>
      </c>
      <c r="F252" s="189" t="s">
        <v>756</v>
      </c>
      <c r="G252" s="188">
        <v>1906</v>
      </c>
      <c r="H252" s="189" t="s">
        <v>1074</v>
      </c>
      <c r="I252" s="188">
        <v>1906</v>
      </c>
      <c r="J252" s="189" t="s">
        <v>1075</v>
      </c>
      <c r="K252" s="189" t="s">
        <v>1099</v>
      </c>
      <c r="L252" s="188">
        <v>1906005</v>
      </c>
      <c r="M252" s="191" t="s">
        <v>1100</v>
      </c>
      <c r="N252" s="188">
        <v>1906005</v>
      </c>
      <c r="O252" s="189" t="s">
        <v>1100</v>
      </c>
      <c r="P252" s="194">
        <v>190600500</v>
      </c>
      <c r="Q252" s="191" t="s">
        <v>1100</v>
      </c>
      <c r="R252" s="194">
        <v>190600500</v>
      </c>
      <c r="S252" s="191" t="s">
        <v>1100</v>
      </c>
      <c r="T252" s="194" t="s">
        <v>157</v>
      </c>
      <c r="U252" s="194">
        <v>3</v>
      </c>
      <c r="V252" s="194">
        <v>5</v>
      </c>
      <c r="W252" s="194">
        <f>U252+V252</f>
        <v>8</v>
      </c>
      <c r="X252" s="194">
        <v>0</v>
      </c>
      <c r="Y252" s="195">
        <v>2020003630138</v>
      </c>
      <c r="Z252" s="196" t="s">
        <v>1097</v>
      </c>
      <c r="AA252" s="189" t="s">
        <v>1098</v>
      </c>
      <c r="AB252" s="180"/>
      <c r="AC252" s="180"/>
      <c r="AD252" s="180"/>
      <c r="AE252" s="184">
        <v>260000000</v>
      </c>
      <c r="AF252" s="180"/>
      <c r="AG252" s="180"/>
      <c r="AH252" s="184">
        <v>40000000</v>
      </c>
      <c r="AI252" s="180"/>
      <c r="AJ252" s="180"/>
      <c r="AK252" s="180"/>
      <c r="AL252" s="187">
        <f t="shared" si="11"/>
        <v>300000000</v>
      </c>
      <c r="AM252" s="198" t="s">
        <v>14</v>
      </c>
    </row>
    <row r="253" spans="1:50" s="200" customFormat="1" ht="66.75" customHeight="1">
      <c r="A253" s="188">
        <v>318</v>
      </c>
      <c r="B253" s="189" t="s">
        <v>933</v>
      </c>
      <c r="C253" s="188">
        <v>1</v>
      </c>
      <c r="D253" s="189" t="s">
        <v>148</v>
      </c>
      <c r="E253" s="188">
        <v>19</v>
      </c>
      <c r="F253" s="189" t="s">
        <v>756</v>
      </c>
      <c r="G253" s="188">
        <v>1906</v>
      </c>
      <c r="H253" s="189" t="s">
        <v>1074</v>
      </c>
      <c r="I253" s="188">
        <v>1906</v>
      </c>
      <c r="J253" s="189" t="s">
        <v>1075</v>
      </c>
      <c r="K253" s="189" t="s">
        <v>943</v>
      </c>
      <c r="L253" s="188">
        <v>1906022</v>
      </c>
      <c r="M253" s="191" t="s">
        <v>1101</v>
      </c>
      <c r="N253" s="188">
        <v>1906022</v>
      </c>
      <c r="O253" s="189" t="s">
        <v>1101</v>
      </c>
      <c r="P253" s="194">
        <v>190602200</v>
      </c>
      <c r="Q253" s="191" t="s">
        <v>1102</v>
      </c>
      <c r="R253" s="194">
        <v>190602200</v>
      </c>
      <c r="S253" s="191" t="s">
        <v>1102</v>
      </c>
      <c r="T253" s="194" t="s">
        <v>157</v>
      </c>
      <c r="U253" s="194" t="s">
        <v>257</v>
      </c>
      <c r="V253" s="194">
        <v>4</v>
      </c>
      <c r="W253" s="194">
        <f>V253</f>
        <v>4</v>
      </c>
      <c r="X253" s="194">
        <v>4</v>
      </c>
      <c r="Y253" s="195">
        <v>2020003630138</v>
      </c>
      <c r="Z253" s="196" t="s">
        <v>1097</v>
      </c>
      <c r="AA253" s="189" t="s">
        <v>1098</v>
      </c>
      <c r="AB253" s="180"/>
      <c r="AC253" s="180"/>
      <c r="AD253" s="180"/>
      <c r="AE253" s="184">
        <v>240000000</v>
      </c>
      <c r="AF253" s="180"/>
      <c r="AG253" s="180"/>
      <c r="AH253" s="184">
        <f>20000000+217000000+112000000-112000000</f>
        <v>237000000</v>
      </c>
      <c r="AI253" s="180"/>
      <c r="AJ253" s="180"/>
      <c r="AK253" s="180"/>
      <c r="AL253" s="187">
        <f t="shared" si="11"/>
        <v>477000000</v>
      </c>
      <c r="AM253" s="198" t="s">
        <v>14</v>
      </c>
    </row>
    <row r="254" spans="1:50" s="200" customFormat="1" ht="66.75" customHeight="1">
      <c r="A254" s="188">
        <v>318</v>
      </c>
      <c r="B254" s="189" t="s">
        <v>933</v>
      </c>
      <c r="C254" s="188">
        <v>1</v>
      </c>
      <c r="D254" s="189" t="s">
        <v>148</v>
      </c>
      <c r="E254" s="188">
        <v>19</v>
      </c>
      <c r="F254" s="189" t="s">
        <v>756</v>
      </c>
      <c r="G254" s="188">
        <v>1906</v>
      </c>
      <c r="H254" s="189" t="s">
        <v>1074</v>
      </c>
      <c r="I254" s="188">
        <v>1906</v>
      </c>
      <c r="J254" s="189" t="s">
        <v>1075</v>
      </c>
      <c r="K254" s="189" t="s">
        <v>1076</v>
      </c>
      <c r="L254" s="188" t="s">
        <v>61</v>
      </c>
      <c r="M254" s="191" t="s">
        <v>1083</v>
      </c>
      <c r="N254" s="188">
        <v>1906023</v>
      </c>
      <c r="O254" s="189" t="s">
        <v>1103</v>
      </c>
      <c r="P254" s="188" t="s">
        <v>61</v>
      </c>
      <c r="Q254" s="191" t="s">
        <v>1104</v>
      </c>
      <c r="R254" s="194">
        <v>190602301</v>
      </c>
      <c r="S254" s="191" t="s">
        <v>1085</v>
      </c>
      <c r="T254" s="194" t="s">
        <v>69</v>
      </c>
      <c r="U254" s="194">
        <v>40</v>
      </c>
      <c r="V254" s="194"/>
      <c r="W254" s="194">
        <v>40</v>
      </c>
      <c r="X254" s="194">
        <v>0</v>
      </c>
      <c r="Y254" s="195">
        <v>2020003630138</v>
      </c>
      <c r="Z254" s="196" t="s">
        <v>1097</v>
      </c>
      <c r="AA254" s="189" t="s">
        <v>1098</v>
      </c>
      <c r="AB254" s="180"/>
      <c r="AC254" s="180"/>
      <c r="AD254" s="180"/>
      <c r="AE254" s="197"/>
      <c r="AF254" s="180"/>
      <c r="AG254" s="180"/>
      <c r="AH254" s="184">
        <v>20000000</v>
      </c>
      <c r="AI254" s="180"/>
      <c r="AJ254" s="180"/>
      <c r="AK254" s="187">
        <v>670949964</v>
      </c>
      <c r="AL254" s="187">
        <f t="shared" si="11"/>
        <v>690949964</v>
      </c>
      <c r="AM254" s="198" t="s">
        <v>14</v>
      </c>
    </row>
    <row r="255" spans="1:50" s="200" customFormat="1" ht="66.75" customHeight="1">
      <c r="A255" s="188">
        <v>318</v>
      </c>
      <c r="B255" s="189" t="s">
        <v>933</v>
      </c>
      <c r="C255" s="188">
        <v>1</v>
      </c>
      <c r="D255" s="189" t="s">
        <v>148</v>
      </c>
      <c r="E255" s="188">
        <v>19</v>
      </c>
      <c r="F255" s="189" t="s">
        <v>756</v>
      </c>
      <c r="G255" s="188">
        <v>1903</v>
      </c>
      <c r="H255" s="189" t="s">
        <v>934</v>
      </c>
      <c r="I255" s="188">
        <v>1903</v>
      </c>
      <c r="J255" s="189" t="s">
        <v>935</v>
      </c>
      <c r="K255" s="189" t="s">
        <v>1002</v>
      </c>
      <c r="L255" s="188">
        <v>1903015</v>
      </c>
      <c r="M255" s="191" t="s">
        <v>1105</v>
      </c>
      <c r="N255" s="188">
        <v>1903015</v>
      </c>
      <c r="O255" s="189" t="s">
        <v>1105</v>
      </c>
      <c r="P255" s="194">
        <v>190301500</v>
      </c>
      <c r="Q255" s="190" t="s">
        <v>1106</v>
      </c>
      <c r="R255" s="194">
        <v>190301500</v>
      </c>
      <c r="S255" s="191" t="s">
        <v>1106</v>
      </c>
      <c r="T255" s="194" t="s">
        <v>69</v>
      </c>
      <c r="U255" s="194">
        <v>12</v>
      </c>
      <c r="V255" s="194"/>
      <c r="W255" s="194">
        <v>12</v>
      </c>
      <c r="X255" s="194">
        <v>12</v>
      </c>
      <c r="Y255" s="195">
        <v>2020003630117</v>
      </c>
      <c r="Z255" s="189" t="s">
        <v>968</v>
      </c>
      <c r="AA255" s="189" t="s">
        <v>969</v>
      </c>
      <c r="AB255" s="180"/>
      <c r="AC255" s="180"/>
      <c r="AD255" s="180">
        <v>122500000</v>
      </c>
      <c r="AE255" s="180">
        <v>38260000</v>
      </c>
      <c r="AF255" s="180"/>
      <c r="AG255" s="180"/>
      <c r="AH255" s="184">
        <v>75000000</v>
      </c>
      <c r="AI255" s="180"/>
      <c r="AJ255" s="180"/>
      <c r="AK255" s="180"/>
      <c r="AL255" s="187">
        <f t="shared" si="11"/>
        <v>235760000</v>
      </c>
      <c r="AM255" s="198" t="s">
        <v>14</v>
      </c>
    </row>
    <row r="256" spans="1:50" s="200" customFormat="1" ht="66.75" customHeight="1">
      <c r="A256" s="188">
        <v>318</v>
      </c>
      <c r="B256" s="189" t="s">
        <v>933</v>
      </c>
      <c r="C256" s="188">
        <v>1</v>
      </c>
      <c r="D256" s="189" t="s">
        <v>148</v>
      </c>
      <c r="E256" s="188">
        <v>19</v>
      </c>
      <c r="F256" s="189" t="s">
        <v>756</v>
      </c>
      <c r="G256" s="188">
        <v>1905</v>
      </c>
      <c r="H256" s="189" t="s">
        <v>757</v>
      </c>
      <c r="I256" s="188">
        <v>1905</v>
      </c>
      <c r="J256" s="189" t="s">
        <v>1005</v>
      </c>
      <c r="K256" s="189" t="s">
        <v>1002</v>
      </c>
      <c r="L256" s="188" t="s">
        <v>61</v>
      </c>
      <c r="M256" s="191" t="s">
        <v>1107</v>
      </c>
      <c r="N256" s="188">
        <v>1905015</v>
      </c>
      <c r="O256" s="189" t="s">
        <v>254</v>
      </c>
      <c r="P256" s="188" t="s">
        <v>61</v>
      </c>
      <c r="Q256" s="191" t="s">
        <v>1108</v>
      </c>
      <c r="R256" s="188" t="s">
        <v>1109</v>
      </c>
      <c r="S256" s="191" t="s">
        <v>1110</v>
      </c>
      <c r="T256" s="194" t="s">
        <v>69</v>
      </c>
      <c r="U256" s="194">
        <v>1</v>
      </c>
      <c r="V256" s="194"/>
      <c r="W256" s="194">
        <v>1</v>
      </c>
      <c r="X256" s="194">
        <v>0.55000000000000004</v>
      </c>
      <c r="Y256" s="195">
        <v>2020003630125</v>
      </c>
      <c r="Z256" s="189" t="s">
        <v>1043</v>
      </c>
      <c r="AA256" s="189" t="s">
        <v>1044</v>
      </c>
      <c r="AB256" s="180"/>
      <c r="AC256" s="180"/>
      <c r="AD256" s="184">
        <v>25000000</v>
      </c>
      <c r="AE256" s="184">
        <v>30300000</v>
      </c>
      <c r="AF256" s="180"/>
      <c r="AG256" s="180"/>
      <c r="AH256" s="184">
        <v>75000000</v>
      </c>
      <c r="AI256" s="180"/>
      <c r="AJ256" s="180"/>
      <c r="AK256" s="180"/>
      <c r="AL256" s="187">
        <f t="shared" si="11"/>
        <v>130300000</v>
      </c>
      <c r="AM256" s="198" t="s">
        <v>14</v>
      </c>
    </row>
    <row r="257" spans="1:39" s="200" customFormat="1" ht="89.25" customHeight="1">
      <c r="A257" s="188">
        <v>318</v>
      </c>
      <c r="B257" s="189" t="s">
        <v>933</v>
      </c>
      <c r="C257" s="188">
        <v>1</v>
      </c>
      <c r="D257" s="189" t="s">
        <v>148</v>
      </c>
      <c r="E257" s="188">
        <v>19</v>
      </c>
      <c r="F257" s="189" t="s">
        <v>756</v>
      </c>
      <c r="G257" s="188">
        <v>1905</v>
      </c>
      <c r="H257" s="189" t="s">
        <v>757</v>
      </c>
      <c r="I257" s="188">
        <v>1905</v>
      </c>
      <c r="J257" s="189" t="s">
        <v>1005</v>
      </c>
      <c r="K257" s="189" t="s">
        <v>1111</v>
      </c>
      <c r="L257" s="188">
        <v>1905023</v>
      </c>
      <c r="M257" s="191" t="s">
        <v>1112</v>
      </c>
      <c r="N257" s="188">
        <v>1905023</v>
      </c>
      <c r="O257" s="189" t="s">
        <v>1112</v>
      </c>
      <c r="P257" s="194">
        <v>190502300</v>
      </c>
      <c r="Q257" s="191" t="s">
        <v>1113</v>
      </c>
      <c r="R257" s="194">
        <v>190502300</v>
      </c>
      <c r="S257" s="191" t="s">
        <v>1113</v>
      </c>
      <c r="T257" s="194" t="s">
        <v>69</v>
      </c>
      <c r="U257" s="194">
        <v>12</v>
      </c>
      <c r="V257" s="194"/>
      <c r="W257" s="194">
        <v>12</v>
      </c>
      <c r="X257" s="194">
        <v>12</v>
      </c>
      <c r="Y257" s="195">
        <v>2020003630126</v>
      </c>
      <c r="Z257" s="190" t="s">
        <v>1045</v>
      </c>
      <c r="AA257" s="189" t="s">
        <v>1046</v>
      </c>
      <c r="AB257" s="180"/>
      <c r="AC257" s="180"/>
      <c r="AD257" s="184">
        <v>55000000</v>
      </c>
      <c r="AE257" s="184">
        <v>29896123</v>
      </c>
      <c r="AF257" s="180"/>
      <c r="AG257" s="180"/>
      <c r="AH257" s="184">
        <f>45000000+45000000</f>
        <v>90000000</v>
      </c>
      <c r="AI257" s="180"/>
      <c r="AJ257" s="180"/>
      <c r="AK257" s="180"/>
      <c r="AL257" s="187">
        <f t="shared" si="11"/>
        <v>174896123</v>
      </c>
      <c r="AM257" s="198" t="s">
        <v>14</v>
      </c>
    </row>
    <row r="258" spans="1:39" s="200" customFormat="1" ht="120" customHeight="1">
      <c r="A258" s="188">
        <v>318</v>
      </c>
      <c r="B258" s="189" t="s">
        <v>933</v>
      </c>
      <c r="C258" s="188">
        <v>1</v>
      </c>
      <c r="D258" s="189" t="s">
        <v>148</v>
      </c>
      <c r="E258" s="188">
        <v>19</v>
      </c>
      <c r="F258" s="189" t="s">
        <v>756</v>
      </c>
      <c r="G258" s="188">
        <v>1905</v>
      </c>
      <c r="H258" s="189" t="s">
        <v>757</v>
      </c>
      <c r="I258" s="188">
        <v>1905</v>
      </c>
      <c r="J258" s="189" t="s">
        <v>1005</v>
      </c>
      <c r="K258" s="189" t="s">
        <v>1051</v>
      </c>
      <c r="L258" s="188">
        <v>1905026</v>
      </c>
      <c r="M258" s="191" t="s">
        <v>1052</v>
      </c>
      <c r="N258" s="188">
        <v>1905026</v>
      </c>
      <c r="O258" s="189" t="s">
        <v>1052</v>
      </c>
      <c r="P258" s="194">
        <v>190502600</v>
      </c>
      <c r="Q258" s="191" t="s">
        <v>1053</v>
      </c>
      <c r="R258" s="194">
        <v>190502600</v>
      </c>
      <c r="S258" s="191" t="s">
        <v>1053</v>
      </c>
      <c r="T258" s="192" t="s">
        <v>69</v>
      </c>
      <c r="U258" s="188">
        <v>12</v>
      </c>
      <c r="V258" s="188"/>
      <c r="W258" s="194">
        <v>12</v>
      </c>
      <c r="X258" s="194">
        <v>6</v>
      </c>
      <c r="Y258" s="195">
        <v>2020003630128</v>
      </c>
      <c r="Z258" s="189" t="s">
        <v>1058</v>
      </c>
      <c r="AA258" s="189" t="s">
        <v>1059</v>
      </c>
      <c r="AB258" s="180"/>
      <c r="AC258" s="180"/>
      <c r="AD258" s="180">
        <v>15000000</v>
      </c>
      <c r="AE258" s="180"/>
      <c r="AF258" s="256"/>
      <c r="AG258" s="180"/>
      <c r="AH258" s="180">
        <v>230000000</v>
      </c>
      <c r="AI258" s="180"/>
      <c r="AJ258" s="180"/>
      <c r="AK258" s="180">
        <f>241380734+7738752</f>
        <v>249119486</v>
      </c>
      <c r="AL258" s="187">
        <f t="shared" si="11"/>
        <v>494119486</v>
      </c>
      <c r="AM258" s="198" t="s">
        <v>14</v>
      </c>
    </row>
    <row r="259" spans="1:39" s="200" customFormat="1" ht="116.25" customHeight="1">
      <c r="A259" s="188">
        <v>318</v>
      </c>
      <c r="B259" s="189" t="s">
        <v>933</v>
      </c>
      <c r="C259" s="188">
        <v>1</v>
      </c>
      <c r="D259" s="189" t="s">
        <v>148</v>
      </c>
      <c r="E259" s="188">
        <v>19</v>
      </c>
      <c r="F259" s="189" t="s">
        <v>756</v>
      </c>
      <c r="G259" s="188">
        <v>1905</v>
      </c>
      <c r="H259" s="189" t="s">
        <v>757</v>
      </c>
      <c r="I259" s="188">
        <v>1905</v>
      </c>
      <c r="J259" s="189" t="s">
        <v>1005</v>
      </c>
      <c r="K259" s="189" t="s">
        <v>1051</v>
      </c>
      <c r="L259" s="194">
        <v>1905026</v>
      </c>
      <c r="M259" s="191" t="s">
        <v>1114</v>
      </c>
      <c r="N259" s="188">
        <v>1905026</v>
      </c>
      <c r="O259" s="189" t="s">
        <v>1114</v>
      </c>
      <c r="P259" s="194">
        <v>190502600</v>
      </c>
      <c r="Q259" s="191" t="s">
        <v>1053</v>
      </c>
      <c r="R259" s="194">
        <v>190502600</v>
      </c>
      <c r="S259" s="191" t="s">
        <v>1053</v>
      </c>
      <c r="T259" s="192" t="s">
        <v>69</v>
      </c>
      <c r="U259" s="188">
        <v>12</v>
      </c>
      <c r="V259" s="188"/>
      <c r="W259" s="194">
        <v>12</v>
      </c>
      <c r="X259" s="194">
        <v>12</v>
      </c>
      <c r="Y259" s="195">
        <v>2020003630129</v>
      </c>
      <c r="Z259" s="189" t="s">
        <v>1060</v>
      </c>
      <c r="AA259" s="189" t="s">
        <v>1061</v>
      </c>
      <c r="AB259" s="180"/>
      <c r="AC259" s="180"/>
      <c r="AD259" s="180"/>
      <c r="AE259" s="180"/>
      <c r="AF259" s="180"/>
      <c r="AG259" s="180"/>
      <c r="AH259" s="184">
        <v>40000000</v>
      </c>
      <c r="AI259" s="180"/>
      <c r="AJ259" s="180"/>
      <c r="AK259" s="180">
        <f>88356873+219107268-37030406</f>
        <v>270433735</v>
      </c>
      <c r="AL259" s="187">
        <f t="shared" si="11"/>
        <v>310433735</v>
      </c>
      <c r="AM259" s="198" t="s">
        <v>14</v>
      </c>
    </row>
    <row r="260" spans="1:39" s="200" customFormat="1" ht="114" customHeight="1">
      <c r="A260" s="188">
        <v>318</v>
      </c>
      <c r="B260" s="189" t="s">
        <v>933</v>
      </c>
      <c r="C260" s="188">
        <v>1</v>
      </c>
      <c r="D260" s="189" t="s">
        <v>148</v>
      </c>
      <c r="E260" s="188">
        <v>19</v>
      </c>
      <c r="F260" s="189" t="s">
        <v>756</v>
      </c>
      <c r="G260" s="188">
        <v>1905</v>
      </c>
      <c r="H260" s="189" t="s">
        <v>757</v>
      </c>
      <c r="I260" s="188">
        <v>1905</v>
      </c>
      <c r="J260" s="189" t="s">
        <v>1005</v>
      </c>
      <c r="K260" s="189" t="s">
        <v>1051</v>
      </c>
      <c r="L260" s="188">
        <v>1905026</v>
      </c>
      <c r="M260" s="191" t="s">
        <v>1052</v>
      </c>
      <c r="N260" s="188">
        <v>1905026</v>
      </c>
      <c r="O260" s="189" t="s">
        <v>1052</v>
      </c>
      <c r="P260" s="194">
        <v>190502600</v>
      </c>
      <c r="Q260" s="191" t="s">
        <v>1053</v>
      </c>
      <c r="R260" s="194">
        <v>190502600</v>
      </c>
      <c r="S260" s="191" t="s">
        <v>1053</v>
      </c>
      <c r="T260" s="192" t="s">
        <v>69</v>
      </c>
      <c r="U260" s="188">
        <v>12</v>
      </c>
      <c r="V260" s="188"/>
      <c r="W260" s="194">
        <v>12</v>
      </c>
      <c r="X260" s="194">
        <v>12</v>
      </c>
      <c r="Y260" s="195">
        <v>2020003630130</v>
      </c>
      <c r="Z260" s="196" t="s">
        <v>1115</v>
      </c>
      <c r="AA260" s="189" t="s">
        <v>1116</v>
      </c>
      <c r="AB260" s="180"/>
      <c r="AC260" s="180"/>
      <c r="AD260" s="180"/>
      <c r="AE260" s="187"/>
      <c r="AF260" s="180"/>
      <c r="AG260" s="180"/>
      <c r="AH260" s="184">
        <v>50000000</v>
      </c>
      <c r="AI260" s="180"/>
      <c r="AJ260" s="180"/>
      <c r="AK260" s="180"/>
      <c r="AL260" s="187">
        <f t="shared" si="11"/>
        <v>50000000</v>
      </c>
      <c r="AM260" s="198" t="s">
        <v>14</v>
      </c>
    </row>
    <row r="261" spans="1:39" s="200" customFormat="1" ht="66.75" customHeight="1">
      <c r="A261" s="188">
        <v>318</v>
      </c>
      <c r="B261" s="189" t="s">
        <v>933</v>
      </c>
      <c r="C261" s="188">
        <v>1</v>
      </c>
      <c r="D261" s="189" t="s">
        <v>148</v>
      </c>
      <c r="E261" s="188">
        <v>19</v>
      </c>
      <c r="F261" s="189" t="s">
        <v>756</v>
      </c>
      <c r="G261" s="188">
        <v>1905</v>
      </c>
      <c r="H261" s="189" t="s">
        <v>757</v>
      </c>
      <c r="I261" s="188">
        <v>1905</v>
      </c>
      <c r="J261" s="189" t="s">
        <v>1005</v>
      </c>
      <c r="K261" s="189" t="s">
        <v>958</v>
      </c>
      <c r="L261" s="188">
        <v>1905029</v>
      </c>
      <c r="M261" s="191" t="s">
        <v>1117</v>
      </c>
      <c r="N261" s="188">
        <v>1905030</v>
      </c>
      <c r="O261" s="189" t="s">
        <v>1118</v>
      </c>
      <c r="P261" s="194">
        <v>190502900</v>
      </c>
      <c r="Q261" s="191" t="s">
        <v>1119</v>
      </c>
      <c r="R261" s="194">
        <v>190503000</v>
      </c>
      <c r="S261" s="191" t="s">
        <v>1119</v>
      </c>
      <c r="T261" s="194" t="s">
        <v>69</v>
      </c>
      <c r="U261" s="194">
        <v>60</v>
      </c>
      <c r="V261" s="194"/>
      <c r="W261" s="194">
        <v>60</v>
      </c>
      <c r="X261" s="194">
        <v>60</v>
      </c>
      <c r="Y261" s="195">
        <v>2020003630131</v>
      </c>
      <c r="Z261" s="196" t="s">
        <v>1120</v>
      </c>
      <c r="AA261" s="189" t="s">
        <v>1121</v>
      </c>
      <c r="AB261" s="180"/>
      <c r="AC261" s="180"/>
      <c r="AD261" s="180">
        <v>12500000</v>
      </c>
      <c r="AE261" s="180">
        <v>7000000</v>
      </c>
      <c r="AF261" s="180"/>
      <c r="AG261" s="180"/>
      <c r="AH261" s="184">
        <v>25000000</v>
      </c>
      <c r="AI261" s="180"/>
      <c r="AJ261" s="180"/>
      <c r="AK261" s="180"/>
      <c r="AL261" s="187">
        <f t="shared" si="11"/>
        <v>44500000</v>
      </c>
      <c r="AM261" s="198" t="s">
        <v>14</v>
      </c>
    </row>
    <row r="262" spans="1:39" s="200" customFormat="1" ht="66.75" customHeight="1">
      <c r="A262" s="188">
        <v>318</v>
      </c>
      <c r="B262" s="189" t="s">
        <v>933</v>
      </c>
      <c r="C262" s="188">
        <v>1</v>
      </c>
      <c r="D262" s="189" t="s">
        <v>148</v>
      </c>
      <c r="E262" s="188">
        <v>19</v>
      </c>
      <c r="F262" s="189" t="s">
        <v>756</v>
      </c>
      <c r="G262" s="188">
        <v>1905</v>
      </c>
      <c r="H262" s="189" t="s">
        <v>757</v>
      </c>
      <c r="I262" s="188">
        <v>1905</v>
      </c>
      <c r="J262" s="189" t="s">
        <v>1005</v>
      </c>
      <c r="K262" s="189" t="s">
        <v>991</v>
      </c>
      <c r="L262" s="188">
        <v>1905025</v>
      </c>
      <c r="M262" s="191" t="s">
        <v>1122</v>
      </c>
      <c r="N262" s="188">
        <v>1905025</v>
      </c>
      <c r="O262" s="189" t="s">
        <v>1122</v>
      </c>
      <c r="P262" s="194">
        <v>190502500</v>
      </c>
      <c r="Q262" s="191" t="s">
        <v>1123</v>
      </c>
      <c r="R262" s="194">
        <v>190502500</v>
      </c>
      <c r="S262" s="191" t="s">
        <v>1123</v>
      </c>
      <c r="T262" s="194" t="s">
        <v>69</v>
      </c>
      <c r="U262" s="194">
        <v>12</v>
      </c>
      <c r="V262" s="194"/>
      <c r="W262" s="194">
        <f t="shared" ref="W262:W275" si="12">U262+V262</f>
        <v>12</v>
      </c>
      <c r="X262" s="194">
        <v>12</v>
      </c>
      <c r="Y262" s="195">
        <v>2020003630132</v>
      </c>
      <c r="Z262" s="196" t="s">
        <v>1124</v>
      </c>
      <c r="AA262" s="189" t="s">
        <v>1125</v>
      </c>
      <c r="AB262" s="180"/>
      <c r="AC262" s="180"/>
      <c r="AD262" s="180">
        <f>90000000/2</f>
        <v>45000000</v>
      </c>
      <c r="AE262" s="180">
        <v>31500000</v>
      </c>
      <c r="AF262" s="180"/>
      <c r="AG262" s="180"/>
      <c r="AH262" s="184">
        <v>40000000</v>
      </c>
      <c r="AI262" s="180"/>
      <c r="AJ262" s="180"/>
      <c r="AK262" s="180"/>
      <c r="AL262" s="187">
        <f t="shared" si="11"/>
        <v>116500000</v>
      </c>
      <c r="AM262" s="198" t="s">
        <v>14</v>
      </c>
    </row>
    <row r="263" spans="1:39" s="200" customFormat="1" ht="66.75" customHeight="1">
      <c r="A263" s="188">
        <v>324</v>
      </c>
      <c r="B263" s="189" t="s">
        <v>1126</v>
      </c>
      <c r="C263" s="188">
        <v>1</v>
      </c>
      <c r="D263" s="189" t="s">
        <v>148</v>
      </c>
      <c r="E263" s="188">
        <v>23</v>
      </c>
      <c r="F263" s="189" t="s">
        <v>1127</v>
      </c>
      <c r="G263" s="188">
        <v>2301</v>
      </c>
      <c r="H263" s="189" t="s">
        <v>1128</v>
      </c>
      <c r="I263" s="188">
        <v>2301</v>
      </c>
      <c r="J263" s="189" t="s">
        <v>1129</v>
      </c>
      <c r="K263" s="189" t="s">
        <v>1130</v>
      </c>
      <c r="L263" s="188">
        <v>2301024</v>
      </c>
      <c r="M263" s="191" t="s">
        <v>1131</v>
      </c>
      <c r="N263" s="188">
        <v>2301024</v>
      </c>
      <c r="O263" s="189" t="s">
        <v>1131</v>
      </c>
      <c r="P263" s="194">
        <v>230102401</v>
      </c>
      <c r="Q263" s="191" t="s">
        <v>1132</v>
      </c>
      <c r="R263" s="194">
        <v>230102401</v>
      </c>
      <c r="S263" s="191" t="s">
        <v>1132</v>
      </c>
      <c r="T263" s="192" t="s">
        <v>69</v>
      </c>
      <c r="U263" s="194">
        <v>15</v>
      </c>
      <c r="V263" s="194"/>
      <c r="W263" s="194">
        <f t="shared" si="12"/>
        <v>15</v>
      </c>
      <c r="X263" s="194">
        <v>15</v>
      </c>
      <c r="Y263" s="195">
        <v>2020003630038</v>
      </c>
      <c r="Z263" s="196" t="s">
        <v>1133</v>
      </c>
      <c r="AA263" s="189" t="s">
        <v>1134</v>
      </c>
      <c r="AB263" s="180"/>
      <c r="AC263" s="187"/>
      <c r="AD263" s="187"/>
      <c r="AE263" s="187"/>
      <c r="AF263" s="187"/>
      <c r="AG263" s="187"/>
      <c r="AH263" s="187">
        <f>18000000+6000000+36000000+21000000+22000000+14613333</f>
        <v>117613333</v>
      </c>
      <c r="AI263" s="187"/>
      <c r="AJ263" s="187"/>
      <c r="AK263" s="187"/>
      <c r="AL263" s="187">
        <f t="shared" ref="AL263:AL326" si="13">AB263+AC263+AD263+AE263+AF263+AG263+AH263+AI263+AK263+AJ263</f>
        <v>117613333</v>
      </c>
      <c r="AM263" s="198" t="s">
        <v>13</v>
      </c>
    </row>
    <row r="264" spans="1:39" s="200" customFormat="1" ht="66.75" customHeight="1">
      <c r="A264" s="188">
        <v>324</v>
      </c>
      <c r="B264" s="189" t="s">
        <v>1126</v>
      </c>
      <c r="C264" s="188">
        <v>1</v>
      </c>
      <c r="D264" s="189" t="s">
        <v>148</v>
      </c>
      <c r="E264" s="188">
        <v>23</v>
      </c>
      <c r="F264" s="189" t="s">
        <v>1127</v>
      </c>
      <c r="G264" s="188">
        <v>2301</v>
      </c>
      <c r="H264" s="189" t="s">
        <v>1128</v>
      </c>
      <c r="I264" s="188">
        <v>2301</v>
      </c>
      <c r="J264" s="189" t="s">
        <v>1129</v>
      </c>
      <c r="K264" s="189" t="s">
        <v>1130</v>
      </c>
      <c r="L264" s="188">
        <v>2301024</v>
      </c>
      <c r="M264" s="191" t="s">
        <v>1131</v>
      </c>
      <c r="N264" s="188">
        <v>2301024</v>
      </c>
      <c r="O264" s="189" t="s">
        <v>1131</v>
      </c>
      <c r="P264" s="194">
        <v>230102404</v>
      </c>
      <c r="Q264" s="191" t="s">
        <v>1135</v>
      </c>
      <c r="R264" s="194">
        <v>230102404</v>
      </c>
      <c r="S264" s="191" t="s">
        <v>1135</v>
      </c>
      <c r="T264" s="192" t="s">
        <v>157</v>
      </c>
      <c r="U264" s="194">
        <v>4</v>
      </c>
      <c r="V264" s="194"/>
      <c r="W264" s="194">
        <f t="shared" si="12"/>
        <v>4</v>
      </c>
      <c r="X264" s="194">
        <v>3</v>
      </c>
      <c r="Y264" s="195">
        <v>2020003630038</v>
      </c>
      <c r="Z264" s="196" t="s">
        <v>1133</v>
      </c>
      <c r="AA264" s="189" t="s">
        <v>1134</v>
      </c>
      <c r="AB264" s="180"/>
      <c r="AC264" s="187"/>
      <c r="AD264" s="187"/>
      <c r="AE264" s="187"/>
      <c r="AF264" s="187"/>
      <c r="AG264" s="187"/>
      <c r="AH264" s="187">
        <f>100000000+39000000+26000000-26000000</f>
        <v>139000000</v>
      </c>
      <c r="AI264" s="187"/>
      <c r="AJ264" s="187"/>
      <c r="AK264" s="187"/>
      <c r="AL264" s="187">
        <f t="shared" si="13"/>
        <v>139000000</v>
      </c>
      <c r="AM264" s="198" t="s">
        <v>13</v>
      </c>
    </row>
    <row r="265" spans="1:39" s="200" customFormat="1" ht="66.75" customHeight="1">
      <c r="A265" s="188">
        <v>324</v>
      </c>
      <c r="B265" s="189" t="s">
        <v>1126</v>
      </c>
      <c r="C265" s="188">
        <v>1</v>
      </c>
      <c r="D265" s="189" t="s">
        <v>148</v>
      </c>
      <c r="E265" s="188">
        <v>23</v>
      </c>
      <c r="F265" s="189" t="s">
        <v>1127</v>
      </c>
      <c r="G265" s="188">
        <v>2301</v>
      </c>
      <c r="H265" s="189" t="s">
        <v>1128</v>
      </c>
      <c r="I265" s="188">
        <v>2301</v>
      </c>
      <c r="J265" s="189" t="s">
        <v>1129</v>
      </c>
      <c r="K265" s="189" t="s">
        <v>1130</v>
      </c>
      <c r="L265" s="194">
        <v>2301012</v>
      </c>
      <c r="M265" s="191" t="s">
        <v>1136</v>
      </c>
      <c r="N265" s="188">
        <v>2301079</v>
      </c>
      <c r="O265" s="189" t="s">
        <v>1137</v>
      </c>
      <c r="P265" s="194">
        <v>230101204</v>
      </c>
      <c r="Q265" s="191" t="s">
        <v>1138</v>
      </c>
      <c r="R265" s="194">
        <v>230107902</v>
      </c>
      <c r="S265" s="191" t="s">
        <v>1139</v>
      </c>
      <c r="T265" s="192" t="s">
        <v>157</v>
      </c>
      <c r="U265" s="194">
        <v>15</v>
      </c>
      <c r="V265" s="194"/>
      <c r="W265" s="194">
        <f t="shared" si="12"/>
        <v>15</v>
      </c>
      <c r="X265" s="194">
        <v>15</v>
      </c>
      <c r="Y265" s="195">
        <v>2020003630038</v>
      </c>
      <c r="Z265" s="196" t="s">
        <v>1133</v>
      </c>
      <c r="AA265" s="189" t="s">
        <v>1134</v>
      </c>
      <c r="AB265" s="180"/>
      <c r="AC265" s="187"/>
      <c r="AD265" s="187"/>
      <c r="AE265" s="187"/>
      <c r="AF265" s="187"/>
      <c r="AG265" s="187"/>
      <c r="AH265" s="187">
        <f>80000000-49707500+18000000+86000000-26000000-8655000</f>
        <v>99637500</v>
      </c>
      <c r="AI265" s="187"/>
      <c r="AJ265" s="187"/>
      <c r="AK265" s="187"/>
      <c r="AL265" s="187">
        <f t="shared" si="13"/>
        <v>99637500</v>
      </c>
      <c r="AM265" s="198" t="s">
        <v>13</v>
      </c>
    </row>
    <row r="266" spans="1:39" s="200" customFormat="1" ht="66.75" customHeight="1">
      <c r="A266" s="188">
        <v>324</v>
      </c>
      <c r="B266" s="189" t="s">
        <v>1126</v>
      </c>
      <c r="C266" s="188">
        <v>1</v>
      </c>
      <c r="D266" s="189" t="s">
        <v>148</v>
      </c>
      <c r="E266" s="188">
        <v>23</v>
      </c>
      <c r="F266" s="189" t="s">
        <v>1127</v>
      </c>
      <c r="G266" s="188">
        <v>2301</v>
      </c>
      <c r="H266" s="189" t="s">
        <v>1128</v>
      </c>
      <c r="I266" s="188">
        <v>2301</v>
      </c>
      <c r="J266" s="189" t="s">
        <v>1129</v>
      </c>
      <c r="K266" s="189" t="s">
        <v>1130</v>
      </c>
      <c r="L266" s="188">
        <v>2301062</v>
      </c>
      <c r="M266" s="191" t="s">
        <v>1140</v>
      </c>
      <c r="N266" s="188">
        <v>2301062</v>
      </c>
      <c r="O266" s="189" t="s">
        <v>1140</v>
      </c>
      <c r="P266" s="194">
        <v>230106201</v>
      </c>
      <c r="Q266" s="191" t="s">
        <v>1141</v>
      </c>
      <c r="R266" s="194">
        <v>230106201</v>
      </c>
      <c r="S266" s="191" t="s">
        <v>1141</v>
      </c>
      <c r="T266" s="192"/>
      <c r="U266" s="194">
        <v>7</v>
      </c>
      <c r="V266" s="194"/>
      <c r="W266" s="194">
        <f t="shared" si="12"/>
        <v>7</v>
      </c>
      <c r="X266" s="194">
        <v>5</v>
      </c>
      <c r="Y266" s="195">
        <v>2020003630038</v>
      </c>
      <c r="Z266" s="196" t="s">
        <v>1133</v>
      </c>
      <c r="AA266" s="189" t="s">
        <v>1134</v>
      </c>
      <c r="AB266" s="180"/>
      <c r="AC266" s="187"/>
      <c r="AD266" s="187"/>
      <c r="AE266" s="187"/>
      <c r="AF266" s="187"/>
      <c r="AG266" s="187"/>
      <c r="AH266" s="187">
        <f>50000000-30207500+12000000-5092500</f>
        <v>26700000</v>
      </c>
      <c r="AI266" s="187"/>
      <c r="AJ266" s="187"/>
      <c r="AK266" s="187"/>
      <c r="AL266" s="187">
        <f t="shared" si="13"/>
        <v>26700000</v>
      </c>
      <c r="AM266" s="198" t="s">
        <v>13</v>
      </c>
    </row>
    <row r="267" spans="1:39" s="200" customFormat="1" ht="66.75" customHeight="1">
      <c r="A267" s="188">
        <v>324</v>
      </c>
      <c r="B267" s="189" t="s">
        <v>1126</v>
      </c>
      <c r="C267" s="188">
        <v>1</v>
      </c>
      <c r="D267" s="189" t="s">
        <v>148</v>
      </c>
      <c r="E267" s="188">
        <v>23</v>
      </c>
      <c r="F267" s="189" t="s">
        <v>1127</v>
      </c>
      <c r="G267" s="188">
        <v>2301</v>
      </c>
      <c r="H267" s="189" t="s">
        <v>1128</v>
      </c>
      <c r="I267" s="188">
        <v>2301</v>
      </c>
      <c r="J267" s="189" t="s">
        <v>1129</v>
      </c>
      <c r="K267" s="189" t="s">
        <v>1142</v>
      </c>
      <c r="L267" s="188">
        <v>2301030</v>
      </c>
      <c r="M267" s="191" t="s">
        <v>1143</v>
      </c>
      <c r="N267" s="188">
        <v>2301030</v>
      </c>
      <c r="O267" s="189" t="s">
        <v>1143</v>
      </c>
      <c r="P267" s="194">
        <v>230103000</v>
      </c>
      <c r="Q267" s="191" t="s">
        <v>1144</v>
      </c>
      <c r="R267" s="194">
        <v>230103000</v>
      </c>
      <c r="S267" s="191" t="s">
        <v>1144</v>
      </c>
      <c r="T267" s="192" t="s">
        <v>157</v>
      </c>
      <c r="U267" s="194">
        <v>7000</v>
      </c>
      <c r="V267" s="194"/>
      <c r="W267" s="194">
        <f t="shared" si="12"/>
        <v>7000</v>
      </c>
      <c r="X267" s="194">
        <v>6317</v>
      </c>
      <c r="Y267" s="195">
        <v>2020003630139</v>
      </c>
      <c r="Z267" s="196" t="s">
        <v>1145</v>
      </c>
      <c r="AA267" s="189" t="s">
        <v>1146</v>
      </c>
      <c r="AB267" s="180"/>
      <c r="AC267" s="187"/>
      <c r="AD267" s="187"/>
      <c r="AE267" s="187"/>
      <c r="AF267" s="187"/>
      <c r="AG267" s="187"/>
      <c r="AH267" s="187">
        <f>115915000+34774500+113000000+84250000+294725000+76710836</f>
        <v>719375336</v>
      </c>
      <c r="AI267" s="187"/>
      <c r="AJ267" s="187"/>
      <c r="AK267" s="187"/>
      <c r="AL267" s="187">
        <f t="shared" si="13"/>
        <v>719375336</v>
      </c>
      <c r="AM267" s="198" t="s">
        <v>13</v>
      </c>
    </row>
    <row r="268" spans="1:39" s="200" customFormat="1" ht="66.75" customHeight="1">
      <c r="A268" s="188">
        <v>324</v>
      </c>
      <c r="B268" s="189" t="s">
        <v>1126</v>
      </c>
      <c r="C268" s="188">
        <v>1</v>
      </c>
      <c r="D268" s="189" t="s">
        <v>148</v>
      </c>
      <c r="E268" s="188">
        <v>23</v>
      </c>
      <c r="F268" s="189" t="s">
        <v>1127</v>
      </c>
      <c r="G268" s="188">
        <v>2301</v>
      </c>
      <c r="H268" s="189" t="s">
        <v>1128</v>
      </c>
      <c r="I268" s="188">
        <v>2301</v>
      </c>
      <c r="J268" s="189" t="s">
        <v>1129</v>
      </c>
      <c r="K268" s="189" t="s">
        <v>1142</v>
      </c>
      <c r="L268" s="188">
        <v>2301015</v>
      </c>
      <c r="M268" s="191" t="s">
        <v>1147</v>
      </c>
      <c r="N268" s="188">
        <v>2301015</v>
      </c>
      <c r="O268" s="189" t="s">
        <v>1147</v>
      </c>
      <c r="P268" s="194">
        <v>230101500</v>
      </c>
      <c r="Q268" s="191" t="s">
        <v>1148</v>
      </c>
      <c r="R268" s="194">
        <v>230101500</v>
      </c>
      <c r="S268" s="191" t="s">
        <v>1148</v>
      </c>
      <c r="T268" s="192" t="s">
        <v>69</v>
      </c>
      <c r="U268" s="194">
        <v>3</v>
      </c>
      <c r="V268" s="194"/>
      <c r="W268" s="194">
        <f t="shared" si="12"/>
        <v>3</v>
      </c>
      <c r="X268" s="194">
        <v>3</v>
      </c>
      <c r="Y268" s="195">
        <v>2020003630139</v>
      </c>
      <c r="Z268" s="196" t="s">
        <v>1145</v>
      </c>
      <c r="AA268" s="189" t="s">
        <v>1146</v>
      </c>
      <c r="AB268" s="180"/>
      <c r="AC268" s="187"/>
      <c r="AD268" s="187"/>
      <c r="AE268" s="187"/>
      <c r="AF268" s="187"/>
      <c r="AG268" s="187"/>
      <c r="AH268" s="187">
        <f>18000000+5400000+9400000+55400000</f>
        <v>88200000</v>
      </c>
      <c r="AI268" s="187"/>
      <c r="AJ268" s="187"/>
      <c r="AK268" s="187"/>
      <c r="AL268" s="187">
        <f t="shared" si="13"/>
        <v>88200000</v>
      </c>
      <c r="AM268" s="198" t="s">
        <v>13</v>
      </c>
    </row>
    <row r="269" spans="1:39" s="200" customFormat="1" ht="66.75" customHeight="1">
      <c r="A269" s="188">
        <v>324</v>
      </c>
      <c r="B269" s="189" t="s">
        <v>1126</v>
      </c>
      <c r="C269" s="188">
        <v>1</v>
      </c>
      <c r="D269" s="189" t="s">
        <v>148</v>
      </c>
      <c r="E269" s="188">
        <v>23</v>
      </c>
      <c r="F269" s="189" t="s">
        <v>1127</v>
      </c>
      <c r="G269" s="188">
        <v>2301</v>
      </c>
      <c r="H269" s="189" t="s">
        <v>1128</v>
      </c>
      <c r="I269" s="188">
        <v>2301</v>
      </c>
      <c r="J269" s="189" t="s">
        <v>1129</v>
      </c>
      <c r="K269" s="189" t="s">
        <v>1142</v>
      </c>
      <c r="L269" s="188">
        <v>2301004</v>
      </c>
      <c r="M269" s="191" t="s">
        <v>254</v>
      </c>
      <c r="N269" s="188">
        <v>2301004</v>
      </c>
      <c r="O269" s="189" t="s">
        <v>254</v>
      </c>
      <c r="P269" s="194">
        <v>230200400</v>
      </c>
      <c r="Q269" s="191" t="s">
        <v>256</v>
      </c>
      <c r="R269" s="194">
        <v>230100400</v>
      </c>
      <c r="S269" s="190" t="s">
        <v>256</v>
      </c>
      <c r="T269" s="192" t="s">
        <v>69</v>
      </c>
      <c r="U269" s="194">
        <v>1</v>
      </c>
      <c r="V269" s="194"/>
      <c r="W269" s="194">
        <f t="shared" si="12"/>
        <v>1</v>
      </c>
      <c r="X269" s="194">
        <v>1</v>
      </c>
      <c r="Y269" s="195">
        <v>2020003630139</v>
      </c>
      <c r="Z269" s="196" t="s">
        <v>1145</v>
      </c>
      <c r="AA269" s="189" t="s">
        <v>1146</v>
      </c>
      <c r="AB269" s="180"/>
      <c r="AC269" s="187"/>
      <c r="AD269" s="187"/>
      <c r="AE269" s="187"/>
      <c r="AF269" s="187"/>
      <c r="AG269" s="187"/>
      <c r="AH269" s="187">
        <f>18000000+4200000</f>
        <v>22200000</v>
      </c>
      <c r="AI269" s="187"/>
      <c r="AJ269" s="187"/>
      <c r="AK269" s="187"/>
      <c r="AL269" s="187">
        <f t="shared" si="13"/>
        <v>22200000</v>
      </c>
      <c r="AM269" s="198" t="s">
        <v>13</v>
      </c>
    </row>
    <row r="270" spans="1:39" s="200" customFormat="1" ht="66.75" customHeight="1">
      <c r="A270" s="188">
        <v>324</v>
      </c>
      <c r="B270" s="189" t="s">
        <v>1126</v>
      </c>
      <c r="C270" s="188">
        <v>1</v>
      </c>
      <c r="D270" s="189" t="s">
        <v>148</v>
      </c>
      <c r="E270" s="188">
        <v>23</v>
      </c>
      <c r="F270" s="189" t="s">
        <v>1127</v>
      </c>
      <c r="G270" s="188">
        <v>2301</v>
      </c>
      <c r="H270" s="189" t="s">
        <v>1128</v>
      </c>
      <c r="I270" s="188">
        <v>2301</v>
      </c>
      <c r="J270" s="189" t="s">
        <v>1129</v>
      </c>
      <c r="K270" s="189" t="s">
        <v>1142</v>
      </c>
      <c r="L270" s="188">
        <v>2301035</v>
      </c>
      <c r="M270" s="191" t="s">
        <v>1149</v>
      </c>
      <c r="N270" s="188">
        <v>2301035</v>
      </c>
      <c r="O270" s="189" t="s">
        <v>1149</v>
      </c>
      <c r="P270" s="194">
        <v>230103500</v>
      </c>
      <c r="Q270" s="191" t="s">
        <v>1150</v>
      </c>
      <c r="R270" s="194">
        <v>230103500</v>
      </c>
      <c r="S270" s="191" t="s">
        <v>1150</v>
      </c>
      <c r="T270" s="192" t="s">
        <v>157</v>
      </c>
      <c r="U270" s="194">
        <v>40</v>
      </c>
      <c r="V270" s="194"/>
      <c r="W270" s="194">
        <f t="shared" si="12"/>
        <v>40</v>
      </c>
      <c r="X270" s="194">
        <v>40</v>
      </c>
      <c r="Y270" s="195">
        <v>2020003630139</v>
      </c>
      <c r="Z270" s="196" t="s">
        <v>1145</v>
      </c>
      <c r="AA270" s="189" t="s">
        <v>1146</v>
      </c>
      <c r="AB270" s="180"/>
      <c r="AC270" s="187"/>
      <c r="AD270" s="187"/>
      <c r="AE270" s="187"/>
      <c r="AF270" s="187"/>
      <c r="AG270" s="187"/>
      <c r="AH270" s="187">
        <f>36000000+10800000+4500000+20200000-8640000</f>
        <v>62860000</v>
      </c>
      <c r="AI270" s="187"/>
      <c r="AJ270" s="187"/>
      <c r="AK270" s="187"/>
      <c r="AL270" s="187">
        <f t="shared" si="13"/>
        <v>62860000</v>
      </c>
      <c r="AM270" s="198" t="s">
        <v>13</v>
      </c>
    </row>
    <row r="271" spans="1:39" s="200" customFormat="1" ht="66.75" customHeight="1">
      <c r="A271" s="188">
        <v>324</v>
      </c>
      <c r="B271" s="189" t="s">
        <v>1126</v>
      </c>
      <c r="C271" s="188">
        <v>1</v>
      </c>
      <c r="D271" s="189" t="s">
        <v>148</v>
      </c>
      <c r="E271" s="188">
        <v>23</v>
      </c>
      <c r="F271" s="189" t="s">
        <v>1127</v>
      </c>
      <c r="G271" s="188">
        <v>2301</v>
      </c>
      <c r="H271" s="189" t="s">
        <v>1128</v>
      </c>
      <c r="I271" s="188">
        <v>2301</v>
      </c>
      <c r="J271" s="189" t="s">
        <v>1129</v>
      </c>
      <c r="K271" s="189" t="s">
        <v>1142</v>
      </c>
      <c r="L271" s="188">
        <v>2301042</v>
      </c>
      <c r="M271" s="191" t="s">
        <v>1151</v>
      </c>
      <c r="N271" s="188">
        <v>2301042</v>
      </c>
      <c r="O271" s="189" t="s">
        <v>1151</v>
      </c>
      <c r="P271" s="194">
        <v>230104201</v>
      </c>
      <c r="Q271" s="191" t="s">
        <v>1152</v>
      </c>
      <c r="R271" s="194">
        <v>230104201</v>
      </c>
      <c r="S271" s="191" t="s">
        <v>1152</v>
      </c>
      <c r="T271" s="192" t="s">
        <v>69</v>
      </c>
      <c r="U271" s="194">
        <v>1</v>
      </c>
      <c r="V271" s="194"/>
      <c r="W271" s="194">
        <f t="shared" si="12"/>
        <v>1</v>
      </c>
      <c r="X271" s="194">
        <v>0.74</v>
      </c>
      <c r="Y271" s="195">
        <v>2020003630139</v>
      </c>
      <c r="Z271" s="196" t="s">
        <v>1145</v>
      </c>
      <c r="AA271" s="189" t="s">
        <v>1146</v>
      </c>
      <c r="AB271" s="180"/>
      <c r="AC271" s="187"/>
      <c r="AD271" s="187"/>
      <c r="AE271" s="187"/>
      <c r="AF271" s="187"/>
      <c r="AG271" s="187"/>
      <c r="AH271" s="187">
        <f>18000000+5400000</f>
        <v>23400000</v>
      </c>
      <c r="AI271" s="187"/>
      <c r="AJ271" s="187"/>
      <c r="AK271" s="187"/>
      <c r="AL271" s="187">
        <f t="shared" si="13"/>
        <v>23400000</v>
      </c>
      <c r="AM271" s="198" t="s">
        <v>13</v>
      </c>
    </row>
    <row r="272" spans="1:39" s="200" customFormat="1" ht="66.75" customHeight="1">
      <c r="A272" s="188">
        <v>324</v>
      </c>
      <c r="B272" s="189" t="s">
        <v>1126</v>
      </c>
      <c r="C272" s="188">
        <v>1</v>
      </c>
      <c r="D272" s="189" t="s">
        <v>148</v>
      </c>
      <c r="E272" s="188">
        <v>23</v>
      </c>
      <c r="F272" s="189" t="s">
        <v>1127</v>
      </c>
      <c r="G272" s="188">
        <v>2302</v>
      </c>
      <c r="H272" s="189" t="s">
        <v>1153</v>
      </c>
      <c r="I272" s="188">
        <v>2302</v>
      </c>
      <c r="J272" s="189" t="s">
        <v>1154</v>
      </c>
      <c r="K272" s="189" t="s">
        <v>1130</v>
      </c>
      <c r="L272" s="188">
        <v>2302022</v>
      </c>
      <c r="M272" s="191" t="s">
        <v>1155</v>
      </c>
      <c r="N272" s="188">
        <v>2302022</v>
      </c>
      <c r="O272" s="189" t="s">
        <v>1155</v>
      </c>
      <c r="P272" s="194">
        <v>230202200</v>
      </c>
      <c r="Q272" s="191" t="s">
        <v>1156</v>
      </c>
      <c r="R272" s="194">
        <v>230202200</v>
      </c>
      <c r="S272" s="191" t="s">
        <v>1156</v>
      </c>
      <c r="T272" s="192" t="s">
        <v>157</v>
      </c>
      <c r="U272" s="194">
        <v>30</v>
      </c>
      <c r="V272" s="194"/>
      <c r="W272" s="194">
        <f t="shared" si="12"/>
        <v>30</v>
      </c>
      <c r="X272" s="194">
        <v>30</v>
      </c>
      <c r="Y272" s="195">
        <v>2020003630039</v>
      </c>
      <c r="Z272" s="196" t="s">
        <v>1157</v>
      </c>
      <c r="AA272" s="189" t="s">
        <v>1158</v>
      </c>
      <c r="AB272" s="180"/>
      <c r="AC272" s="187"/>
      <c r="AD272" s="187"/>
      <c r="AE272" s="187"/>
      <c r="AF272" s="187"/>
      <c r="AG272" s="187"/>
      <c r="AH272" s="187">
        <f>36000000+9000000+6000000+57500000-33618334</f>
        <v>74881666</v>
      </c>
      <c r="AI272" s="187"/>
      <c r="AJ272" s="187"/>
      <c r="AK272" s="187"/>
      <c r="AL272" s="187">
        <f t="shared" si="13"/>
        <v>74881666</v>
      </c>
      <c r="AM272" s="198" t="s">
        <v>13</v>
      </c>
    </row>
    <row r="273" spans="1:39" s="200" customFormat="1" ht="66.75" customHeight="1">
      <c r="A273" s="188">
        <v>324</v>
      </c>
      <c r="B273" s="189" t="s">
        <v>1126</v>
      </c>
      <c r="C273" s="188">
        <v>1</v>
      </c>
      <c r="D273" s="189" t="s">
        <v>148</v>
      </c>
      <c r="E273" s="188">
        <v>23</v>
      </c>
      <c r="F273" s="189" t="s">
        <v>1127</v>
      </c>
      <c r="G273" s="188">
        <v>2302</v>
      </c>
      <c r="H273" s="189" t="s">
        <v>1153</v>
      </c>
      <c r="I273" s="188">
        <v>2302</v>
      </c>
      <c r="J273" s="189" t="s">
        <v>1154</v>
      </c>
      <c r="K273" s="189" t="s">
        <v>1142</v>
      </c>
      <c r="L273" s="188">
        <v>2302021</v>
      </c>
      <c r="M273" s="191" t="s">
        <v>1159</v>
      </c>
      <c r="N273" s="188">
        <v>2302021</v>
      </c>
      <c r="O273" s="189" t="s">
        <v>1159</v>
      </c>
      <c r="P273" s="194">
        <v>230202100</v>
      </c>
      <c r="Q273" s="191" t="s">
        <v>1160</v>
      </c>
      <c r="R273" s="194">
        <v>230202100</v>
      </c>
      <c r="S273" s="191" t="s">
        <v>1160</v>
      </c>
      <c r="T273" s="192" t="s">
        <v>157</v>
      </c>
      <c r="U273" s="194">
        <v>10</v>
      </c>
      <c r="V273" s="194"/>
      <c r="W273" s="194">
        <f t="shared" si="12"/>
        <v>10</v>
      </c>
      <c r="X273" s="194">
        <v>10</v>
      </c>
      <c r="Y273" s="195">
        <v>2020003630039</v>
      </c>
      <c r="Z273" s="189" t="s">
        <v>1157</v>
      </c>
      <c r="AA273" s="189" t="s">
        <v>1158</v>
      </c>
      <c r="AB273" s="180"/>
      <c r="AC273" s="187"/>
      <c r="AD273" s="187"/>
      <c r="AE273" s="187"/>
      <c r="AF273" s="187"/>
      <c r="AG273" s="187"/>
      <c r="AH273" s="187">
        <f>70000000+21000000+22000000+17500000+40500000+13000000-22318335</f>
        <v>161681665</v>
      </c>
      <c r="AI273" s="187"/>
      <c r="AJ273" s="187"/>
      <c r="AK273" s="187"/>
      <c r="AL273" s="187">
        <f t="shared" si="13"/>
        <v>161681665</v>
      </c>
      <c r="AM273" s="198" t="s">
        <v>13</v>
      </c>
    </row>
    <row r="274" spans="1:39" s="200" customFormat="1" ht="66.75" customHeight="1">
      <c r="A274" s="188">
        <v>324</v>
      </c>
      <c r="B274" s="300" t="s">
        <v>1126</v>
      </c>
      <c r="C274" s="301">
        <v>1</v>
      </c>
      <c r="D274" s="189" t="s">
        <v>148</v>
      </c>
      <c r="E274" s="301">
        <v>23</v>
      </c>
      <c r="F274" s="300" t="s">
        <v>1127</v>
      </c>
      <c r="G274" s="301">
        <v>2302</v>
      </c>
      <c r="H274" s="300" t="s">
        <v>1153</v>
      </c>
      <c r="I274" s="301">
        <v>2302</v>
      </c>
      <c r="J274" s="300" t="s">
        <v>1154</v>
      </c>
      <c r="K274" s="300" t="s">
        <v>1161</v>
      </c>
      <c r="L274" s="301">
        <v>2302058</v>
      </c>
      <c r="M274" s="191" t="s">
        <v>1162</v>
      </c>
      <c r="N274" s="301">
        <v>2302058</v>
      </c>
      <c r="O274" s="300" t="s">
        <v>1162</v>
      </c>
      <c r="P274" s="302">
        <v>230205800</v>
      </c>
      <c r="Q274" s="303" t="s">
        <v>1163</v>
      </c>
      <c r="R274" s="302">
        <v>230205800</v>
      </c>
      <c r="S274" s="303" t="s">
        <v>1163</v>
      </c>
      <c r="T274" s="304" t="s">
        <v>157</v>
      </c>
      <c r="U274" s="302">
        <v>400</v>
      </c>
      <c r="V274" s="302"/>
      <c r="W274" s="194">
        <f t="shared" si="12"/>
        <v>400</v>
      </c>
      <c r="X274" s="302">
        <v>149</v>
      </c>
      <c r="Y274" s="362">
        <v>2020003630039</v>
      </c>
      <c r="Z274" s="305" t="s">
        <v>1157</v>
      </c>
      <c r="AA274" s="300" t="s">
        <v>1158</v>
      </c>
      <c r="AB274" s="306"/>
      <c r="AC274" s="307"/>
      <c r="AD274" s="307"/>
      <c r="AE274" s="307"/>
      <c r="AF274" s="307"/>
      <c r="AG274" s="307"/>
      <c r="AH274" s="187">
        <f>20000000+5400000+3150000+22000000-9318335+22318335</f>
        <v>63550000</v>
      </c>
      <c r="AI274" s="307"/>
      <c r="AJ274" s="307"/>
      <c r="AK274" s="307"/>
      <c r="AL274" s="187">
        <f t="shared" si="13"/>
        <v>63550000</v>
      </c>
      <c r="AM274" s="308" t="s">
        <v>13</v>
      </c>
    </row>
    <row r="275" spans="1:39" s="200" customFormat="1" ht="66.75" customHeight="1">
      <c r="A275" s="309">
        <v>324</v>
      </c>
      <c r="B275" s="310" t="s">
        <v>1126</v>
      </c>
      <c r="C275" s="311">
        <v>1</v>
      </c>
      <c r="D275" s="189" t="s">
        <v>148</v>
      </c>
      <c r="E275" s="311">
        <v>23</v>
      </c>
      <c r="F275" s="310" t="s">
        <v>1127</v>
      </c>
      <c r="G275" s="311">
        <v>2302</v>
      </c>
      <c r="H275" s="310" t="s">
        <v>1153</v>
      </c>
      <c r="I275" s="311">
        <v>2302</v>
      </c>
      <c r="J275" s="310" t="s">
        <v>1154</v>
      </c>
      <c r="K275" s="310" t="s">
        <v>1161</v>
      </c>
      <c r="L275" s="311">
        <v>2302068</v>
      </c>
      <c r="M275" s="191" t="s">
        <v>1164</v>
      </c>
      <c r="N275" s="311">
        <v>2302068</v>
      </c>
      <c r="O275" s="310" t="s">
        <v>1164</v>
      </c>
      <c r="P275" s="312">
        <v>230206800</v>
      </c>
      <c r="Q275" s="313" t="s">
        <v>1165</v>
      </c>
      <c r="R275" s="312">
        <v>230206800</v>
      </c>
      <c r="S275" s="313" t="s">
        <v>1165</v>
      </c>
      <c r="T275" s="314" t="s">
        <v>157</v>
      </c>
      <c r="U275" s="312">
        <v>80</v>
      </c>
      <c r="V275" s="312"/>
      <c r="W275" s="194">
        <f t="shared" si="12"/>
        <v>80</v>
      </c>
      <c r="X275" s="312">
        <v>80</v>
      </c>
      <c r="Y275" s="363">
        <v>2020003630039</v>
      </c>
      <c r="Z275" s="315" t="s">
        <v>1157</v>
      </c>
      <c r="AA275" s="310" t="s">
        <v>1158</v>
      </c>
      <c r="AB275" s="316"/>
      <c r="AC275" s="317"/>
      <c r="AD275" s="317"/>
      <c r="AE275" s="317"/>
      <c r="AF275" s="317"/>
      <c r="AG275" s="317"/>
      <c r="AH275" s="187">
        <f>20000000+6000000+31675000-13000000</f>
        <v>44675000</v>
      </c>
      <c r="AI275" s="317"/>
      <c r="AJ275" s="317"/>
      <c r="AK275" s="317"/>
      <c r="AL275" s="187">
        <f t="shared" si="13"/>
        <v>44675000</v>
      </c>
      <c r="AM275" s="318" t="s">
        <v>13</v>
      </c>
    </row>
    <row r="276" spans="1:39" s="200" customFormat="1" ht="66.75" customHeight="1">
      <c r="A276" s="309">
        <v>324</v>
      </c>
      <c r="B276" s="310" t="s">
        <v>1126</v>
      </c>
      <c r="C276" s="311">
        <v>1</v>
      </c>
      <c r="D276" s="189" t="s">
        <v>148</v>
      </c>
      <c r="E276" s="311">
        <v>23</v>
      </c>
      <c r="F276" s="310" t="s">
        <v>1127</v>
      </c>
      <c r="G276" s="311">
        <v>2302</v>
      </c>
      <c r="H276" s="310" t="s">
        <v>1153</v>
      </c>
      <c r="I276" s="311">
        <v>2302</v>
      </c>
      <c r="J276" s="310" t="s">
        <v>1154</v>
      </c>
      <c r="K276" s="310" t="s">
        <v>1161</v>
      </c>
      <c r="L276" s="311">
        <v>2302039</v>
      </c>
      <c r="M276" s="191" t="s">
        <v>1483</v>
      </c>
      <c r="N276" s="311">
        <v>2302039</v>
      </c>
      <c r="O276" s="310" t="s">
        <v>1483</v>
      </c>
      <c r="P276" s="312">
        <v>230203900</v>
      </c>
      <c r="Q276" s="313" t="s">
        <v>1484</v>
      </c>
      <c r="R276" s="312">
        <v>230203900</v>
      </c>
      <c r="S276" s="313" t="s">
        <v>1484</v>
      </c>
      <c r="T276" s="314" t="s">
        <v>157</v>
      </c>
      <c r="U276" s="312">
        <v>1</v>
      </c>
      <c r="V276" s="312"/>
      <c r="W276" s="312">
        <v>1</v>
      </c>
      <c r="X276" s="312">
        <v>1</v>
      </c>
      <c r="Y276" s="363">
        <v>2020003630039</v>
      </c>
      <c r="Z276" s="319" t="s">
        <v>1157</v>
      </c>
      <c r="AA276" s="315" t="s">
        <v>1158</v>
      </c>
      <c r="AB276" s="316"/>
      <c r="AC276" s="317"/>
      <c r="AD276" s="317"/>
      <c r="AE276" s="317"/>
      <c r="AF276" s="317"/>
      <c r="AG276" s="317"/>
      <c r="AH276" s="187">
        <v>80000000</v>
      </c>
      <c r="AI276" s="317"/>
      <c r="AJ276" s="317"/>
      <c r="AK276" s="317"/>
      <c r="AL276" s="187">
        <f t="shared" si="13"/>
        <v>80000000</v>
      </c>
      <c r="AM276" s="318" t="s">
        <v>13</v>
      </c>
    </row>
    <row r="277" spans="1:39" s="200" customFormat="1" ht="66.75" customHeight="1">
      <c r="A277" s="309">
        <v>324</v>
      </c>
      <c r="B277" s="310" t="s">
        <v>1126</v>
      </c>
      <c r="C277" s="311">
        <v>2</v>
      </c>
      <c r="D277" s="310" t="s">
        <v>200</v>
      </c>
      <c r="E277" s="311">
        <v>39</v>
      </c>
      <c r="F277" s="310" t="s">
        <v>746</v>
      </c>
      <c r="G277" s="311" t="s">
        <v>1166</v>
      </c>
      <c r="H277" s="310" t="s">
        <v>1167</v>
      </c>
      <c r="I277" s="311" t="s">
        <v>1166</v>
      </c>
      <c r="J277" s="310" t="s">
        <v>1168</v>
      </c>
      <c r="K277" s="310" t="s">
        <v>1169</v>
      </c>
      <c r="L277" s="311">
        <v>3903005</v>
      </c>
      <c r="M277" s="191" t="s">
        <v>1170</v>
      </c>
      <c r="N277" s="311">
        <v>3903005</v>
      </c>
      <c r="O277" s="310" t="s">
        <v>1170</v>
      </c>
      <c r="P277" s="320" t="s">
        <v>1171</v>
      </c>
      <c r="Q277" s="313" t="s">
        <v>1172</v>
      </c>
      <c r="R277" s="320" t="s">
        <v>1171</v>
      </c>
      <c r="S277" s="313" t="s">
        <v>1172</v>
      </c>
      <c r="T277" s="314" t="s">
        <v>69</v>
      </c>
      <c r="U277" s="312">
        <v>1</v>
      </c>
      <c r="V277" s="312"/>
      <c r="W277" s="312">
        <f>+U277+V277</f>
        <v>1</v>
      </c>
      <c r="X277" s="312">
        <v>0.4</v>
      </c>
      <c r="Y277" s="363">
        <v>2020003630140</v>
      </c>
      <c r="Z277" s="321" t="s">
        <v>1173</v>
      </c>
      <c r="AA277" s="321" t="s">
        <v>1174</v>
      </c>
      <c r="AB277" s="316"/>
      <c r="AC277" s="317"/>
      <c r="AD277" s="317"/>
      <c r="AE277" s="317"/>
      <c r="AF277" s="317"/>
      <c r="AG277" s="317"/>
      <c r="AH277" s="187">
        <v>7573173</v>
      </c>
      <c r="AI277" s="317"/>
      <c r="AJ277" s="317"/>
      <c r="AK277" s="317"/>
      <c r="AL277" s="187">
        <f t="shared" si="13"/>
        <v>7573173</v>
      </c>
      <c r="AM277" s="318" t="s">
        <v>13</v>
      </c>
    </row>
    <row r="278" spans="1:39" s="200" customFormat="1" ht="66.75" customHeight="1">
      <c r="A278" s="309">
        <v>324</v>
      </c>
      <c r="B278" s="310" t="s">
        <v>1126</v>
      </c>
      <c r="C278" s="311">
        <v>2</v>
      </c>
      <c r="D278" s="310" t="s">
        <v>200</v>
      </c>
      <c r="E278" s="311">
        <v>39</v>
      </c>
      <c r="F278" s="310" t="s">
        <v>746</v>
      </c>
      <c r="G278" s="311" t="s">
        <v>1166</v>
      </c>
      <c r="H278" s="310" t="s">
        <v>1167</v>
      </c>
      <c r="I278" s="311" t="s">
        <v>1166</v>
      </c>
      <c r="J278" s="310" t="s">
        <v>1168</v>
      </c>
      <c r="K278" s="310" t="s">
        <v>1169</v>
      </c>
      <c r="L278" s="311">
        <v>3903005</v>
      </c>
      <c r="M278" s="191" t="s">
        <v>1170</v>
      </c>
      <c r="N278" s="311">
        <v>3903005</v>
      </c>
      <c r="O278" s="310" t="s">
        <v>1170</v>
      </c>
      <c r="P278" s="320" t="s">
        <v>1175</v>
      </c>
      <c r="Q278" s="313" t="s">
        <v>1176</v>
      </c>
      <c r="R278" s="320" t="s">
        <v>1175</v>
      </c>
      <c r="S278" s="313" t="s">
        <v>1176</v>
      </c>
      <c r="T278" s="314" t="s">
        <v>157</v>
      </c>
      <c r="U278" s="312">
        <v>80</v>
      </c>
      <c r="V278" s="312"/>
      <c r="W278" s="312">
        <f>+U278+V278</f>
        <v>80</v>
      </c>
      <c r="X278" s="312">
        <v>80</v>
      </c>
      <c r="Y278" s="363">
        <v>2020003630140</v>
      </c>
      <c r="Z278" s="315" t="s">
        <v>1173</v>
      </c>
      <c r="AA278" s="310" t="s">
        <v>1174</v>
      </c>
      <c r="AB278" s="316"/>
      <c r="AC278" s="317"/>
      <c r="AD278" s="317"/>
      <c r="AE278" s="317"/>
      <c r="AF278" s="317"/>
      <c r="AG278" s="317"/>
      <c r="AH278" s="187">
        <f>7573173+12000000+25000000</f>
        <v>44573173</v>
      </c>
      <c r="AI278" s="317"/>
      <c r="AJ278" s="317"/>
      <c r="AK278" s="317"/>
      <c r="AL278" s="187">
        <f t="shared" si="13"/>
        <v>44573173</v>
      </c>
      <c r="AM278" s="318" t="s">
        <v>13</v>
      </c>
    </row>
    <row r="279" spans="1:39" s="200" customFormat="1" ht="66.75" customHeight="1">
      <c r="A279" s="309">
        <v>324</v>
      </c>
      <c r="B279" s="310" t="s">
        <v>1126</v>
      </c>
      <c r="C279" s="311">
        <v>2</v>
      </c>
      <c r="D279" s="310" t="s">
        <v>200</v>
      </c>
      <c r="E279" s="311">
        <v>39</v>
      </c>
      <c r="F279" s="310" t="s">
        <v>746</v>
      </c>
      <c r="G279" s="311" t="s">
        <v>1166</v>
      </c>
      <c r="H279" s="310" t="s">
        <v>1167</v>
      </c>
      <c r="I279" s="311" t="s">
        <v>1166</v>
      </c>
      <c r="J279" s="310" t="s">
        <v>1168</v>
      </c>
      <c r="K279" s="310" t="s">
        <v>1169</v>
      </c>
      <c r="L279" s="311">
        <v>3903005</v>
      </c>
      <c r="M279" s="191" t="s">
        <v>1170</v>
      </c>
      <c r="N279" s="311">
        <v>3903005</v>
      </c>
      <c r="O279" s="310" t="s">
        <v>1170</v>
      </c>
      <c r="P279" s="320" t="s">
        <v>1177</v>
      </c>
      <c r="Q279" s="313" t="s">
        <v>1178</v>
      </c>
      <c r="R279" s="320" t="s">
        <v>1177</v>
      </c>
      <c r="S279" s="313" t="s">
        <v>1178</v>
      </c>
      <c r="T279" s="314" t="s">
        <v>157</v>
      </c>
      <c r="U279" s="312">
        <v>80</v>
      </c>
      <c r="V279" s="312"/>
      <c r="W279" s="312">
        <f>+U279+V279</f>
        <v>80</v>
      </c>
      <c r="X279" s="312">
        <v>80</v>
      </c>
      <c r="Y279" s="363">
        <v>2020003630140</v>
      </c>
      <c r="Z279" s="315" t="s">
        <v>1173</v>
      </c>
      <c r="AA279" s="310" t="s">
        <v>1174</v>
      </c>
      <c r="AB279" s="316"/>
      <c r="AC279" s="317"/>
      <c r="AD279" s="317"/>
      <c r="AE279" s="317"/>
      <c r="AF279" s="317"/>
      <c r="AG279" s="317"/>
      <c r="AH279" s="346">
        <f>7573172+12000000</f>
        <v>19573172</v>
      </c>
      <c r="AI279" s="317"/>
      <c r="AJ279" s="317"/>
      <c r="AK279" s="317"/>
      <c r="AL279" s="187">
        <f t="shared" si="13"/>
        <v>19573172</v>
      </c>
      <c r="AM279" s="318" t="s">
        <v>13</v>
      </c>
    </row>
    <row r="280" spans="1:39" s="200" customFormat="1" ht="66.75" customHeight="1">
      <c r="A280" s="309">
        <v>324</v>
      </c>
      <c r="B280" s="310" t="s">
        <v>1126</v>
      </c>
      <c r="C280" s="311">
        <v>2</v>
      </c>
      <c r="D280" s="310" t="s">
        <v>200</v>
      </c>
      <c r="E280" s="311">
        <v>39</v>
      </c>
      <c r="F280" s="310" t="s">
        <v>746</v>
      </c>
      <c r="G280" s="311">
        <v>3904</v>
      </c>
      <c r="H280" s="310" t="s">
        <v>1179</v>
      </c>
      <c r="I280" s="311">
        <v>3904</v>
      </c>
      <c r="J280" s="310" t="s">
        <v>748</v>
      </c>
      <c r="K280" s="310" t="s">
        <v>1180</v>
      </c>
      <c r="L280" s="311">
        <v>3904018</v>
      </c>
      <c r="M280" s="191" t="s">
        <v>1181</v>
      </c>
      <c r="N280" s="311">
        <v>3904018</v>
      </c>
      <c r="O280" s="310" t="s">
        <v>1181</v>
      </c>
      <c r="P280" s="320">
        <v>390401809</v>
      </c>
      <c r="Q280" s="313" t="s">
        <v>1182</v>
      </c>
      <c r="R280" s="320">
        <v>390401809</v>
      </c>
      <c r="S280" s="313" t="s">
        <v>1182</v>
      </c>
      <c r="T280" s="314" t="s">
        <v>157</v>
      </c>
      <c r="U280" s="312">
        <v>7</v>
      </c>
      <c r="V280" s="312"/>
      <c r="W280" s="312">
        <f>+U280+V280</f>
        <v>7</v>
      </c>
      <c r="X280" s="312">
        <v>7</v>
      </c>
      <c r="Y280" s="363">
        <v>2020003630040</v>
      </c>
      <c r="Z280" s="315" t="s">
        <v>1183</v>
      </c>
      <c r="AA280" s="310" t="s">
        <v>1184</v>
      </c>
      <c r="AB280" s="316"/>
      <c r="AC280" s="317"/>
      <c r="AD280" s="317"/>
      <c r="AE280" s="317"/>
      <c r="AF280" s="317"/>
      <c r="AG280" s="317"/>
      <c r="AH280" s="344">
        <f>18000000+5400000+5000000+4000000+24000000</f>
        <v>56400000</v>
      </c>
      <c r="AI280" s="317"/>
      <c r="AJ280" s="317"/>
      <c r="AK280" s="317"/>
      <c r="AL280" s="187">
        <f t="shared" si="13"/>
        <v>56400000</v>
      </c>
      <c r="AM280" s="318" t="s">
        <v>13</v>
      </c>
    </row>
    <row r="281" spans="1:39" s="200" customFormat="1" ht="66.75" customHeight="1">
      <c r="A281" s="309">
        <v>324</v>
      </c>
      <c r="B281" s="310" t="s">
        <v>1126</v>
      </c>
      <c r="C281" s="311">
        <v>4</v>
      </c>
      <c r="D281" s="310" t="s">
        <v>59</v>
      </c>
      <c r="E281" s="311">
        <v>23</v>
      </c>
      <c r="F281" s="310" t="s">
        <v>1127</v>
      </c>
      <c r="G281" s="311">
        <v>2302</v>
      </c>
      <c r="H281" s="310" t="s">
        <v>1153</v>
      </c>
      <c r="I281" s="311">
        <v>2302</v>
      </c>
      <c r="J281" s="310" t="s">
        <v>1154</v>
      </c>
      <c r="K281" s="310" t="s">
        <v>1185</v>
      </c>
      <c r="L281" s="311">
        <v>2302003</v>
      </c>
      <c r="M281" s="191" t="s">
        <v>1186</v>
      </c>
      <c r="N281" s="311">
        <v>2302003</v>
      </c>
      <c r="O281" s="310" t="s">
        <v>1186</v>
      </c>
      <c r="P281" s="320">
        <v>230200300</v>
      </c>
      <c r="Q281" s="313" t="s">
        <v>1187</v>
      </c>
      <c r="R281" s="320">
        <v>230200300</v>
      </c>
      <c r="S281" s="313" t="s">
        <v>1187</v>
      </c>
      <c r="T281" s="314" t="s">
        <v>157</v>
      </c>
      <c r="U281" s="312">
        <v>3</v>
      </c>
      <c r="V281" s="312"/>
      <c r="W281" s="312">
        <f t="shared" ref="W281:W292" si="14">U281+V281</f>
        <v>3</v>
      </c>
      <c r="X281" s="312">
        <v>1</v>
      </c>
      <c r="Y281" s="363">
        <v>2020003630141</v>
      </c>
      <c r="Z281" s="315" t="s">
        <v>1188</v>
      </c>
      <c r="AA281" s="310" t="s">
        <v>1189</v>
      </c>
      <c r="AB281" s="316"/>
      <c r="AC281" s="317"/>
      <c r="AD281" s="317"/>
      <c r="AE281" s="317"/>
      <c r="AF281" s="317"/>
      <c r="AG281" s="317"/>
      <c r="AH281" s="317">
        <f>120000000+36000000-40000000+100000000-80000000</f>
        <v>136000000</v>
      </c>
      <c r="AI281" s="317"/>
      <c r="AJ281" s="317"/>
      <c r="AK281" s="317"/>
      <c r="AL281" s="187">
        <f t="shared" si="13"/>
        <v>136000000</v>
      </c>
      <c r="AM281" s="318" t="s">
        <v>13</v>
      </c>
    </row>
    <row r="282" spans="1:39" s="200" customFormat="1" ht="66.75" customHeight="1">
      <c r="A282" s="309">
        <v>324</v>
      </c>
      <c r="B282" s="310" t="s">
        <v>1126</v>
      </c>
      <c r="C282" s="311">
        <v>4</v>
      </c>
      <c r="D282" s="310" t="s">
        <v>59</v>
      </c>
      <c r="E282" s="311">
        <v>23</v>
      </c>
      <c r="F282" s="310" t="s">
        <v>1127</v>
      </c>
      <c r="G282" s="311">
        <v>2302</v>
      </c>
      <c r="H282" s="310" t="s">
        <v>1153</v>
      </c>
      <c r="I282" s="311">
        <v>2302</v>
      </c>
      <c r="J282" s="310" t="s">
        <v>1154</v>
      </c>
      <c r="K282" s="310" t="s">
        <v>1185</v>
      </c>
      <c r="L282" s="311">
        <v>2302033</v>
      </c>
      <c r="M282" s="191" t="s">
        <v>1190</v>
      </c>
      <c r="N282" s="311">
        <v>2302033</v>
      </c>
      <c r="O282" s="310" t="s">
        <v>1190</v>
      </c>
      <c r="P282" s="320">
        <v>230203300</v>
      </c>
      <c r="Q282" s="313" t="s">
        <v>1191</v>
      </c>
      <c r="R282" s="320">
        <v>230203300</v>
      </c>
      <c r="S282" s="313" t="s">
        <v>1191</v>
      </c>
      <c r="T282" s="314" t="s">
        <v>69</v>
      </c>
      <c r="U282" s="312">
        <v>100</v>
      </c>
      <c r="V282" s="312"/>
      <c r="W282" s="312">
        <f t="shared" si="14"/>
        <v>100</v>
      </c>
      <c r="X282" s="312">
        <v>90</v>
      </c>
      <c r="Y282" s="363">
        <v>2020003630141</v>
      </c>
      <c r="Z282" s="315" t="s">
        <v>1188</v>
      </c>
      <c r="AA282" s="310" t="s">
        <v>1189</v>
      </c>
      <c r="AB282" s="316"/>
      <c r="AC282" s="317"/>
      <c r="AD282" s="317"/>
      <c r="AE282" s="317"/>
      <c r="AF282" s="317"/>
      <c r="AG282" s="317"/>
      <c r="AH282" s="317">
        <f>50000000+15000000+15000000+15000000</f>
        <v>95000000</v>
      </c>
      <c r="AI282" s="317"/>
      <c r="AJ282" s="317"/>
      <c r="AK282" s="317"/>
      <c r="AL282" s="187">
        <f t="shared" si="13"/>
        <v>95000000</v>
      </c>
      <c r="AM282" s="318" t="s">
        <v>13</v>
      </c>
    </row>
    <row r="283" spans="1:39" s="200" customFormat="1" ht="66.75" customHeight="1">
      <c r="A283" s="309">
        <v>324</v>
      </c>
      <c r="B283" s="310" t="s">
        <v>1126</v>
      </c>
      <c r="C283" s="311">
        <v>4</v>
      </c>
      <c r="D283" s="310" t="s">
        <v>59</v>
      </c>
      <c r="E283" s="311">
        <v>23</v>
      </c>
      <c r="F283" s="310" t="s">
        <v>1127</v>
      </c>
      <c r="G283" s="311">
        <v>2302</v>
      </c>
      <c r="H283" s="310" t="s">
        <v>1153</v>
      </c>
      <c r="I283" s="311">
        <v>2302</v>
      </c>
      <c r="J283" s="310" t="s">
        <v>1154</v>
      </c>
      <c r="K283" s="310" t="s">
        <v>1185</v>
      </c>
      <c r="L283" s="311">
        <v>2302066</v>
      </c>
      <c r="M283" s="191" t="s">
        <v>1192</v>
      </c>
      <c r="N283" s="311">
        <v>2302066</v>
      </c>
      <c r="O283" s="310" t="s">
        <v>1192</v>
      </c>
      <c r="P283" s="320">
        <v>230206600</v>
      </c>
      <c r="Q283" s="313" t="s">
        <v>1193</v>
      </c>
      <c r="R283" s="320">
        <v>230206600</v>
      </c>
      <c r="S283" s="313" t="s">
        <v>1193</v>
      </c>
      <c r="T283" s="314" t="s">
        <v>157</v>
      </c>
      <c r="U283" s="312">
        <v>60</v>
      </c>
      <c r="V283" s="312"/>
      <c r="W283" s="312">
        <f t="shared" si="14"/>
        <v>60</v>
      </c>
      <c r="X283" s="312">
        <v>54</v>
      </c>
      <c r="Y283" s="363">
        <v>2020003630141</v>
      </c>
      <c r="Z283" s="315" t="s">
        <v>1188</v>
      </c>
      <c r="AA283" s="310" t="s">
        <v>1189</v>
      </c>
      <c r="AB283" s="316"/>
      <c r="AC283" s="317"/>
      <c r="AD283" s="317"/>
      <c r="AE283" s="317"/>
      <c r="AF283" s="317"/>
      <c r="AG283" s="317"/>
      <c r="AH283" s="317">
        <f>60000000+18000000</f>
        <v>78000000</v>
      </c>
      <c r="AI283" s="317"/>
      <c r="AJ283" s="317"/>
      <c r="AK283" s="317"/>
      <c r="AL283" s="187">
        <f t="shared" si="13"/>
        <v>78000000</v>
      </c>
      <c r="AM283" s="318" t="s">
        <v>13</v>
      </c>
    </row>
    <row r="284" spans="1:39" s="200" customFormat="1" ht="66.75" customHeight="1">
      <c r="A284" s="309">
        <v>324</v>
      </c>
      <c r="B284" s="310" t="s">
        <v>1126</v>
      </c>
      <c r="C284" s="311">
        <v>4</v>
      </c>
      <c r="D284" s="310" t="s">
        <v>59</v>
      </c>
      <c r="E284" s="311">
        <v>23</v>
      </c>
      <c r="F284" s="310" t="s">
        <v>1127</v>
      </c>
      <c r="G284" s="311">
        <v>2302</v>
      </c>
      <c r="H284" s="310" t="s">
        <v>1153</v>
      </c>
      <c r="I284" s="311">
        <v>2302</v>
      </c>
      <c r="J284" s="310" t="s">
        <v>1154</v>
      </c>
      <c r="K284" s="310" t="s">
        <v>1185</v>
      </c>
      <c r="L284" s="311">
        <v>2302004</v>
      </c>
      <c r="M284" s="191" t="s">
        <v>1194</v>
      </c>
      <c r="N284" s="311">
        <v>2302004</v>
      </c>
      <c r="O284" s="310" t="s">
        <v>1194</v>
      </c>
      <c r="P284" s="320">
        <v>230200403</v>
      </c>
      <c r="Q284" s="313" t="s">
        <v>1195</v>
      </c>
      <c r="R284" s="320">
        <v>230200403</v>
      </c>
      <c r="S284" s="313" t="s">
        <v>1195</v>
      </c>
      <c r="T284" s="314" t="s">
        <v>69</v>
      </c>
      <c r="U284" s="312">
        <v>1</v>
      </c>
      <c r="V284" s="312"/>
      <c r="W284" s="312">
        <f t="shared" si="14"/>
        <v>1</v>
      </c>
      <c r="X284" s="312">
        <v>0.9</v>
      </c>
      <c r="Y284" s="363">
        <v>2020003630141</v>
      </c>
      <c r="Z284" s="315" t="s">
        <v>1188</v>
      </c>
      <c r="AA284" s="310" t="s">
        <v>1189</v>
      </c>
      <c r="AB284" s="316"/>
      <c r="AC284" s="317"/>
      <c r="AD284" s="317"/>
      <c r="AE284" s="317"/>
      <c r="AF284" s="317"/>
      <c r="AG284" s="317"/>
      <c r="AH284" s="317">
        <v>25000000</v>
      </c>
      <c r="AI284" s="317"/>
      <c r="AJ284" s="317"/>
      <c r="AK284" s="317"/>
      <c r="AL284" s="187">
        <f t="shared" si="13"/>
        <v>25000000</v>
      </c>
      <c r="AM284" s="318" t="s">
        <v>13</v>
      </c>
    </row>
    <row r="285" spans="1:39" s="200" customFormat="1" ht="66.75" customHeight="1">
      <c r="A285" s="309">
        <v>324</v>
      </c>
      <c r="B285" s="310" t="s">
        <v>1126</v>
      </c>
      <c r="C285" s="311">
        <v>4</v>
      </c>
      <c r="D285" s="310" t="s">
        <v>59</v>
      </c>
      <c r="E285" s="311">
        <v>23</v>
      </c>
      <c r="F285" s="310" t="s">
        <v>1127</v>
      </c>
      <c r="G285" s="311">
        <v>2302</v>
      </c>
      <c r="H285" s="310" t="s">
        <v>1153</v>
      </c>
      <c r="I285" s="311">
        <v>2302</v>
      </c>
      <c r="J285" s="310" t="s">
        <v>1154</v>
      </c>
      <c r="K285" s="310" t="s">
        <v>1185</v>
      </c>
      <c r="L285" s="320">
        <v>2302007</v>
      </c>
      <c r="M285" s="191" t="s">
        <v>1196</v>
      </c>
      <c r="N285" s="311">
        <v>2302007</v>
      </c>
      <c r="O285" s="310" t="s">
        <v>1196</v>
      </c>
      <c r="P285" s="320">
        <v>230200701</v>
      </c>
      <c r="Q285" s="321" t="s">
        <v>1197</v>
      </c>
      <c r="R285" s="320">
        <v>230200701</v>
      </c>
      <c r="S285" s="313" t="s">
        <v>1197</v>
      </c>
      <c r="T285" s="314" t="s">
        <v>69</v>
      </c>
      <c r="U285" s="312">
        <v>1</v>
      </c>
      <c r="V285" s="312"/>
      <c r="W285" s="312">
        <f t="shared" si="14"/>
        <v>1</v>
      </c>
      <c r="X285" s="312">
        <v>0.9</v>
      </c>
      <c r="Y285" s="363">
        <v>2020003630141</v>
      </c>
      <c r="Z285" s="315" t="s">
        <v>1188</v>
      </c>
      <c r="AA285" s="310" t="s">
        <v>1189</v>
      </c>
      <c r="AB285" s="316"/>
      <c r="AC285" s="317"/>
      <c r="AD285" s="317"/>
      <c r="AE285" s="317"/>
      <c r="AF285" s="317"/>
      <c r="AG285" s="317"/>
      <c r="AH285" s="317">
        <f>25000000+20000000+15000000+15000000</f>
        <v>75000000</v>
      </c>
      <c r="AI285" s="317"/>
      <c r="AJ285" s="317"/>
      <c r="AK285" s="317"/>
      <c r="AL285" s="187">
        <f t="shared" si="13"/>
        <v>75000000</v>
      </c>
      <c r="AM285" s="318" t="s">
        <v>13</v>
      </c>
    </row>
    <row r="286" spans="1:39" s="200" customFormat="1" ht="66.75" customHeight="1">
      <c r="A286" s="309">
        <v>324</v>
      </c>
      <c r="B286" s="310" t="s">
        <v>1126</v>
      </c>
      <c r="C286" s="311">
        <v>4</v>
      </c>
      <c r="D286" s="310" t="s">
        <v>59</v>
      </c>
      <c r="E286" s="311">
        <v>23</v>
      </c>
      <c r="F286" s="310" t="s">
        <v>1127</v>
      </c>
      <c r="G286" s="311">
        <v>2302</v>
      </c>
      <c r="H286" s="310" t="s">
        <v>1153</v>
      </c>
      <c r="I286" s="311">
        <v>2302</v>
      </c>
      <c r="J286" s="310" t="s">
        <v>1154</v>
      </c>
      <c r="K286" s="310" t="s">
        <v>1185</v>
      </c>
      <c r="L286" s="311">
        <v>2302083</v>
      </c>
      <c r="M286" s="191" t="s">
        <v>101</v>
      </c>
      <c r="N286" s="311">
        <v>2302083</v>
      </c>
      <c r="O286" s="310" t="s">
        <v>101</v>
      </c>
      <c r="P286" s="320">
        <v>230208300</v>
      </c>
      <c r="Q286" s="313" t="s">
        <v>540</v>
      </c>
      <c r="R286" s="320">
        <v>230208300</v>
      </c>
      <c r="S286" s="313" t="s">
        <v>540</v>
      </c>
      <c r="T286" s="314" t="s">
        <v>69</v>
      </c>
      <c r="U286" s="312">
        <v>1</v>
      </c>
      <c r="V286" s="312"/>
      <c r="W286" s="312">
        <f t="shared" si="14"/>
        <v>1</v>
      </c>
      <c r="X286" s="312">
        <v>0.7</v>
      </c>
      <c r="Y286" s="363">
        <v>2020003630141</v>
      </c>
      <c r="Z286" s="315" t="s">
        <v>1188</v>
      </c>
      <c r="AA286" s="310" t="s">
        <v>1189</v>
      </c>
      <c r="AB286" s="322"/>
      <c r="AC286" s="323"/>
      <c r="AD286" s="323"/>
      <c r="AE286" s="323"/>
      <c r="AF286" s="323"/>
      <c r="AG286" s="323"/>
      <c r="AH286" s="323">
        <f>18000000+20000000+10000000+20000000</f>
        <v>68000000</v>
      </c>
      <c r="AI286" s="323"/>
      <c r="AJ286" s="323"/>
      <c r="AK286" s="323"/>
      <c r="AL286" s="187">
        <f t="shared" si="13"/>
        <v>68000000</v>
      </c>
      <c r="AM286" s="324" t="s">
        <v>13</v>
      </c>
    </row>
    <row r="287" spans="1:39" s="200" customFormat="1" ht="84.75" customHeight="1">
      <c r="A287" s="188">
        <v>319</v>
      </c>
      <c r="B287" s="189" t="s">
        <v>1198</v>
      </c>
      <c r="C287" s="188">
        <v>1</v>
      </c>
      <c r="D287" s="189" t="s">
        <v>148</v>
      </c>
      <c r="E287" s="188">
        <v>43</v>
      </c>
      <c r="F287" s="189" t="s">
        <v>190</v>
      </c>
      <c r="G287" s="188">
        <v>4301</v>
      </c>
      <c r="H287" s="189" t="s">
        <v>191</v>
      </c>
      <c r="I287" s="188">
        <v>4301</v>
      </c>
      <c r="J287" s="189" t="s">
        <v>192</v>
      </c>
      <c r="K287" s="191" t="s">
        <v>1199</v>
      </c>
      <c r="L287" s="188">
        <v>4301007</v>
      </c>
      <c r="M287" s="191" t="s">
        <v>1200</v>
      </c>
      <c r="N287" s="188">
        <v>4301007</v>
      </c>
      <c r="O287" s="189" t="s">
        <v>1200</v>
      </c>
      <c r="P287" s="188">
        <v>430100701</v>
      </c>
      <c r="Q287" s="191" t="s">
        <v>1201</v>
      </c>
      <c r="R287" s="188">
        <v>430100701</v>
      </c>
      <c r="S287" s="191" t="s">
        <v>1201</v>
      </c>
      <c r="T287" s="282" t="s">
        <v>69</v>
      </c>
      <c r="U287" s="194">
        <v>12</v>
      </c>
      <c r="V287" s="194"/>
      <c r="W287" s="194">
        <f t="shared" si="14"/>
        <v>12</v>
      </c>
      <c r="X287" s="194">
        <v>12</v>
      </c>
      <c r="Y287" s="195">
        <v>2020003630009</v>
      </c>
      <c r="Z287" s="196" t="s">
        <v>1202</v>
      </c>
      <c r="AA287" s="189" t="s">
        <v>1203</v>
      </c>
      <c r="AB287" s="180">
        <f>180000000-130000000+14438423</f>
        <v>64438423</v>
      </c>
      <c r="AC287" s="185">
        <v>152638555.31</v>
      </c>
      <c r="AD287" s="180"/>
      <c r="AE287" s="180">
        <v>12851234.699999999</v>
      </c>
      <c r="AF287" s="180"/>
      <c r="AG287" s="180"/>
      <c r="AH287" s="185">
        <v>15000000</v>
      </c>
      <c r="AI287" s="185">
        <v>812700106.11000001</v>
      </c>
      <c r="AJ287" s="185"/>
      <c r="AK287" s="180">
        <f>430000000+7500000+56533330</f>
        <v>494033330</v>
      </c>
      <c r="AL287" s="187">
        <f t="shared" si="13"/>
        <v>1551661649.1199999</v>
      </c>
      <c r="AM287" s="198" t="s">
        <v>4</v>
      </c>
    </row>
    <row r="288" spans="1:39" s="200" customFormat="1" ht="84.75" customHeight="1">
      <c r="A288" s="188">
        <v>319</v>
      </c>
      <c r="B288" s="189" t="s">
        <v>1198</v>
      </c>
      <c r="C288" s="188">
        <v>1</v>
      </c>
      <c r="D288" s="189" t="s">
        <v>148</v>
      </c>
      <c r="E288" s="188">
        <v>43</v>
      </c>
      <c r="F288" s="189" t="s">
        <v>190</v>
      </c>
      <c r="G288" s="188">
        <v>4301</v>
      </c>
      <c r="H288" s="189" t="s">
        <v>191</v>
      </c>
      <c r="I288" s="188">
        <v>4301</v>
      </c>
      <c r="J288" s="189" t="s">
        <v>192</v>
      </c>
      <c r="K288" s="191" t="s">
        <v>1199</v>
      </c>
      <c r="L288" s="188">
        <v>4301037</v>
      </c>
      <c r="M288" s="191" t="s">
        <v>1204</v>
      </c>
      <c r="N288" s="188">
        <v>4301037</v>
      </c>
      <c r="O288" s="189" t="s">
        <v>1204</v>
      </c>
      <c r="P288" s="188">
        <v>430103701</v>
      </c>
      <c r="Q288" s="191" t="s">
        <v>1205</v>
      </c>
      <c r="R288" s="188">
        <v>430103701</v>
      </c>
      <c r="S288" s="191" t="s">
        <v>1205</v>
      </c>
      <c r="T288" s="194" t="s">
        <v>69</v>
      </c>
      <c r="U288" s="194">
        <v>12</v>
      </c>
      <c r="V288" s="194"/>
      <c r="W288" s="194">
        <f t="shared" si="14"/>
        <v>12</v>
      </c>
      <c r="X288" s="194">
        <v>12</v>
      </c>
      <c r="Y288" s="195">
        <v>2020003630009</v>
      </c>
      <c r="Z288" s="196" t="s">
        <v>1202</v>
      </c>
      <c r="AA288" s="189" t="s">
        <v>1203</v>
      </c>
      <c r="AB288" s="187">
        <f>20000000-20000000</f>
        <v>0</v>
      </c>
      <c r="AC288" s="185">
        <f>166500000-30000000</f>
        <v>136500000</v>
      </c>
      <c r="AD288" s="180"/>
      <c r="AE288" s="180"/>
      <c r="AF288" s="180"/>
      <c r="AG288" s="180"/>
      <c r="AH288" s="185">
        <v>0</v>
      </c>
      <c r="AI288" s="185"/>
      <c r="AJ288" s="185"/>
      <c r="AK288" s="185">
        <f>90000000-90000000</f>
        <v>0</v>
      </c>
      <c r="AL288" s="187">
        <f t="shared" si="13"/>
        <v>136500000</v>
      </c>
      <c r="AM288" s="198" t="s">
        <v>4</v>
      </c>
    </row>
    <row r="289" spans="1:39" s="200" customFormat="1" ht="84.75" customHeight="1">
      <c r="A289" s="188">
        <v>319</v>
      </c>
      <c r="B289" s="189" t="s">
        <v>1198</v>
      </c>
      <c r="C289" s="188">
        <v>1</v>
      </c>
      <c r="D289" s="189" t="s">
        <v>148</v>
      </c>
      <c r="E289" s="188">
        <v>43</v>
      </c>
      <c r="F289" s="189" t="s">
        <v>190</v>
      </c>
      <c r="G289" s="188">
        <v>4301</v>
      </c>
      <c r="H289" s="189" t="s">
        <v>191</v>
      </c>
      <c r="I289" s="188">
        <v>4301</v>
      </c>
      <c r="J289" s="189" t="s">
        <v>192</v>
      </c>
      <c r="K289" s="191" t="s">
        <v>1199</v>
      </c>
      <c r="L289" s="188">
        <v>4301037</v>
      </c>
      <c r="M289" s="191" t="s">
        <v>1204</v>
      </c>
      <c r="N289" s="188">
        <v>4301037</v>
      </c>
      <c r="O289" s="189" t="s">
        <v>1204</v>
      </c>
      <c r="P289" s="188" t="s">
        <v>1206</v>
      </c>
      <c r="Q289" s="191" t="s">
        <v>1207</v>
      </c>
      <c r="R289" s="188" t="s">
        <v>1206</v>
      </c>
      <c r="S289" s="191" t="s">
        <v>1207</v>
      </c>
      <c r="T289" s="194" t="s">
        <v>69</v>
      </c>
      <c r="U289" s="194">
        <v>12</v>
      </c>
      <c r="V289" s="194"/>
      <c r="W289" s="194">
        <f t="shared" si="14"/>
        <v>12</v>
      </c>
      <c r="X289" s="194">
        <v>12</v>
      </c>
      <c r="Y289" s="195">
        <v>2020003630009</v>
      </c>
      <c r="Z289" s="196" t="s">
        <v>1202</v>
      </c>
      <c r="AA289" s="189" t="s">
        <v>1203</v>
      </c>
      <c r="AB289" s="180">
        <f>530000000-330000000</f>
        <v>200000000</v>
      </c>
      <c r="AC289" s="185">
        <f>80000000+50000000+14405547.65</f>
        <v>144405547.65000001</v>
      </c>
      <c r="AD289" s="180"/>
      <c r="AE289" s="180">
        <v>133682807.56999999</v>
      </c>
      <c r="AF289" s="180"/>
      <c r="AG289" s="180"/>
      <c r="AH289" s="185">
        <f>298552259.2-15000000</f>
        <v>283552259.19999999</v>
      </c>
      <c r="AI289" s="185">
        <v>189262631.31</v>
      </c>
      <c r="AJ289" s="185"/>
      <c r="AK289" s="180">
        <f>480000000+195000000+5000000-7500000+179625098+33466670</f>
        <v>885591768</v>
      </c>
      <c r="AL289" s="187">
        <f t="shared" si="13"/>
        <v>1836495013.73</v>
      </c>
      <c r="AM289" s="198" t="s">
        <v>4</v>
      </c>
    </row>
    <row r="290" spans="1:39" s="200" customFormat="1" ht="84.75" customHeight="1">
      <c r="A290" s="188">
        <v>319</v>
      </c>
      <c r="B290" s="189" t="s">
        <v>1198</v>
      </c>
      <c r="C290" s="188">
        <v>1</v>
      </c>
      <c r="D290" s="189" t="s">
        <v>148</v>
      </c>
      <c r="E290" s="188">
        <v>43</v>
      </c>
      <c r="F290" s="189" t="s">
        <v>190</v>
      </c>
      <c r="G290" s="188">
        <v>4301</v>
      </c>
      <c r="H290" s="189" t="s">
        <v>191</v>
      </c>
      <c r="I290" s="188">
        <v>4301</v>
      </c>
      <c r="J290" s="189" t="s">
        <v>192</v>
      </c>
      <c r="K290" s="191" t="s">
        <v>1199</v>
      </c>
      <c r="L290" s="194" t="s">
        <v>61</v>
      </c>
      <c r="M290" s="191" t="s">
        <v>1208</v>
      </c>
      <c r="N290" s="188">
        <v>4301006</v>
      </c>
      <c r="O290" s="189" t="s">
        <v>1209</v>
      </c>
      <c r="P290" s="194" t="s">
        <v>61</v>
      </c>
      <c r="Q290" s="191" t="s">
        <v>1210</v>
      </c>
      <c r="R290" s="188">
        <v>430100600</v>
      </c>
      <c r="S290" s="191" t="s">
        <v>1211</v>
      </c>
      <c r="T290" s="282" t="s">
        <v>69</v>
      </c>
      <c r="U290" s="194">
        <v>1</v>
      </c>
      <c r="V290" s="194"/>
      <c r="W290" s="194">
        <f t="shared" si="14"/>
        <v>1</v>
      </c>
      <c r="X290" s="194">
        <v>0.6</v>
      </c>
      <c r="Y290" s="195">
        <v>2020003630009</v>
      </c>
      <c r="Z290" s="196" t="s">
        <v>1202</v>
      </c>
      <c r="AA290" s="189" t="s">
        <v>1203</v>
      </c>
      <c r="AB290" s="180">
        <v>0</v>
      </c>
      <c r="AC290" s="260">
        <f>100000000-50000000</f>
        <v>50000000</v>
      </c>
      <c r="AD290" s="180"/>
      <c r="AE290" s="180">
        <v>26000000</v>
      </c>
      <c r="AF290" s="180"/>
      <c r="AG290" s="180"/>
      <c r="AH290" s="197"/>
      <c r="AI290" s="180"/>
      <c r="AJ290" s="260"/>
      <c r="AK290" s="197">
        <v>0</v>
      </c>
      <c r="AL290" s="187">
        <f t="shared" si="13"/>
        <v>76000000</v>
      </c>
      <c r="AM290" s="198" t="s">
        <v>4</v>
      </c>
    </row>
    <row r="291" spans="1:39" s="200" customFormat="1" ht="66.75" customHeight="1">
      <c r="A291" s="188">
        <v>319</v>
      </c>
      <c r="B291" s="189" t="s">
        <v>1198</v>
      </c>
      <c r="C291" s="188">
        <v>1</v>
      </c>
      <c r="D291" s="189" t="s">
        <v>148</v>
      </c>
      <c r="E291" s="188">
        <v>43</v>
      </c>
      <c r="F291" s="189" t="s">
        <v>190</v>
      </c>
      <c r="G291" s="188">
        <v>4302</v>
      </c>
      <c r="H291" s="189" t="s">
        <v>1212</v>
      </c>
      <c r="I291" s="188">
        <v>4302</v>
      </c>
      <c r="J291" s="189" t="s">
        <v>1213</v>
      </c>
      <c r="K291" s="190" t="s">
        <v>1214</v>
      </c>
      <c r="L291" s="325">
        <v>4302075</v>
      </c>
      <c r="M291" s="191" t="s">
        <v>1215</v>
      </c>
      <c r="N291" s="325">
        <v>4302075</v>
      </c>
      <c r="O291" s="189" t="s">
        <v>1215</v>
      </c>
      <c r="P291" s="194">
        <v>430207500</v>
      </c>
      <c r="Q291" s="191" t="s">
        <v>1216</v>
      </c>
      <c r="R291" s="194">
        <v>430207500</v>
      </c>
      <c r="S291" s="191" t="s">
        <v>1216</v>
      </c>
      <c r="T291" s="282" t="s">
        <v>69</v>
      </c>
      <c r="U291" s="194">
        <v>25</v>
      </c>
      <c r="V291" s="194"/>
      <c r="W291" s="194">
        <f t="shared" si="14"/>
        <v>25</v>
      </c>
      <c r="X291" s="194">
        <v>17</v>
      </c>
      <c r="Y291" s="195">
        <v>2020003630010</v>
      </c>
      <c r="Z291" s="196" t="s">
        <v>1217</v>
      </c>
      <c r="AA291" s="196" t="s">
        <v>1218</v>
      </c>
      <c r="AB291" s="180">
        <f>2970000000-1413227407+1201555130.82</f>
        <v>2758327723.8199997</v>
      </c>
      <c r="AC291" s="276">
        <f>325298207+52474+1462010+208578261</f>
        <v>535390952</v>
      </c>
      <c r="AD291" s="180"/>
      <c r="AE291" s="180">
        <v>361351362</v>
      </c>
      <c r="AF291" s="180"/>
      <c r="AG291" s="180"/>
      <c r="AH291" s="197">
        <v>535352417.80000001</v>
      </c>
      <c r="AI291" s="187">
        <v>66436961.920000002</v>
      </c>
      <c r="AJ291" s="276"/>
      <c r="AK291" s="180">
        <v>20000000</v>
      </c>
      <c r="AL291" s="187">
        <f t="shared" si="13"/>
        <v>4276859417.54</v>
      </c>
      <c r="AM291" s="198" t="s">
        <v>4</v>
      </c>
    </row>
    <row r="292" spans="1:39" s="200" customFormat="1" ht="66.75" customHeight="1">
      <c r="A292" s="188">
        <v>319</v>
      </c>
      <c r="B292" s="189" t="s">
        <v>1198</v>
      </c>
      <c r="C292" s="188">
        <v>1</v>
      </c>
      <c r="D292" s="189" t="s">
        <v>148</v>
      </c>
      <c r="E292" s="188">
        <v>43</v>
      </c>
      <c r="F292" s="189" t="s">
        <v>190</v>
      </c>
      <c r="G292" s="188">
        <v>4302</v>
      </c>
      <c r="H292" s="189" t="s">
        <v>1212</v>
      </c>
      <c r="I292" s="188">
        <v>4302</v>
      </c>
      <c r="J292" s="189" t="s">
        <v>1213</v>
      </c>
      <c r="K292" s="190" t="s">
        <v>1214</v>
      </c>
      <c r="L292" s="325">
        <v>4302075</v>
      </c>
      <c r="M292" s="191" t="s">
        <v>1215</v>
      </c>
      <c r="N292" s="325">
        <v>4302004</v>
      </c>
      <c r="O292" s="189" t="s">
        <v>1219</v>
      </c>
      <c r="P292" s="194" t="s">
        <v>61</v>
      </c>
      <c r="Q292" s="191" t="s">
        <v>1220</v>
      </c>
      <c r="R292" s="274">
        <v>430200401</v>
      </c>
      <c r="S292" s="191" t="s">
        <v>1221</v>
      </c>
      <c r="T292" s="282" t="s">
        <v>69</v>
      </c>
      <c r="U292" s="194">
        <v>1</v>
      </c>
      <c r="V292" s="194"/>
      <c r="W292" s="194">
        <f t="shared" si="14"/>
        <v>1</v>
      </c>
      <c r="X292" s="194">
        <v>0.6</v>
      </c>
      <c r="Y292" s="195">
        <v>2020003630013</v>
      </c>
      <c r="Z292" s="196" t="s">
        <v>1222</v>
      </c>
      <c r="AA292" s="189" t="s">
        <v>1223</v>
      </c>
      <c r="AB292" s="180">
        <f>50000000+1413227407+130000000+330000000+20000000+181953667</f>
        <v>2125181074</v>
      </c>
      <c r="AC292" s="276">
        <f>135184145+84900000</f>
        <v>220084145</v>
      </c>
      <c r="AD292" s="180"/>
      <c r="AE292" s="180"/>
      <c r="AF292" s="180"/>
      <c r="AG292" s="180"/>
      <c r="AH292" s="197">
        <v>86652613</v>
      </c>
      <c r="AI292" s="187">
        <v>15000000</v>
      </c>
      <c r="AJ292" s="187"/>
      <c r="AK292" s="180">
        <v>0</v>
      </c>
      <c r="AL292" s="187">
        <f t="shared" si="13"/>
        <v>2446917832</v>
      </c>
      <c r="AM292" s="198" t="s">
        <v>4</v>
      </c>
    </row>
    <row r="293" spans="1:39" s="200" customFormat="1" ht="87" customHeight="1">
      <c r="A293" s="188">
        <v>320</v>
      </c>
      <c r="B293" s="189" t="s">
        <v>1224</v>
      </c>
      <c r="C293" s="188">
        <v>1</v>
      </c>
      <c r="D293" s="189" t="s">
        <v>148</v>
      </c>
      <c r="E293" s="188">
        <v>43</v>
      </c>
      <c r="F293" s="189" t="s">
        <v>190</v>
      </c>
      <c r="G293" s="188">
        <v>4301</v>
      </c>
      <c r="H293" s="189" t="s">
        <v>191</v>
      </c>
      <c r="I293" s="188">
        <v>4301</v>
      </c>
      <c r="J293" s="189" t="s">
        <v>192</v>
      </c>
      <c r="K293" s="189" t="s">
        <v>193</v>
      </c>
      <c r="L293" s="194" t="s">
        <v>61</v>
      </c>
      <c r="M293" s="191" t="s">
        <v>1225</v>
      </c>
      <c r="N293" s="188">
        <v>4301004</v>
      </c>
      <c r="O293" s="183" t="s">
        <v>195</v>
      </c>
      <c r="P293" s="194" t="s">
        <v>61</v>
      </c>
      <c r="Q293" s="191" t="s">
        <v>1226</v>
      </c>
      <c r="R293" s="186">
        <v>430100401</v>
      </c>
      <c r="S293" s="183" t="s">
        <v>197</v>
      </c>
      <c r="T293" s="192" t="s">
        <v>157</v>
      </c>
      <c r="U293" s="194">
        <v>3</v>
      </c>
      <c r="V293" s="194"/>
      <c r="W293" s="194">
        <f t="shared" ref="W293:W302" si="15">+U293+V293</f>
        <v>3</v>
      </c>
      <c r="X293" s="194">
        <v>2</v>
      </c>
      <c r="Y293" s="195">
        <v>2020003630142</v>
      </c>
      <c r="Z293" s="196" t="s">
        <v>1227</v>
      </c>
      <c r="AA293" s="183" t="s">
        <v>1228</v>
      </c>
      <c r="AB293" s="364">
        <f>1500000000-130000000</f>
        <v>1370000000</v>
      </c>
      <c r="AC293" s="180"/>
      <c r="AD293" s="180"/>
      <c r="AE293" s="180"/>
      <c r="AF293" s="180"/>
      <c r="AG293" s="180"/>
      <c r="AH293" s="197"/>
      <c r="AI293" s="185">
        <f>40000000+52000000</f>
        <v>92000000</v>
      </c>
      <c r="AJ293" s="185"/>
      <c r="AK293" s="180"/>
      <c r="AL293" s="187">
        <f t="shared" si="13"/>
        <v>1462000000</v>
      </c>
      <c r="AM293" s="198" t="s">
        <v>3</v>
      </c>
    </row>
    <row r="294" spans="1:39" s="200" customFormat="1" ht="66.75" customHeight="1">
      <c r="A294" s="188">
        <v>320</v>
      </c>
      <c r="B294" s="189" t="s">
        <v>1224</v>
      </c>
      <c r="C294" s="188">
        <v>1</v>
      </c>
      <c r="D294" s="189" t="s">
        <v>148</v>
      </c>
      <c r="E294" s="188">
        <v>22</v>
      </c>
      <c r="F294" s="189" t="s">
        <v>160</v>
      </c>
      <c r="G294" s="188">
        <v>2201</v>
      </c>
      <c r="H294" s="189" t="s">
        <v>298</v>
      </c>
      <c r="I294" s="188">
        <v>2201</v>
      </c>
      <c r="J294" s="189" t="s">
        <v>162</v>
      </c>
      <c r="K294" s="189" t="s">
        <v>163</v>
      </c>
      <c r="L294" s="194" t="s">
        <v>61</v>
      </c>
      <c r="M294" s="191" t="s">
        <v>666</v>
      </c>
      <c r="N294" s="186">
        <v>2201062</v>
      </c>
      <c r="O294" s="189" t="s">
        <v>165</v>
      </c>
      <c r="P294" s="194" t="s">
        <v>61</v>
      </c>
      <c r="Q294" s="191" t="s">
        <v>166</v>
      </c>
      <c r="R294" s="188">
        <v>220106200</v>
      </c>
      <c r="S294" s="190" t="s">
        <v>167</v>
      </c>
      <c r="T294" s="192" t="s">
        <v>157</v>
      </c>
      <c r="U294" s="188">
        <v>15</v>
      </c>
      <c r="V294" s="188">
        <v>7</v>
      </c>
      <c r="W294" s="194">
        <f t="shared" si="15"/>
        <v>22</v>
      </c>
      <c r="X294" s="194">
        <v>6</v>
      </c>
      <c r="Y294" s="195">
        <v>2020003630143</v>
      </c>
      <c r="Z294" s="196" t="s">
        <v>1229</v>
      </c>
      <c r="AA294" s="183" t="s">
        <v>1230</v>
      </c>
      <c r="AB294" s="187">
        <v>1138923248</v>
      </c>
      <c r="AC294" s="180"/>
      <c r="AD294" s="180"/>
      <c r="AE294" s="180"/>
      <c r="AF294" s="180"/>
      <c r="AG294" s="180"/>
      <c r="AH294" s="197"/>
      <c r="AI294" s="180">
        <v>57387924</v>
      </c>
      <c r="AJ294" s="180"/>
      <c r="AK294" s="256"/>
      <c r="AL294" s="187">
        <f t="shared" si="13"/>
        <v>1196311172</v>
      </c>
      <c r="AM294" s="198" t="s">
        <v>3</v>
      </c>
    </row>
    <row r="295" spans="1:39" s="200" customFormat="1" ht="66.75" customHeight="1">
      <c r="A295" s="188">
        <v>320</v>
      </c>
      <c r="B295" s="189" t="s">
        <v>1224</v>
      </c>
      <c r="C295" s="188">
        <v>3</v>
      </c>
      <c r="D295" s="189" t="s">
        <v>212</v>
      </c>
      <c r="E295" s="188">
        <v>24</v>
      </c>
      <c r="F295" s="189" t="s">
        <v>213</v>
      </c>
      <c r="G295" s="188">
        <v>2402</v>
      </c>
      <c r="H295" s="189" t="s">
        <v>214</v>
      </c>
      <c r="I295" s="188">
        <v>2402</v>
      </c>
      <c r="J295" s="189" t="s">
        <v>215</v>
      </c>
      <c r="K295" s="183" t="s">
        <v>1231</v>
      </c>
      <c r="L295" s="194" t="s">
        <v>61</v>
      </c>
      <c r="M295" s="191" t="s">
        <v>223</v>
      </c>
      <c r="N295" s="186">
        <v>2402041</v>
      </c>
      <c r="O295" s="189" t="s">
        <v>224</v>
      </c>
      <c r="P295" s="194" t="s">
        <v>61</v>
      </c>
      <c r="Q295" s="191" t="s">
        <v>225</v>
      </c>
      <c r="R295" s="186">
        <v>240204100</v>
      </c>
      <c r="S295" s="183" t="s">
        <v>226</v>
      </c>
      <c r="T295" s="192" t="s">
        <v>69</v>
      </c>
      <c r="U295" s="181">
        <v>70.379000000000005</v>
      </c>
      <c r="V295" s="181"/>
      <c r="W295" s="194">
        <f t="shared" si="15"/>
        <v>70.379000000000005</v>
      </c>
      <c r="X295" s="194">
        <v>0</v>
      </c>
      <c r="Y295" s="195">
        <v>2020003630144</v>
      </c>
      <c r="Z295" s="196" t="s">
        <v>1232</v>
      </c>
      <c r="AA295" s="189" t="s">
        <v>1499</v>
      </c>
      <c r="AB295" s="180"/>
      <c r="AC295" s="180"/>
      <c r="AD295" s="180"/>
      <c r="AE295" s="180"/>
      <c r="AF295" s="180"/>
      <c r="AG295" s="180"/>
      <c r="AH295" s="197"/>
      <c r="AI295" s="185">
        <f>520000000+100000000-127643232-52000000</f>
        <v>440356768</v>
      </c>
      <c r="AJ295" s="185"/>
      <c r="AK295" s="180"/>
      <c r="AL295" s="187">
        <f t="shared" si="13"/>
        <v>440356768</v>
      </c>
      <c r="AM295" s="198" t="s">
        <v>3</v>
      </c>
    </row>
    <row r="296" spans="1:39" s="200" customFormat="1" ht="66.75" customHeight="1">
      <c r="A296" s="188">
        <v>320</v>
      </c>
      <c r="B296" s="189" t="s">
        <v>1224</v>
      </c>
      <c r="C296" s="188">
        <v>3</v>
      </c>
      <c r="D296" s="189" t="s">
        <v>212</v>
      </c>
      <c r="E296" s="188">
        <v>40</v>
      </c>
      <c r="F296" s="189" t="s">
        <v>241</v>
      </c>
      <c r="G296" s="188">
        <v>4001</v>
      </c>
      <c r="H296" s="189" t="s">
        <v>242</v>
      </c>
      <c r="I296" s="188">
        <v>4001</v>
      </c>
      <c r="J296" s="189" t="s">
        <v>243</v>
      </c>
      <c r="K296" s="189" t="s">
        <v>244</v>
      </c>
      <c r="L296" s="258">
        <v>4001001</v>
      </c>
      <c r="M296" s="191" t="s">
        <v>1233</v>
      </c>
      <c r="N296" s="326">
        <v>4001001</v>
      </c>
      <c r="O296" s="189" t="s">
        <v>1233</v>
      </c>
      <c r="P296" s="194" t="s">
        <v>1234</v>
      </c>
      <c r="Q296" s="191" t="s">
        <v>1235</v>
      </c>
      <c r="R296" s="194" t="s">
        <v>1234</v>
      </c>
      <c r="S296" s="191" t="s">
        <v>1235</v>
      </c>
      <c r="T296" s="192" t="s">
        <v>157</v>
      </c>
      <c r="U296" s="194">
        <v>3</v>
      </c>
      <c r="V296" s="194">
        <v>3</v>
      </c>
      <c r="W296" s="194">
        <f t="shared" si="15"/>
        <v>6</v>
      </c>
      <c r="X296" s="194">
        <v>3</v>
      </c>
      <c r="Y296" s="195">
        <v>2020003630145</v>
      </c>
      <c r="Z296" s="196" t="s">
        <v>1236</v>
      </c>
      <c r="AA296" s="189" t="s">
        <v>1237</v>
      </c>
      <c r="AB296" s="187"/>
      <c r="AC296" s="180"/>
      <c r="AD296" s="180"/>
      <c r="AE296" s="180"/>
      <c r="AF296" s="180"/>
      <c r="AG296" s="180"/>
      <c r="AH296" s="197"/>
      <c r="AI296" s="180">
        <f>25000000+60000000+25000000-4846152</f>
        <v>105153848</v>
      </c>
      <c r="AJ296" s="180"/>
      <c r="AK296" s="256"/>
      <c r="AL296" s="187">
        <f t="shared" si="13"/>
        <v>105153848</v>
      </c>
      <c r="AM296" s="198" t="s">
        <v>3</v>
      </c>
    </row>
    <row r="297" spans="1:39" s="200" customFormat="1" ht="66.75" customHeight="1">
      <c r="A297" s="188">
        <v>320</v>
      </c>
      <c r="B297" s="189" t="s">
        <v>1224</v>
      </c>
      <c r="C297" s="188">
        <v>3</v>
      </c>
      <c r="D297" s="189" t="s">
        <v>212</v>
      </c>
      <c r="E297" s="188">
        <v>40</v>
      </c>
      <c r="F297" s="189" t="s">
        <v>241</v>
      </c>
      <c r="G297" s="188">
        <v>4001</v>
      </c>
      <c r="H297" s="189" t="s">
        <v>242</v>
      </c>
      <c r="I297" s="188">
        <v>4001</v>
      </c>
      <c r="J297" s="189" t="s">
        <v>243</v>
      </c>
      <c r="K297" s="189" t="s">
        <v>1238</v>
      </c>
      <c r="L297" s="258">
        <v>4001017</v>
      </c>
      <c r="M297" s="191" t="s">
        <v>1239</v>
      </c>
      <c r="N297" s="326">
        <v>4001017</v>
      </c>
      <c r="O297" s="189" t="s">
        <v>1239</v>
      </c>
      <c r="P297" s="194" t="s">
        <v>1240</v>
      </c>
      <c r="Q297" s="191" t="s">
        <v>1241</v>
      </c>
      <c r="R297" s="194" t="s">
        <v>1240</v>
      </c>
      <c r="S297" s="191" t="s">
        <v>1241</v>
      </c>
      <c r="T297" s="194" t="s">
        <v>157</v>
      </c>
      <c r="U297" s="194">
        <v>25</v>
      </c>
      <c r="V297" s="194">
        <v>59</v>
      </c>
      <c r="W297" s="194">
        <f t="shared" si="15"/>
        <v>84</v>
      </c>
      <c r="X297" s="194">
        <v>0</v>
      </c>
      <c r="Y297" s="195">
        <v>2020003630145</v>
      </c>
      <c r="Z297" s="196" t="s">
        <v>1236</v>
      </c>
      <c r="AA297" s="189" t="s">
        <v>1237</v>
      </c>
      <c r="AB297" s="187">
        <f>170000000-168500000</f>
        <v>1500000</v>
      </c>
      <c r="AC297" s="180"/>
      <c r="AD297" s="180"/>
      <c r="AE297" s="180"/>
      <c r="AF297" s="180"/>
      <c r="AG297" s="180"/>
      <c r="AH297" s="197"/>
      <c r="AI297" s="187">
        <f>200000000-150000000+14100873</f>
        <v>64100873</v>
      </c>
      <c r="AJ297" s="187"/>
      <c r="AK297" s="256"/>
      <c r="AL297" s="187">
        <f t="shared" si="13"/>
        <v>65600873</v>
      </c>
      <c r="AM297" s="198" t="s">
        <v>3</v>
      </c>
    </row>
    <row r="298" spans="1:39" s="200" customFormat="1" ht="66.75" customHeight="1">
      <c r="A298" s="188">
        <v>320</v>
      </c>
      <c r="B298" s="189" t="s">
        <v>1224</v>
      </c>
      <c r="C298" s="188">
        <v>3</v>
      </c>
      <c r="D298" s="189" t="s">
        <v>212</v>
      </c>
      <c r="E298" s="188">
        <v>40</v>
      </c>
      <c r="F298" s="189" t="s">
        <v>241</v>
      </c>
      <c r="G298" s="188">
        <v>4001</v>
      </c>
      <c r="H298" s="189" t="s">
        <v>242</v>
      </c>
      <c r="I298" s="188">
        <v>4001</v>
      </c>
      <c r="J298" s="189" t="s">
        <v>243</v>
      </c>
      <c r="K298" s="189" t="s">
        <v>244</v>
      </c>
      <c r="L298" s="258">
        <v>4001018</v>
      </c>
      <c r="M298" s="191" t="s">
        <v>1242</v>
      </c>
      <c r="N298" s="326">
        <v>4001018</v>
      </c>
      <c r="O298" s="189" t="s">
        <v>1242</v>
      </c>
      <c r="P298" s="194" t="s">
        <v>1243</v>
      </c>
      <c r="Q298" s="191" t="s">
        <v>1244</v>
      </c>
      <c r="R298" s="194" t="s">
        <v>1243</v>
      </c>
      <c r="S298" s="191" t="s">
        <v>1244</v>
      </c>
      <c r="T298" s="194" t="s">
        <v>157</v>
      </c>
      <c r="U298" s="194">
        <v>75</v>
      </c>
      <c r="V298" s="194">
        <v>173</v>
      </c>
      <c r="W298" s="194">
        <f t="shared" si="15"/>
        <v>248</v>
      </c>
      <c r="X298" s="194">
        <v>0</v>
      </c>
      <c r="Y298" s="195">
        <v>2020003630145</v>
      </c>
      <c r="Z298" s="196" t="s">
        <v>1236</v>
      </c>
      <c r="AA298" s="189" t="s">
        <v>1237</v>
      </c>
      <c r="AB298" s="187">
        <f>350000000-38000000</f>
        <v>312000000</v>
      </c>
      <c r="AC298" s="180"/>
      <c r="AD298" s="180"/>
      <c r="AE298" s="180"/>
      <c r="AF298" s="180"/>
      <c r="AG298" s="180"/>
      <c r="AH298" s="197"/>
      <c r="AI298" s="180">
        <v>25000000</v>
      </c>
      <c r="AJ298" s="180"/>
      <c r="AK298" s="256"/>
      <c r="AL298" s="187">
        <f t="shared" si="13"/>
        <v>337000000</v>
      </c>
      <c r="AM298" s="198" t="s">
        <v>3</v>
      </c>
    </row>
    <row r="299" spans="1:39" s="200" customFormat="1" ht="66.75" customHeight="1">
      <c r="A299" s="188">
        <v>320</v>
      </c>
      <c r="B299" s="189" t="s">
        <v>1224</v>
      </c>
      <c r="C299" s="188">
        <v>3</v>
      </c>
      <c r="D299" s="189" t="s">
        <v>212</v>
      </c>
      <c r="E299" s="188">
        <v>40</v>
      </c>
      <c r="F299" s="189" t="s">
        <v>241</v>
      </c>
      <c r="G299" s="188">
        <v>4001</v>
      </c>
      <c r="H299" s="189" t="s">
        <v>242</v>
      </c>
      <c r="I299" s="188">
        <v>4001</v>
      </c>
      <c r="J299" s="189" t="s">
        <v>243</v>
      </c>
      <c r="K299" s="189" t="s">
        <v>244</v>
      </c>
      <c r="L299" s="258">
        <v>4001030</v>
      </c>
      <c r="M299" s="191" t="s">
        <v>1245</v>
      </c>
      <c r="N299" s="326">
        <v>4001030</v>
      </c>
      <c r="O299" s="189" t="s">
        <v>1245</v>
      </c>
      <c r="P299" s="194" t="s">
        <v>1246</v>
      </c>
      <c r="Q299" s="191" t="s">
        <v>268</v>
      </c>
      <c r="R299" s="194" t="s">
        <v>1246</v>
      </c>
      <c r="S299" s="191" t="s">
        <v>268</v>
      </c>
      <c r="T299" s="192" t="s">
        <v>157</v>
      </c>
      <c r="U299" s="194">
        <v>3</v>
      </c>
      <c r="V299" s="194">
        <v>6</v>
      </c>
      <c r="W299" s="194">
        <f t="shared" si="15"/>
        <v>9</v>
      </c>
      <c r="X299" s="194">
        <v>0</v>
      </c>
      <c r="Y299" s="195">
        <v>2020003630145</v>
      </c>
      <c r="Z299" s="196" t="s">
        <v>1236</v>
      </c>
      <c r="AA299" s="189" t="s">
        <v>1237</v>
      </c>
      <c r="AB299" s="187"/>
      <c r="AC299" s="180"/>
      <c r="AD299" s="180"/>
      <c r="AE299" s="180"/>
      <c r="AF299" s="180"/>
      <c r="AG299" s="180"/>
      <c r="AH299" s="185"/>
      <c r="AI299" s="180">
        <v>10000000</v>
      </c>
      <c r="AJ299" s="180"/>
      <c r="AK299" s="256"/>
      <c r="AL299" s="187">
        <f t="shared" si="13"/>
        <v>10000000</v>
      </c>
      <c r="AM299" s="198" t="s">
        <v>3</v>
      </c>
    </row>
    <row r="300" spans="1:39" s="200" customFormat="1" ht="66.75" customHeight="1">
      <c r="A300" s="188">
        <v>320</v>
      </c>
      <c r="B300" s="189" t="s">
        <v>1224</v>
      </c>
      <c r="C300" s="188">
        <v>3</v>
      </c>
      <c r="D300" s="189" t="s">
        <v>212</v>
      </c>
      <c r="E300" s="188">
        <v>40</v>
      </c>
      <c r="F300" s="189" t="s">
        <v>241</v>
      </c>
      <c r="G300" s="188">
        <v>4001</v>
      </c>
      <c r="H300" s="189" t="s">
        <v>242</v>
      </c>
      <c r="I300" s="188">
        <v>4001</v>
      </c>
      <c r="J300" s="189" t="s">
        <v>243</v>
      </c>
      <c r="K300" s="189" t="s">
        <v>244</v>
      </c>
      <c r="L300" s="258">
        <v>4001031</v>
      </c>
      <c r="M300" s="191" t="s">
        <v>1247</v>
      </c>
      <c r="N300" s="326">
        <v>4001031</v>
      </c>
      <c r="O300" s="189" t="s">
        <v>1247</v>
      </c>
      <c r="P300" s="194">
        <v>400103103</v>
      </c>
      <c r="Q300" s="191" t="s">
        <v>1248</v>
      </c>
      <c r="R300" s="194">
        <v>400103103</v>
      </c>
      <c r="S300" s="191" t="s">
        <v>1248</v>
      </c>
      <c r="T300" s="192" t="s">
        <v>157</v>
      </c>
      <c r="U300" s="194">
        <v>8</v>
      </c>
      <c r="V300" s="194">
        <v>16</v>
      </c>
      <c r="W300" s="194">
        <f t="shared" si="15"/>
        <v>24</v>
      </c>
      <c r="X300" s="194">
        <v>0</v>
      </c>
      <c r="Y300" s="195">
        <v>2020003630145</v>
      </c>
      <c r="Z300" s="196" t="s">
        <v>1236</v>
      </c>
      <c r="AA300" s="189" t="s">
        <v>1237</v>
      </c>
      <c r="AB300" s="187"/>
      <c r="AC300" s="180"/>
      <c r="AD300" s="180"/>
      <c r="AE300" s="180"/>
      <c r="AF300" s="180"/>
      <c r="AG300" s="180"/>
      <c r="AH300" s="185"/>
      <c r="AI300" s="180">
        <v>186000587</v>
      </c>
      <c r="AJ300" s="180"/>
      <c r="AK300" s="256"/>
      <c r="AL300" s="187">
        <f t="shared" si="13"/>
        <v>186000587</v>
      </c>
      <c r="AM300" s="198" t="s">
        <v>3</v>
      </c>
    </row>
    <row r="301" spans="1:39" s="200" customFormat="1" ht="66.75" customHeight="1">
      <c r="A301" s="188">
        <v>320</v>
      </c>
      <c r="B301" s="189" t="s">
        <v>1224</v>
      </c>
      <c r="C301" s="188">
        <v>3</v>
      </c>
      <c r="D301" s="189" t="s">
        <v>212</v>
      </c>
      <c r="E301" s="188">
        <v>40</v>
      </c>
      <c r="F301" s="189" t="s">
        <v>241</v>
      </c>
      <c r="G301" s="188">
        <v>4001</v>
      </c>
      <c r="H301" s="189" t="s">
        <v>242</v>
      </c>
      <c r="I301" s="188">
        <v>4001</v>
      </c>
      <c r="J301" s="189" t="s">
        <v>243</v>
      </c>
      <c r="K301" s="189" t="s">
        <v>1238</v>
      </c>
      <c r="L301" s="258" t="s">
        <v>1249</v>
      </c>
      <c r="M301" s="191" t="s">
        <v>1250</v>
      </c>
      <c r="N301" s="326" t="s">
        <v>1249</v>
      </c>
      <c r="O301" s="189" t="s">
        <v>1250</v>
      </c>
      <c r="P301" s="194" t="s">
        <v>1251</v>
      </c>
      <c r="Q301" s="191" t="s">
        <v>1250</v>
      </c>
      <c r="R301" s="194" t="s">
        <v>1251</v>
      </c>
      <c r="S301" s="191" t="s">
        <v>1250</v>
      </c>
      <c r="T301" s="192" t="s">
        <v>157</v>
      </c>
      <c r="U301" s="194">
        <v>30</v>
      </c>
      <c r="V301" s="194">
        <v>70</v>
      </c>
      <c r="W301" s="194">
        <f t="shared" si="15"/>
        <v>100</v>
      </c>
      <c r="X301" s="194">
        <v>0</v>
      </c>
      <c r="Y301" s="195">
        <v>2020003630145</v>
      </c>
      <c r="Z301" s="196" t="s">
        <v>1236</v>
      </c>
      <c r="AA301" s="189" t="s">
        <v>1237</v>
      </c>
      <c r="AB301" s="187"/>
      <c r="AC301" s="180"/>
      <c r="AD301" s="180"/>
      <c r="AE301" s="180"/>
      <c r="AF301" s="180"/>
      <c r="AG301" s="180"/>
      <c r="AH301" s="185"/>
      <c r="AI301" s="180">
        <f>35000000-25000000</f>
        <v>10000000</v>
      </c>
      <c r="AJ301" s="180"/>
      <c r="AK301" s="256"/>
      <c r="AL301" s="187">
        <f t="shared" si="13"/>
        <v>10000000</v>
      </c>
      <c r="AM301" s="198" t="s">
        <v>3</v>
      </c>
    </row>
    <row r="302" spans="1:39" s="200" customFormat="1" ht="66.75" customHeight="1">
      <c r="A302" s="188">
        <v>320</v>
      </c>
      <c r="B302" s="189" t="s">
        <v>1224</v>
      </c>
      <c r="C302" s="188">
        <v>3</v>
      </c>
      <c r="D302" s="189" t="s">
        <v>212</v>
      </c>
      <c r="E302" s="188">
        <v>40</v>
      </c>
      <c r="F302" s="189" t="s">
        <v>241</v>
      </c>
      <c r="G302" s="188">
        <v>4001</v>
      </c>
      <c r="H302" s="189" t="s">
        <v>242</v>
      </c>
      <c r="I302" s="188">
        <v>4001</v>
      </c>
      <c r="J302" s="189" t="s">
        <v>243</v>
      </c>
      <c r="K302" s="189" t="s">
        <v>244</v>
      </c>
      <c r="L302" s="258" t="s">
        <v>1252</v>
      </c>
      <c r="M302" s="191" t="s">
        <v>247</v>
      </c>
      <c r="N302" s="326" t="s">
        <v>1252</v>
      </c>
      <c r="O302" s="189" t="s">
        <v>247</v>
      </c>
      <c r="P302" s="194">
        <v>400101500</v>
      </c>
      <c r="Q302" s="191" t="s">
        <v>247</v>
      </c>
      <c r="R302" s="194">
        <v>400101500</v>
      </c>
      <c r="S302" s="191" t="s">
        <v>247</v>
      </c>
      <c r="T302" s="192" t="s">
        <v>157</v>
      </c>
      <c r="U302" s="188">
        <v>120</v>
      </c>
      <c r="V302" s="188">
        <v>166</v>
      </c>
      <c r="W302" s="194">
        <f t="shared" si="15"/>
        <v>286</v>
      </c>
      <c r="X302" s="194">
        <v>0</v>
      </c>
      <c r="Y302" s="195">
        <v>2020003630145</v>
      </c>
      <c r="Z302" s="196" t="s">
        <v>1236</v>
      </c>
      <c r="AA302" s="189" t="s">
        <v>1237</v>
      </c>
      <c r="AB302" s="187">
        <v>206500000</v>
      </c>
      <c r="AC302" s="180"/>
      <c r="AD302" s="180"/>
      <c r="AE302" s="180"/>
      <c r="AF302" s="180"/>
      <c r="AG302" s="180"/>
      <c r="AH302" s="185"/>
      <c r="AI302" s="180">
        <f>260000000-260000000</f>
        <v>0</v>
      </c>
      <c r="AJ302" s="180"/>
      <c r="AK302" s="256"/>
      <c r="AL302" s="187">
        <f t="shared" si="13"/>
        <v>206500000</v>
      </c>
      <c r="AM302" s="198" t="s">
        <v>3</v>
      </c>
    </row>
    <row r="303" spans="1:39" s="200" customFormat="1" ht="66.75" customHeight="1">
      <c r="A303" s="188">
        <v>320</v>
      </c>
      <c r="B303" s="189" t="s">
        <v>147</v>
      </c>
      <c r="C303" s="188">
        <v>3</v>
      </c>
      <c r="D303" s="189" t="s">
        <v>212</v>
      </c>
      <c r="E303" s="188">
        <v>40</v>
      </c>
      <c r="F303" s="189" t="s">
        <v>241</v>
      </c>
      <c r="G303" s="188">
        <v>4003</v>
      </c>
      <c r="H303" s="189" t="s">
        <v>250</v>
      </c>
      <c r="I303" s="188">
        <v>4003</v>
      </c>
      <c r="J303" s="189" t="s">
        <v>251</v>
      </c>
      <c r="K303" s="183" t="s">
        <v>252</v>
      </c>
      <c r="L303" s="186">
        <v>4003025</v>
      </c>
      <c r="M303" s="191" t="s">
        <v>263</v>
      </c>
      <c r="N303" s="186">
        <v>4003025</v>
      </c>
      <c r="O303" s="183" t="s">
        <v>263</v>
      </c>
      <c r="P303" s="181">
        <v>400302500</v>
      </c>
      <c r="Q303" s="263" t="s">
        <v>264</v>
      </c>
      <c r="R303" s="181">
        <v>400302500</v>
      </c>
      <c r="S303" s="263" t="s">
        <v>264</v>
      </c>
      <c r="T303" s="192" t="s">
        <v>157</v>
      </c>
      <c r="U303" s="181">
        <v>1</v>
      </c>
      <c r="V303" s="183"/>
      <c r="W303" s="194">
        <f>U303+V303</f>
        <v>1</v>
      </c>
      <c r="X303" s="194">
        <v>3</v>
      </c>
      <c r="Y303" s="195">
        <v>2023003630001</v>
      </c>
      <c r="Z303" s="191" t="s">
        <v>1477</v>
      </c>
      <c r="AA303" s="189" t="s">
        <v>1498</v>
      </c>
      <c r="AB303" s="187">
        <v>130000000</v>
      </c>
      <c r="AC303" s="180"/>
      <c r="AD303" s="180"/>
      <c r="AE303" s="180"/>
      <c r="AF303" s="180"/>
      <c r="AG303" s="180"/>
      <c r="AH303" s="184"/>
      <c r="AI303" s="185">
        <v>20000000</v>
      </c>
      <c r="AJ303" s="185"/>
      <c r="AK303" s="180"/>
      <c r="AL303" s="187">
        <f t="shared" si="13"/>
        <v>150000000</v>
      </c>
      <c r="AM303" s="198" t="s">
        <v>3</v>
      </c>
    </row>
    <row r="304" spans="1:39" s="200" customFormat="1" ht="66.75" customHeight="1">
      <c r="A304" s="188">
        <v>320</v>
      </c>
      <c r="B304" s="189" t="s">
        <v>1224</v>
      </c>
      <c r="C304" s="188">
        <v>4</v>
      </c>
      <c r="D304" s="189" t="s">
        <v>59</v>
      </c>
      <c r="E304" s="188">
        <v>45</v>
      </c>
      <c r="F304" s="251" t="s">
        <v>60</v>
      </c>
      <c r="G304" s="188" t="s">
        <v>61</v>
      </c>
      <c r="H304" s="189" t="s">
        <v>1253</v>
      </c>
      <c r="I304" s="188">
        <v>4599</v>
      </c>
      <c r="J304" s="189" t="s">
        <v>63</v>
      </c>
      <c r="K304" s="189" t="s">
        <v>64</v>
      </c>
      <c r="L304" s="258" t="s">
        <v>61</v>
      </c>
      <c r="M304" s="191" t="s">
        <v>273</v>
      </c>
      <c r="N304" s="186" t="s">
        <v>274</v>
      </c>
      <c r="O304" s="189" t="s">
        <v>167</v>
      </c>
      <c r="P304" s="194" t="s">
        <v>61</v>
      </c>
      <c r="Q304" s="189" t="s">
        <v>1254</v>
      </c>
      <c r="R304" s="186">
        <v>459901600</v>
      </c>
      <c r="S304" s="190" t="s">
        <v>167</v>
      </c>
      <c r="T304" s="192" t="s">
        <v>157</v>
      </c>
      <c r="U304" s="188">
        <v>4</v>
      </c>
      <c r="V304" s="188"/>
      <c r="W304" s="194">
        <v>4</v>
      </c>
      <c r="X304" s="194">
        <v>3</v>
      </c>
      <c r="Y304" s="195">
        <v>2022003630006</v>
      </c>
      <c r="Z304" s="196" t="s">
        <v>1255</v>
      </c>
      <c r="AA304" s="180" t="s">
        <v>277</v>
      </c>
      <c r="AB304" s="187"/>
      <c r="AC304" s="187"/>
      <c r="AD304" s="187"/>
      <c r="AE304" s="187"/>
      <c r="AF304" s="187"/>
      <c r="AG304" s="187"/>
      <c r="AH304" s="197"/>
      <c r="AI304" s="180">
        <f>386000000+158000000</f>
        <v>544000000</v>
      </c>
      <c r="AJ304" s="180"/>
      <c r="AK304" s="187"/>
      <c r="AL304" s="187">
        <f t="shared" si="13"/>
        <v>544000000</v>
      </c>
      <c r="AM304" s="198" t="s">
        <v>3</v>
      </c>
    </row>
    <row r="305" spans="1:39" s="200" customFormat="1" ht="66.75" customHeight="1">
      <c r="A305" s="188">
        <v>321</v>
      </c>
      <c r="B305" s="189" t="s">
        <v>1256</v>
      </c>
      <c r="C305" s="188">
        <v>3</v>
      </c>
      <c r="D305" s="189" t="s">
        <v>212</v>
      </c>
      <c r="E305" s="188">
        <v>24</v>
      </c>
      <c r="F305" s="189" t="s">
        <v>213</v>
      </c>
      <c r="G305" s="188">
        <v>2409</v>
      </c>
      <c r="H305" s="190" t="s">
        <v>1257</v>
      </c>
      <c r="I305" s="188">
        <v>2409</v>
      </c>
      <c r="J305" s="190" t="s">
        <v>1258</v>
      </c>
      <c r="K305" s="191" t="s">
        <v>1259</v>
      </c>
      <c r="L305" s="194" t="s">
        <v>61</v>
      </c>
      <c r="M305" s="191" t="s">
        <v>1260</v>
      </c>
      <c r="N305" s="188">
        <v>2409009</v>
      </c>
      <c r="O305" s="189" t="s">
        <v>1261</v>
      </c>
      <c r="P305" s="194" t="s">
        <v>61</v>
      </c>
      <c r="Q305" s="191" t="s">
        <v>1262</v>
      </c>
      <c r="R305" s="188">
        <v>240900900</v>
      </c>
      <c r="S305" s="191" t="s">
        <v>1263</v>
      </c>
      <c r="T305" s="194" t="s">
        <v>69</v>
      </c>
      <c r="U305" s="194">
        <v>1</v>
      </c>
      <c r="V305" s="194"/>
      <c r="W305" s="194">
        <f>U305+V305</f>
        <v>1</v>
      </c>
      <c r="X305" s="194">
        <v>1</v>
      </c>
      <c r="Y305" s="195">
        <v>2020003630149</v>
      </c>
      <c r="Z305" s="196" t="s">
        <v>1264</v>
      </c>
      <c r="AA305" s="189" t="s">
        <v>1265</v>
      </c>
      <c r="AB305" s="180"/>
      <c r="AC305" s="180"/>
      <c r="AD305" s="180"/>
      <c r="AE305" s="180"/>
      <c r="AF305" s="180"/>
      <c r="AG305" s="180"/>
      <c r="AH305" s="197"/>
      <c r="AI305" s="187">
        <f>26791548-19791548</f>
        <v>7000000</v>
      </c>
      <c r="AJ305" s="187"/>
      <c r="AK305" s="180"/>
      <c r="AL305" s="187">
        <f t="shared" si="13"/>
        <v>7000000</v>
      </c>
      <c r="AM305" s="198" t="s">
        <v>1</v>
      </c>
    </row>
    <row r="306" spans="1:39" s="200" customFormat="1" ht="66.75" customHeight="1">
      <c r="A306" s="188">
        <v>321</v>
      </c>
      <c r="B306" s="189" t="s">
        <v>1256</v>
      </c>
      <c r="C306" s="188">
        <v>3</v>
      </c>
      <c r="D306" s="189" t="s">
        <v>212</v>
      </c>
      <c r="E306" s="188">
        <v>24</v>
      </c>
      <c r="F306" s="189" t="s">
        <v>213</v>
      </c>
      <c r="G306" s="188">
        <v>2409</v>
      </c>
      <c r="H306" s="190" t="s">
        <v>1257</v>
      </c>
      <c r="I306" s="188">
        <v>2409</v>
      </c>
      <c r="J306" s="190" t="s">
        <v>1258</v>
      </c>
      <c r="K306" s="191" t="s">
        <v>1259</v>
      </c>
      <c r="L306" s="194" t="s">
        <v>61</v>
      </c>
      <c r="M306" s="191" t="s">
        <v>1266</v>
      </c>
      <c r="N306" s="188">
        <v>2409022</v>
      </c>
      <c r="O306" s="189" t="s">
        <v>1267</v>
      </c>
      <c r="P306" s="194" t="s">
        <v>61</v>
      </c>
      <c r="Q306" s="191" t="s">
        <v>1268</v>
      </c>
      <c r="R306" s="188">
        <v>240902202</v>
      </c>
      <c r="S306" s="191" t="s">
        <v>1269</v>
      </c>
      <c r="T306" s="194" t="s">
        <v>69</v>
      </c>
      <c r="U306" s="194">
        <v>1</v>
      </c>
      <c r="V306" s="194"/>
      <c r="W306" s="194">
        <f>U306+V306</f>
        <v>1</v>
      </c>
      <c r="X306" s="194">
        <v>1</v>
      </c>
      <c r="Y306" s="195">
        <v>2020003630149</v>
      </c>
      <c r="Z306" s="196" t="s">
        <v>1264</v>
      </c>
      <c r="AA306" s="189" t="s">
        <v>1265</v>
      </c>
      <c r="AB306" s="180"/>
      <c r="AC306" s="180"/>
      <c r="AD306" s="180"/>
      <c r="AE306" s="180"/>
      <c r="AF306" s="180"/>
      <c r="AG306" s="180"/>
      <c r="AH306" s="197"/>
      <c r="AI306" s="187">
        <f>15750567+10499433+7875000</f>
        <v>34125000</v>
      </c>
      <c r="AJ306" s="187"/>
      <c r="AK306" s="180"/>
      <c r="AL306" s="187">
        <f t="shared" si="13"/>
        <v>34125000</v>
      </c>
      <c r="AM306" s="198" t="s">
        <v>1</v>
      </c>
    </row>
    <row r="307" spans="1:39" s="200" customFormat="1" ht="66.75" customHeight="1">
      <c r="A307" s="188">
        <v>321</v>
      </c>
      <c r="B307" s="189" t="s">
        <v>1256</v>
      </c>
      <c r="C307" s="188">
        <v>3</v>
      </c>
      <c r="D307" s="189" t="s">
        <v>212</v>
      </c>
      <c r="E307" s="188">
        <v>24</v>
      </c>
      <c r="F307" s="189" t="s">
        <v>213</v>
      </c>
      <c r="G307" s="188">
        <v>2409</v>
      </c>
      <c r="H307" s="190" t="s">
        <v>1257</v>
      </c>
      <c r="I307" s="188">
        <v>2409</v>
      </c>
      <c r="J307" s="190" t="s">
        <v>1258</v>
      </c>
      <c r="K307" s="191" t="s">
        <v>1259</v>
      </c>
      <c r="L307" s="194" t="s">
        <v>61</v>
      </c>
      <c r="M307" s="191" t="s">
        <v>1270</v>
      </c>
      <c r="N307" s="188">
        <v>2409014</v>
      </c>
      <c r="O307" s="189" t="s">
        <v>254</v>
      </c>
      <c r="P307" s="194" t="s">
        <v>61</v>
      </c>
      <c r="Q307" s="191" t="s">
        <v>1271</v>
      </c>
      <c r="R307" s="188">
        <v>240901400</v>
      </c>
      <c r="S307" s="191" t="s">
        <v>1272</v>
      </c>
      <c r="T307" s="194" t="s">
        <v>69</v>
      </c>
      <c r="U307" s="194">
        <v>1</v>
      </c>
      <c r="V307" s="194"/>
      <c r="W307" s="194">
        <f>U307+V307</f>
        <v>1</v>
      </c>
      <c r="X307" s="194">
        <v>1</v>
      </c>
      <c r="Y307" s="195">
        <v>2020003630149</v>
      </c>
      <c r="Z307" s="196" t="s">
        <v>1264</v>
      </c>
      <c r="AA307" s="189" t="s">
        <v>1265</v>
      </c>
      <c r="AB307" s="180"/>
      <c r="AC307" s="180"/>
      <c r="AD307" s="180"/>
      <c r="AE307" s="180"/>
      <c r="AF307" s="180"/>
      <c r="AG307" s="180"/>
      <c r="AH307" s="197"/>
      <c r="AI307" s="187">
        <f>26250000-10499433+5249433+26250000</f>
        <v>47250000</v>
      </c>
      <c r="AJ307" s="187"/>
      <c r="AK307" s="180"/>
      <c r="AL307" s="187">
        <f t="shared" si="13"/>
        <v>47250000</v>
      </c>
      <c r="AM307" s="198" t="s">
        <v>1</v>
      </c>
    </row>
    <row r="308" spans="1:39" s="200" customFormat="1" ht="66.75" customHeight="1">
      <c r="A308" s="201">
        <v>321</v>
      </c>
      <c r="B308" s="202" t="s">
        <v>1256</v>
      </c>
      <c r="C308" s="201">
        <v>3</v>
      </c>
      <c r="D308" s="202" t="s">
        <v>212</v>
      </c>
      <c r="E308" s="201">
        <v>24</v>
      </c>
      <c r="F308" s="202" t="s">
        <v>213</v>
      </c>
      <c r="G308" s="201">
        <v>2409</v>
      </c>
      <c r="H308" s="202" t="s">
        <v>1257</v>
      </c>
      <c r="I308" s="201">
        <v>2409</v>
      </c>
      <c r="J308" s="202" t="s">
        <v>1258</v>
      </c>
      <c r="K308" s="203" t="s">
        <v>1259</v>
      </c>
      <c r="L308" s="204" t="s">
        <v>61</v>
      </c>
      <c r="M308" s="191" t="s">
        <v>1273</v>
      </c>
      <c r="N308" s="201">
        <v>2409039</v>
      </c>
      <c r="O308" s="202" t="s">
        <v>1274</v>
      </c>
      <c r="P308" s="204" t="s">
        <v>61</v>
      </c>
      <c r="Q308" s="203" t="s">
        <v>1275</v>
      </c>
      <c r="R308" s="201">
        <v>240903905</v>
      </c>
      <c r="S308" s="203" t="s">
        <v>1276</v>
      </c>
      <c r="T308" s="204" t="s">
        <v>69</v>
      </c>
      <c r="U308" s="204">
        <v>1</v>
      </c>
      <c r="V308" s="204"/>
      <c r="W308" s="204">
        <f>U308+V308</f>
        <v>1</v>
      </c>
      <c r="X308" s="204">
        <v>0.35</v>
      </c>
      <c r="Y308" s="356">
        <v>2020003630149</v>
      </c>
      <c r="Z308" s="205" t="s">
        <v>1264</v>
      </c>
      <c r="AA308" s="202" t="s">
        <v>1265</v>
      </c>
      <c r="AB308" s="206"/>
      <c r="AC308" s="206"/>
      <c r="AD308" s="206"/>
      <c r="AE308" s="206"/>
      <c r="AF308" s="206"/>
      <c r="AG308" s="206"/>
      <c r="AH308" s="207"/>
      <c r="AI308" s="208">
        <f>50140535-13124433-6458452+50000000</f>
        <v>80557650</v>
      </c>
      <c r="AJ308" s="208"/>
      <c r="AK308" s="206"/>
      <c r="AL308" s="187">
        <f t="shared" si="13"/>
        <v>80557650</v>
      </c>
      <c r="AM308" s="209" t="s">
        <v>1</v>
      </c>
    </row>
    <row r="309" spans="1:39" s="334" customFormat="1" ht="26.25" customHeight="1">
      <c r="A309" s="245" t="s">
        <v>1277</v>
      </c>
      <c r="B309" s="327"/>
      <c r="C309" s="328"/>
      <c r="D309" s="329"/>
      <c r="E309" s="330"/>
      <c r="F309" s="329"/>
      <c r="G309" s="330"/>
      <c r="H309" s="327"/>
      <c r="I309" s="327"/>
      <c r="J309" s="327"/>
      <c r="K309" s="329"/>
      <c r="L309" s="330"/>
      <c r="M309" s="343"/>
      <c r="N309" s="331"/>
      <c r="O309" s="329"/>
      <c r="P309" s="329"/>
      <c r="Q309" s="327"/>
      <c r="R309" s="330"/>
      <c r="S309" s="327"/>
      <c r="T309" s="332"/>
      <c r="U309" s="330"/>
      <c r="V309" s="330"/>
      <c r="W309" s="330"/>
      <c r="X309" s="330"/>
      <c r="Y309" s="330"/>
      <c r="Z309" s="327"/>
      <c r="AA309" s="327"/>
      <c r="AB309" s="210">
        <f t="shared" ref="AB309:AL309" si="16">SUBTOTAL(9,AB6:AB308)</f>
        <v>27414310009.34</v>
      </c>
      <c r="AC309" s="210">
        <f t="shared" si="16"/>
        <v>7822226288.3299999</v>
      </c>
      <c r="AD309" s="210">
        <f t="shared" si="16"/>
        <v>7968751666.3899994</v>
      </c>
      <c r="AE309" s="210">
        <f t="shared" si="16"/>
        <v>48835247172.649994</v>
      </c>
      <c r="AF309" s="210">
        <f t="shared" si="16"/>
        <v>187615011537.45999</v>
      </c>
      <c r="AG309" s="210">
        <f t="shared" si="16"/>
        <v>3720411051.8400002</v>
      </c>
      <c r="AH309" s="210">
        <f t="shared" si="16"/>
        <v>60581676686</v>
      </c>
      <c r="AI309" s="210">
        <f t="shared" si="16"/>
        <v>15486329180.249998</v>
      </c>
      <c r="AJ309" s="210">
        <f t="shared" si="16"/>
        <v>34750000000</v>
      </c>
      <c r="AK309" s="210">
        <f t="shared" si="16"/>
        <v>67082620771.420006</v>
      </c>
      <c r="AL309" s="210">
        <f t="shared" si="16"/>
        <v>461276584363.67987</v>
      </c>
      <c r="AM309" s="333"/>
    </row>
    <row r="310" spans="1:39">
      <c r="M310" s="345"/>
      <c r="N310" s="240"/>
      <c r="O310" s="345"/>
    </row>
    <row r="311" spans="1:39">
      <c r="M311" s="345"/>
      <c r="N311" s="240"/>
      <c r="O311" s="345"/>
    </row>
    <row r="312" spans="1:39">
      <c r="M312" s="345"/>
      <c r="N312" s="240"/>
      <c r="O312" s="345"/>
    </row>
    <row r="313" spans="1:39">
      <c r="M313" s="345"/>
      <c r="N313" s="240"/>
      <c r="O313" s="345"/>
    </row>
    <row r="317" spans="1:39" ht="15.75">
      <c r="AB317" s="9"/>
    </row>
    <row r="325" spans="34:34">
      <c r="AH325" s="340">
        <f>2024-1998</f>
        <v>26</v>
      </c>
    </row>
  </sheetData>
  <sortState ref="A7:XET295">
    <sortCondition ref="A7:A295"/>
  </sortState>
  <mergeCells count="13">
    <mergeCell ref="AB5:AM5"/>
    <mergeCell ref="C1:AK1"/>
    <mergeCell ref="A5:B5"/>
    <mergeCell ref="C5:D5"/>
    <mergeCell ref="E5:F5"/>
    <mergeCell ref="Y5:AA5"/>
    <mergeCell ref="P5:S5"/>
    <mergeCell ref="G5:K5"/>
    <mergeCell ref="L5:O5"/>
    <mergeCell ref="T5:W5"/>
    <mergeCell ref="C4:AK4"/>
    <mergeCell ref="C2:AK2"/>
    <mergeCell ref="C3:AK3"/>
  </mergeCells>
  <conditionalFormatting sqref="P130">
    <cfRule type="duplicateValues" dxfId="67" priority="365"/>
  </conditionalFormatting>
  <conditionalFormatting sqref="P130">
    <cfRule type="duplicateValues" dxfId="66" priority="366"/>
  </conditionalFormatting>
  <conditionalFormatting sqref="P131">
    <cfRule type="duplicateValues" dxfId="65" priority="363"/>
  </conditionalFormatting>
  <conditionalFormatting sqref="P131">
    <cfRule type="duplicateValues" dxfId="64" priority="364"/>
  </conditionalFormatting>
  <conditionalFormatting sqref="R130">
    <cfRule type="duplicateValues" dxfId="63" priority="361"/>
  </conditionalFormatting>
  <conditionalFormatting sqref="R130">
    <cfRule type="duplicateValues" dxfId="62" priority="362"/>
  </conditionalFormatting>
  <conditionalFormatting sqref="R131">
    <cfRule type="duplicateValues" dxfId="61" priority="359"/>
  </conditionalFormatting>
  <conditionalFormatting sqref="R131">
    <cfRule type="duplicateValues" dxfId="60" priority="360"/>
  </conditionalFormatting>
  <conditionalFormatting sqref="R178">
    <cfRule type="duplicateValues" dxfId="59" priority="353"/>
  </conditionalFormatting>
  <conditionalFormatting sqref="R178">
    <cfRule type="duplicateValues" dxfId="58" priority="354"/>
  </conditionalFormatting>
  <conditionalFormatting sqref="P178">
    <cfRule type="duplicateValues" dxfId="57" priority="351"/>
  </conditionalFormatting>
  <conditionalFormatting sqref="P178">
    <cfRule type="duplicateValues" dxfId="56" priority="352"/>
  </conditionalFormatting>
  <conditionalFormatting sqref="R196">
    <cfRule type="duplicateValues" dxfId="55" priority="349"/>
  </conditionalFormatting>
  <conditionalFormatting sqref="R197">
    <cfRule type="duplicateValues" dxfId="54" priority="348"/>
  </conditionalFormatting>
  <conditionalFormatting sqref="R199">
    <cfRule type="duplicateValues" dxfId="53" priority="347"/>
  </conditionalFormatting>
  <conditionalFormatting sqref="R200">
    <cfRule type="duplicateValues" dxfId="52" priority="344"/>
  </conditionalFormatting>
  <conditionalFormatting sqref="R200">
    <cfRule type="duplicateValues" dxfId="51" priority="345"/>
  </conditionalFormatting>
  <conditionalFormatting sqref="R200">
    <cfRule type="duplicateValues" dxfId="50" priority="346"/>
  </conditionalFormatting>
  <conditionalFormatting sqref="R198">
    <cfRule type="duplicateValues" dxfId="49" priority="350"/>
  </conditionalFormatting>
  <conditionalFormatting sqref="P196">
    <cfRule type="duplicateValues" dxfId="48" priority="329"/>
  </conditionalFormatting>
  <conditionalFormatting sqref="P197">
    <cfRule type="duplicateValues" dxfId="47" priority="328"/>
  </conditionalFormatting>
  <conditionalFormatting sqref="P198">
    <cfRule type="duplicateValues" dxfId="46" priority="327"/>
  </conditionalFormatting>
  <conditionalFormatting sqref="P199">
    <cfRule type="duplicateValues" dxfId="45" priority="326"/>
  </conditionalFormatting>
  <conditionalFormatting sqref="P200">
    <cfRule type="duplicateValues" dxfId="44" priority="323"/>
  </conditionalFormatting>
  <conditionalFormatting sqref="P200">
    <cfRule type="duplicateValues" dxfId="43" priority="324"/>
  </conditionalFormatting>
  <conditionalFormatting sqref="P200">
    <cfRule type="duplicateValues" dxfId="42" priority="325"/>
  </conditionalFormatting>
  <conditionalFormatting sqref="R215">
    <cfRule type="duplicateValues" dxfId="41" priority="41"/>
  </conditionalFormatting>
  <conditionalFormatting sqref="R215">
    <cfRule type="duplicateValues" dxfId="40" priority="42"/>
  </conditionalFormatting>
  <conditionalFormatting sqref="R220">
    <cfRule type="duplicateValues" dxfId="39" priority="39"/>
  </conditionalFormatting>
  <conditionalFormatting sqref="R220">
    <cfRule type="duplicateValues" dxfId="38" priority="40"/>
  </conditionalFormatting>
  <conditionalFormatting sqref="R204">
    <cfRule type="duplicateValues" dxfId="37" priority="37"/>
  </conditionalFormatting>
  <conditionalFormatting sqref="R204">
    <cfRule type="duplicateValues" dxfId="36" priority="38"/>
  </conditionalFormatting>
  <conditionalFormatting sqref="R209">
    <cfRule type="duplicateValues" dxfId="35" priority="35"/>
  </conditionalFormatting>
  <conditionalFormatting sqref="R209">
    <cfRule type="duplicateValues" dxfId="34" priority="36"/>
  </conditionalFormatting>
  <conditionalFormatting sqref="R210">
    <cfRule type="duplicateValues" dxfId="33" priority="33"/>
  </conditionalFormatting>
  <conditionalFormatting sqref="R210">
    <cfRule type="duplicateValues" dxfId="32" priority="34"/>
  </conditionalFormatting>
  <conditionalFormatting sqref="R211">
    <cfRule type="duplicateValues" dxfId="31" priority="31"/>
  </conditionalFormatting>
  <conditionalFormatting sqref="R211">
    <cfRule type="duplicateValues" dxfId="30" priority="32"/>
  </conditionalFormatting>
  <conditionalFormatting sqref="R212">
    <cfRule type="duplicateValues" dxfId="29" priority="29"/>
  </conditionalFormatting>
  <conditionalFormatting sqref="R212">
    <cfRule type="duplicateValues" dxfId="28" priority="30"/>
  </conditionalFormatting>
  <conditionalFormatting sqref="P215">
    <cfRule type="duplicateValues" dxfId="27" priority="27"/>
  </conditionalFormatting>
  <conditionalFormatting sqref="P215">
    <cfRule type="duplicateValues" dxfId="26" priority="28"/>
  </conditionalFormatting>
  <conditionalFormatting sqref="P220">
    <cfRule type="duplicateValues" dxfId="25" priority="25"/>
  </conditionalFormatting>
  <conditionalFormatting sqref="P220">
    <cfRule type="duplicateValues" dxfId="24" priority="26"/>
  </conditionalFormatting>
  <conditionalFormatting sqref="P204">
    <cfRule type="duplicateValues" dxfId="23" priority="23"/>
  </conditionalFormatting>
  <conditionalFormatting sqref="P204">
    <cfRule type="duplicateValues" dxfId="22" priority="24"/>
  </conditionalFormatting>
  <conditionalFormatting sqref="P209">
    <cfRule type="duplicateValues" dxfId="21" priority="21"/>
  </conditionalFormatting>
  <conditionalFormatting sqref="P209">
    <cfRule type="duplicateValues" dxfId="20" priority="22"/>
  </conditionalFormatting>
  <conditionalFormatting sqref="P210">
    <cfRule type="duplicateValues" dxfId="19" priority="19"/>
  </conditionalFormatting>
  <conditionalFormatting sqref="P210">
    <cfRule type="duplicateValues" dxfId="18" priority="20"/>
  </conditionalFormatting>
  <conditionalFormatting sqref="P211">
    <cfRule type="duplicateValues" dxfId="17" priority="17"/>
  </conditionalFormatting>
  <conditionalFormatting sqref="P211">
    <cfRule type="duplicateValues" dxfId="16" priority="18"/>
  </conditionalFormatting>
  <conditionalFormatting sqref="P212">
    <cfRule type="duplicateValues" dxfId="15" priority="15"/>
  </conditionalFormatting>
  <conditionalFormatting sqref="P212">
    <cfRule type="duplicateValues" dxfId="14" priority="16"/>
  </conditionalFormatting>
  <conditionalFormatting sqref="R238">
    <cfRule type="duplicateValues" dxfId="13" priority="14"/>
  </conditionalFormatting>
  <conditionalFormatting sqref="R246">
    <cfRule type="duplicateValues" dxfId="12" priority="12"/>
  </conditionalFormatting>
  <conditionalFormatting sqref="R246">
    <cfRule type="duplicateValues" dxfId="11" priority="13"/>
  </conditionalFormatting>
  <conditionalFormatting sqref="R253">
    <cfRule type="duplicateValues" dxfId="10" priority="10"/>
  </conditionalFormatting>
  <conditionalFormatting sqref="R253">
    <cfRule type="duplicateValues" dxfId="9" priority="11"/>
  </conditionalFormatting>
  <conditionalFormatting sqref="R254">
    <cfRule type="duplicateValues" dxfId="8" priority="8"/>
  </conditionalFormatting>
  <conditionalFormatting sqref="R254">
    <cfRule type="duplicateValues" dxfId="7" priority="9"/>
  </conditionalFormatting>
  <conditionalFormatting sqref="P238">
    <cfRule type="duplicateValues" dxfId="6" priority="7"/>
  </conditionalFormatting>
  <conditionalFormatting sqref="P246">
    <cfRule type="duplicateValues" dxfId="5" priority="5"/>
  </conditionalFormatting>
  <conditionalFormatting sqref="P246">
    <cfRule type="duplicateValues" dxfId="4" priority="6"/>
  </conditionalFormatting>
  <conditionalFormatting sqref="P253">
    <cfRule type="duplicateValues" dxfId="3" priority="3"/>
  </conditionalFormatting>
  <conditionalFormatting sqref="P253">
    <cfRule type="duplicateValues" dxfId="2" priority="4"/>
  </conditionalFormatting>
  <conditionalFormatting sqref="P254">
    <cfRule type="duplicateValues" dxfId="1" priority="1"/>
  </conditionalFormatting>
  <conditionalFormatting sqref="P254">
    <cfRule type="duplicateValues" dxfId="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E197"/>
  <sheetViews>
    <sheetView showGridLines="0" zoomScale="70" zoomScaleNormal="70" workbookViewId="0">
      <selection sqref="A1:E3"/>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16384" width="11.42578125" style="1"/>
  </cols>
  <sheetData>
    <row r="1" spans="1:5" ht="30.75" customHeight="1">
      <c r="A1" s="403" t="s">
        <v>1492</v>
      </c>
      <c r="B1" s="404"/>
      <c r="C1" s="404"/>
      <c r="D1" s="404"/>
      <c r="E1" s="405"/>
    </row>
    <row r="2" spans="1:5" ht="30.75" customHeight="1">
      <c r="A2" s="406"/>
      <c r="B2" s="407"/>
      <c r="C2" s="407"/>
      <c r="D2" s="407"/>
      <c r="E2" s="408"/>
    </row>
    <row r="3" spans="1:5" ht="30.75" customHeight="1">
      <c r="A3" s="409"/>
      <c r="B3" s="410"/>
      <c r="C3" s="410"/>
      <c r="D3" s="410"/>
      <c r="E3" s="411"/>
    </row>
    <row r="4" spans="1:5" ht="9.75" customHeight="1">
      <c r="A4" s="10"/>
      <c r="B4" s="11"/>
      <c r="C4" s="11"/>
      <c r="D4" s="11"/>
      <c r="E4" s="11"/>
    </row>
    <row r="5" spans="1:5" s="3" customFormat="1" ht="56.25" customHeight="1">
      <c r="A5" s="83" t="s">
        <v>23</v>
      </c>
      <c r="B5" s="84" t="s">
        <v>24</v>
      </c>
      <c r="C5" s="401" t="s">
        <v>25</v>
      </c>
      <c r="D5" s="402"/>
      <c r="E5" s="85" t="s">
        <v>1278</v>
      </c>
    </row>
    <row r="6" spans="1:5" s="4" customFormat="1" ht="24" customHeight="1">
      <c r="A6" s="56" t="s">
        <v>1279</v>
      </c>
      <c r="B6" s="62"/>
      <c r="C6" s="62"/>
      <c r="D6" s="63"/>
      <c r="E6" s="64">
        <f>E7</f>
        <v>14299509202</v>
      </c>
    </row>
    <row r="7" spans="1:5" s="4" customFormat="1" ht="24" customHeight="1">
      <c r="A7" s="100">
        <v>4</v>
      </c>
      <c r="B7" s="101" t="s">
        <v>1280</v>
      </c>
      <c r="C7" s="101"/>
      <c r="D7" s="101"/>
      <c r="E7" s="102">
        <f>E8</f>
        <v>14299509202</v>
      </c>
    </row>
    <row r="8" spans="1:5" ht="24" customHeight="1">
      <c r="A8" s="25"/>
      <c r="B8" s="115">
        <v>45</v>
      </c>
      <c r="C8" s="107" t="s">
        <v>60</v>
      </c>
      <c r="D8" s="113"/>
      <c r="E8" s="109">
        <f>SUM(E9:E10)</f>
        <v>14299509202</v>
      </c>
    </row>
    <row r="9" spans="1:5" ht="70.5" customHeight="1">
      <c r="A9" s="26"/>
      <c r="B9" s="27"/>
      <c r="C9" s="28">
        <v>4502</v>
      </c>
      <c r="D9" s="23" t="s">
        <v>1281</v>
      </c>
      <c r="E9" s="29">
        <f>'POAI SEPTIEMBRE 2023'!AL9</f>
        <v>125910000</v>
      </c>
    </row>
    <row r="10" spans="1:5" ht="53.25" customHeight="1">
      <c r="A10" s="30"/>
      <c r="B10" s="31"/>
      <c r="C10" s="32">
        <v>4599</v>
      </c>
      <c r="D10" s="33" t="s">
        <v>1282</v>
      </c>
      <c r="E10" s="34">
        <f>'POAI SEPTIEMBRE 2023'!AL7+'POAI SEPTIEMBRE 2023'!AL8+'POAI SEPTIEMBRE 2023'!AL10</f>
        <v>14173599202</v>
      </c>
    </row>
    <row r="11" spans="1:5" ht="15.75">
      <c r="A11" s="19"/>
      <c r="B11" s="19"/>
      <c r="C11" s="19"/>
      <c r="D11" s="8"/>
      <c r="E11" s="8"/>
    </row>
    <row r="12" spans="1:5" s="4" customFormat="1" ht="24" customHeight="1">
      <c r="A12" s="70" t="s">
        <v>1283</v>
      </c>
      <c r="B12" s="71"/>
      <c r="C12" s="71"/>
      <c r="D12" s="72"/>
      <c r="E12" s="73">
        <f>E13</f>
        <v>1457064026</v>
      </c>
    </row>
    <row r="13" spans="1:5" ht="24" customHeight="1">
      <c r="A13" s="103">
        <v>4</v>
      </c>
      <c r="B13" s="104" t="s">
        <v>1280</v>
      </c>
      <c r="C13" s="104"/>
      <c r="D13" s="104"/>
      <c r="E13" s="105">
        <f>E14</f>
        <v>1457064026</v>
      </c>
    </row>
    <row r="14" spans="1:5" ht="24" customHeight="1">
      <c r="A14" s="25"/>
      <c r="B14" s="115">
        <v>45</v>
      </c>
      <c r="C14" s="107" t="s">
        <v>60</v>
      </c>
      <c r="D14" s="113"/>
      <c r="E14" s="109">
        <f>SUM(E15:E16)</f>
        <v>1457064026</v>
      </c>
    </row>
    <row r="15" spans="1:5" ht="56.25" customHeight="1">
      <c r="A15" s="35"/>
      <c r="B15" s="36"/>
      <c r="C15" s="28">
        <v>4502</v>
      </c>
      <c r="D15" s="23" t="s">
        <v>1281</v>
      </c>
      <c r="E15" s="29">
        <f>'POAI SEPTIEMBRE 2023'!AL11+'POAI SEPTIEMBRE 2023'!AL12</f>
        <v>195000000</v>
      </c>
    </row>
    <row r="16" spans="1:5" ht="56.25" customHeight="1">
      <c r="A16" s="31"/>
      <c r="B16" s="37"/>
      <c r="C16" s="28">
        <v>4599</v>
      </c>
      <c r="D16" s="23" t="s">
        <v>1282</v>
      </c>
      <c r="E16" s="29">
        <f>'POAI SEPTIEMBRE 2023'!AL13+'POAI SEPTIEMBRE 2023'!AL14+'POAI SEPTIEMBRE 2023'!AL15+'POAI SEPTIEMBRE 2023'!AL16+'POAI SEPTIEMBRE 2023'!AL17+'POAI SEPTIEMBRE 2023'!AL18+'POAI SEPTIEMBRE 2023'!AL19+'POAI SEPTIEMBRE 2023'!AL20+'POAI SEPTIEMBRE 2023'!AL21+'POAI SEPTIEMBRE 2023'!AL22</f>
        <v>1262064026</v>
      </c>
    </row>
    <row r="17" spans="1:5" ht="18" customHeight="1"/>
    <row r="18" spans="1:5" ht="24" customHeight="1">
      <c r="A18" s="70" t="s">
        <v>1284</v>
      </c>
      <c r="B18" s="71"/>
      <c r="C18" s="71"/>
      <c r="D18" s="72"/>
      <c r="E18" s="73">
        <f>E19</f>
        <v>5228695734</v>
      </c>
    </row>
    <row r="19" spans="1:5" ht="24" customHeight="1">
      <c r="A19" s="103">
        <v>4</v>
      </c>
      <c r="B19" s="104" t="s">
        <v>1280</v>
      </c>
      <c r="C19" s="104"/>
      <c r="D19" s="104"/>
      <c r="E19" s="105">
        <f>E20</f>
        <v>5228695734</v>
      </c>
    </row>
    <row r="20" spans="1:5" ht="24" customHeight="1">
      <c r="A20" s="25"/>
      <c r="B20" s="115">
        <v>45</v>
      </c>
      <c r="C20" s="107" t="s">
        <v>60</v>
      </c>
      <c r="D20" s="113"/>
      <c r="E20" s="109">
        <f>E21</f>
        <v>5228695734</v>
      </c>
    </row>
    <row r="21" spans="1:5" ht="70.5" customHeight="1">
      <c r="A21" s="31"/>
      <c r="B21" s="22"/>
      <c r="C21" s="14">
        <v>4599</v>
      </c>
      <c r="D21" s="23" t="s">
        <v>1282</v>
      </c>
      <c r="E21" s="29">
        <f>'POAI SEPTIEMBRE 2023'!AL23+'POAI SEPTIEMBRE 2023'!AL24</f>
        <v>5228695734</v>
      </c>
    </row>
    <row r="22" spans="1:5" s="39" customFormat="1">
      <c r="A22" s="5"/>
      <c r="B22" s="5"/>
      <c r="C22" s="5"/>
      <c r="D22" s="6"/>
      <c r="E22" s="38"/>
    </row>
    <row r="23" spans="1:5" ht="24" customHeight="1">
      <c r="A23" s="56" t="s">
        <v>1285</v>
      </c>
      <c r="B23" s="62"/>
      <c r="C23" s="62"/>
      <c r="D23" s="63"/>
      <c r="E23" s="64">
        <f>E24+E42+E50+E37</f>
        <v>95388240819.809998</v>
      </c>
    </row>
    <row r="24" spans="1:5" ht="24" customHeight="1">
      <c r="A24" s="100">
        <v>1</v>
      </c>
      <c r="B24" s="101" t="s">
        <v>1286</v>
      </c>
      <c r="C24" s="101"/>
      <c r="D24" s="101"/>
      <c r="E24" s="102">
        <f>E25+E29+E31+E35+E33+E27</f>
        <v>36111014664.099998</v>
      </c>
    </row>
    <row r="25" spans="1:5" ht="24" customHeight="1">
      <c r="A25" s="25"/>
      <c r="B25" s="115">
        <v>12</v>
      </c>
      <c r="C25" s="107" t="s">
        <v>149</v>
      </c>
      <c r="D25" s="113"/>
      <c r="E25" s="109">
        <f>E26</f>
        <v>82327300</v>
      </c>
    </row>
    <row r="26" spans="1:5" ht="61.5" customHeight="1">
      <c r="A26" s="35"/>
      <c r="B26" s="22"/>
      <c r="C26" s="12">
        <v>1202</v>
      </c>
      <c r="D26" s="23" t="s">
        <v>150</v>
      </c>
      <c r="E26" s="29">
        <f>'POAI SEPTIEMBRE 2023'!AL25</f>
        <v>82327300</v>
      </c>
    </row>
    <row r="27" spans="1:5" ht="24" customHeight="1">
      <c r="A27" s="40"/>
      <c r="B27" s="112">
        <v>19</v>
      </c>
      <c r="C27" s="107" t="s">
        <v>756</v>
      </c>
      <c r="D27" s="157"/>
      <c r="E27" s="109">
        <f>E28</f>
        <v>21612200000</v>
      </c>
    </row>
    <row r="28" spans="1:5" ht="64.5" customHeight="1">
      <c r="A28" s="35"/>
      <c r="B28" s="22"/>
      <c r="C28" s="12">
        <v>1903</v>
      </c>
      <c r="D28" s="23" t="s">
        <v>934</v>
      </c>
      <c r="E28" s="29">
        <f>'POAI SEPTIEMBRE 2023'!AL51</f>
        <v>21612200000</v>
      </c>
    </row>
    <row r="29" spans="1:5" ht="24" customHeight="1">
      <c r="A29" s="40"/>
      <c r="B29" s="112">
        <v>22</v>
      </c>
      <c r="C29" s="107" t="s">
        <v>160</v>
      </c>
      <c r="D29" s="108"/>
      <c r="E29" s="109">
        <f>E30</f>
        <v>3207024296</v>
      </c>
    </row>
    <row r="30" spans="1:5" ht="64.5" customHeight="1">
      <c r="A30" s="35"/>
      <c r="B30" s="22"/>
      <c r="C30" s="12">
        <v>2201</v>
      </c>
      <c r="D30" s="23" t="s">
        <v>161</v>
      </c>
      <c r="E30" s="29">
        <f>'POAI SEPTIEMBRE 2023'!AL26</f>
        <v>3207024296</v>
      </c>
    </row>
    <row r="31" spans="1:5" ht="24" customHeight="1">
      <c r="A31" s="40"/>
      <c r="B31" s="112">
        <v>33</v>
      </c>
      <c r="C31" s="114" t="s">
        <v>170</v>
      </c>
      <c r="D31" s="108"/>
      <c r="E31" s="109">
        <f>E32</f>
        <v>73966912</v>
      </c>
    </row>
    <row r="32" spans="1:5" ht="63" customHeight="1">
      <c r="A32" s="35"/>
      <c r="B32" s="22"/>
      <c r="C32" s="12">
        <v>3301</v>
      </c>
      <c r="D32" s="23" t="s">
        <v>171</v>
      </c>
      <c r="E32" s="29">
        <f>'POAI SEPTIEMBRE 2023'!AL27</f>
        <v>73966912</v>
      </c>
    </row>
    <row r="33" spans="1:5" ht="26.25" customHeight="1">
      <c r="A33" s="35"/>
      <c r="B33" s="112">
        <v>41</v>
      </c>
      <c r="C33" s="107" t="s">
        <v>180</v>
      </c>
      <c r="D33" s="108"/>
      <c r="E33" s="109">
        <f>E34</f>
        <v>4879932867</v>
      </c>
    </row>
    <row r="34" spans="1:5" ht="57" customHeight="1">
      <c r="A34" s="35"/>
      <c r="B34" s="22"/>
      <c r="C34" s="12">
        <f>'POAI SEPTIEMBRE 2023'!I28</f>
        <v>4104</v>
      </c>
      <c r="D34" s="23" t="s">
        <v>181</v>
      </c>
      <c r="E34" s="29">
        <f>'POAI SEPTIEMBRE 2023'!AL28+'POAI SEPTIEMBRE 2023'!AL29</f>
        <v>4879932867</v>
      </c>
    </row>
    <row r="35" spans="1:5" ht="24" customHeight="1">
      <c r="A35" s="40"/>
      <c r="B35" s="112">
        <v>43</v>
      </c>
      <c r="C35" s="107" t="s">
        <v>190</v>
      </c>
      <c r="D35" s="107"/>
      <c r="E35" s="109">
        <f>E36</f>
        <v>6255563289.1000004</v>
      </c>
    </row>
    <row r="36" spans="1:5" ht="65.25" customHeight="1">
      <c r="A36" s="31"/>
      <c r="B36" s="22"/>
      <c r="C36" s="12">
        <v>4301</v>
      </c>
      <c r="D36" s="23" t="s">
        <v>1287</v>
      </c>
      <c r="E36" s="29">
        <f>'POAI SEPTIEMBRE 2023'!AL30</f>
        <v>6255563289.1000004</v>
      </c>
    </row>
    <row r="37" spans="1:5" ht="27" customHeight="1">
      <c r="A37" s="100">
        <v>2</v>
      </c>
      <c r="B37" s="101" t="s">
        <v>1288</v>
      </c>
      <c r="C37" s="101"/>
      <c r="D37" s="101"/>
      <c r="E37" s="102">
        <f>+E40+E38</f>
        <v>441000000</v>
      </c>
    </row>
    <row r="38" spans="1:5" ht="27" customHeight="1">
      <c r="A38" s="13"/>
      <c r="B38" s="106">
        <v>17</v>
      </c>
      <c r="C38" s="107" t="s">
        <v>1289</v>
      </c>
      <c r="D38" s="108"/>
      <c r="E38" s="109">
        <f>E39</f>
        <v>41000000</v>
      </c>
    </row>
    <row r="39" spans="1:5" ht="65.25" customHeight="1">
      <c r="A39" s="12"/>
      <c r="B39" s="12"/>
      <c r="C39" s="12">
        <v>1709</v>
      </c>
      <c r="D39" s="23" t="s">
        <v>202</v>
      </c>
      <c r="E39" s="29">
        <f>'POAI SEPTIEMBRE 2023'!AL31+'POAI SEPTIEMBRE 2023'!AL32</f>
        <v>41000000</v>
      </c>
    </row>
    <row r="40" spans="1:5" ht="27" customHeight="1">
      <c r="A40" s="13"/>
      <c r="B40" s="106">
        <v>35</v>
      </c>
      <c r="C40" s="107" t="s">
        <v>418</v>
      </c>
      <c r="D40" s="108"/>
      <c r="E40" s="109">
        <f>E41</f>
        <v>400000000</v>
      </c>
    </row>
    <row r="41" spans="1:5" ht="65.25" customHeight="1">
      <c r="A41" s="244"/>
      <c r="B41" s="12"/>
      <c r="C41" s="12">
        <v>3502</v>
      </c>
      <c r="D41" s="23" t="s">
        <v>419</v>
      </c>
      <c r="E41" s="29">
        <f>'POAI SEPTIEMBRE 2023'!AL53</f>
        <v>400000000</v>
      </c>
    </row>
    <row r="42" spans="1:5" ht="24" customHeight="1">
      <c r="A42" s="100">
        <v>3</v>
      </c>
      <c r="B42" s="101" t="s">
        <v>1290</v>
      </c>
      <c r="C42" s="101"/>
      <c r="D42" s="101"/>
      <c r="E42" s="102">
        <f>E43+E45+E47</f>
        <v>57638606135.709991</v>
      </c>
    </row>
    <row r="43" spans="1:5" ht="24" customHeight="1">
      <c r="A43" s="13"/>
      <c r="B43" s="106">
        <v>24</v>
      </c>
      <c r="C43" s="107" t="s">
        <v>213</v>
      </c>
      <c r="D43" s="107"/>
      <c r="E43" s="109">
        <f>E44</f>
        <v>50231775439.869995</v>
      </c>
    </row>
    <row r="44" spans="1:5" ht="59.25" customHeight="1">
      <c r="A44" s="12"/>
      <c r="B44" s="12"/>
      <c r="C44" s="12">
        <v>2402</v>
      </c>
      <c r="D44" s="23" t="s">
        <v>214</v>
      </c>
      <c r="E44" s="29">
        <f>'POAI SEPTIEMBRE 2023'!AL33+'POAI SEPTIEMBRE 2023'!AL34+'POAI SEPTIEMBRE 2023'!AL35+'POAI SEPTIEMBRE 2023'!AL36+'POAI SEPTIEMBRE 2023'!AL37+'POAI SEPTIEMBRE 2023'!AL52</f>
        <v>50231775439.869995</v>
      </c>
    </row>
    <row r="45" spans="1:5" ht="24" customHeight="1">
      <c r="A45" s="13"/>
      <c r="B45" s="118">
        <v>32</v>
      </c>
      <c r="C45" s="107" t="s">
        <v>227</v>
      </c>
      <c r="D45" s="107"/>
      <c r="E45" s="109">
        <f>E46</f>
        <v>1840000000</v>
      </c>
    </row>
    <row r="46" spans="1:5" ht="54.75" customHeight="1">
      <c r="A46" s="12"/>
      <c r="B46" s="12"/>
      <c r="C46" s="12">
        <v>3205</v>
      </c>
      <c r="D46" s="23" t="s">
        <v>228</v>
      </c>
      <c r="E46" s="29">
        <f>'POAI SEPTIEMBRE 2023'!AL38+'POAI SEPTIEMBRE 2023'!AL39</f>
        <v>1840000000</v>
      </c>
    </row>
    <row r="47" spans="1:5" ht="24" customHeight="1">
      <c r="A47" s="13"/>
      <c r="B47" s="118">
        <v>40</v>
      </c>
      <c r="C47" s="107" t="s">
        <v>1291</v>
      </c>
      <c r="D47" s="108"/>
      <c r="E47" s="109">
        <f>SUM(E48:E49)</f>
        <v>5566830695.8400002</v>
      </c>
    </row>
    <row r="48" spans="1:5" ht="48.75" customHeight="1">
      <c r="A48" s="12"/>
      <c r="B48" s="12"/>
      <c r="C48" s="12">
        <v>4001</v>
      </c>
      <c r="D48" s="23" t="s">
        <v>242</v>
      </c>
      <c r="E48" s="29">
        <f>'POAI SEPTIEMBRE 2023'!AL40</f>
        <v>350000000</v>
      </c>
    </row>
    <row r="49" spans="1:5" ht="59.25" customHeight="1">
      <c r="A49" s="12"/>
      <c r="B49" s="12"/>
      <c r="C49" s="12">
        <v>4003</v>
      </c>
      <c r="D49" s="23" t="s">
        <v>250</v>
      </c>
      <c r="E49" s="29">
        <f>'POAI SEPTIEMBRE 2023'!AL41+'POAI SEPTIEMBRE 2023'!AL42+'POAI SEPTIEMBRE 2023'!AL43+'POAI SEPTIEMBRE 2023'!AL44+'POAI SEPTIEMBRE 2023'!AL45+'POAI SEPTIEMBRE 2023'!AL46</f>
        <v>5216830695.8400002</v>
      </c>
    </row>
    <row r="50" spans="1:5" ht="24" customHeight="1">
      <c r="A50" s="100">
        <v>4</v>
      </c>
      <c r="B50" s="101" t="s">
        <v>1280</v>
      </c>
      <c r="C50" s="101"/>
      <c r="D50" s="101"/>
      <c r="E50" s="102">
        <f>E51</f>
        <v>1197620020</v>
      </c>
    </row>
    <row r="51" spans="1:5" ht="24" customHeight="1">
      <c r="A51" s="13"/>
      <c r="B51" s="106">
        <v>45</v>
      </c>
      <c r="C51" s="107" t="s">
        <v>60</v>
      </c>
      <c r="D51" s="108"/>
      <c r="E51" s="109">
        <f>SUM(E52:E53)</f>
        <v>1197620020</v>
      </c>
    </row>
    <row r="52" spans="1:5" ht="66" customHeight="1">
      <c r="A52" s="12"/>
      <c r="B52" s="12"/>
      <c r="C52" s="12">
        <v>4502</v>
      </c>
      <c r="D52" s="23" t="s">
        <v>1281</v>
      </c>
      <c r="E52" s="29">
        <f>'POAI SEPTIEMBRE 2023'!AL49</f>
        <v>124640634</v>
      </c>
    </row>
    <row r="53" spans="1:5" ht="53.25" customHeight="1">
      <c r="A53" s="12"/>
      <c r="B53" s="12"/>
      <c r="C53" s="12">
        <v>4599</v>
      </c>
      <c r="D53" s="23" t="s">
        <v>1282</v>
      </c>
      <c r="E53" s="29">
        <f>'POAI SEPTIEMBRE 2023'!AL47+'POAI SEPTIEMBRE 2023'!AL48</f>
        <v>1072979386</v>
      </c>
    </row>
    <row r="54" spans="1:5" s="39" customFormat="1">
      <c r="A54" s="5"/>
      <c r="B54" s="5"/>
      <c r="C54" s="58"/>
      <c r="D54" s="59"/>
      <c r="E54" s="38"/>
    </row>
    <row r="55" spans="1:5" ht="24" customHeight="1">
      <c r="A55" s="65" t="s">
        <v>1292</v>
      </c>
      <c r="B55" s="62"/>
      <c r="C55" s="62"/>
      <c r="D55" s="63"/>
      <c r="E55" s="64">
        <f>E56+E68+E73</f>
        <v>9959166049.1399994</v>
      </c>
    </row>
    <row r="56" spans="1:5" ht="24" customHeight="1">
      <c r="A56" s="100">
        <v>1</v>
      </c>
      <c r="B56" s="101" t="s">
        <v>1286</v>
      </c>
      <c r="C56" s="101"/>
      <c r="D56" s="101"/>
      <c r="E56" s="102">
        <f>E57+E61+E63+E66</f>
        <v>8332237735.1399994</v>
      </c>
    </row>
    <row r="57" spans="1:5" ht="24" customHeight="1">
      <c r="A57" s="13"/>
      <c r="B57" s="106">
        <v>12</v>
      </c>
      <c r="C57" s="107" t="s">
        <v>149</v>
      </c>
      <c r="D57" s="108"/>
      <c r="E57" s="109">
        <f>SUM(E58:E60)</f>
        <v>303255000</v>
      </c>
    </row>
    <row r="58" spans="1:5" ht="34.5" customHeight="1">
      <c r="A58" s="7"/>
      <c r="B58" s="27"/>
      <c r="C58" s="22">
        <v>1202</v>
      </c>
      <c r="D58" s="23" t="s">
        <v>150</v>
      </c>
      <c r="E58" s="29">
        <f>'POAI SEPTIEMBRE 2023'!AL54</f>
        <v>169255000</v>
      </c>
    </row>
    <row r="59" spans="1:5" ht="61.5" customHeight="1">
      <c r="A59" s="7"/>
      <c r="B59" s="35"/>
      <c r="C59" s="22">
        <v>1203</v>
      </c>
      <c r="D59" s="23" t="s">
        <v>286</v>
      </c>
      <c r="E59" s="29">
        <f>'POAI SEPTIEMBRE 2023'!AL55</f>
        <v>67000000</v>
      </c>
    </row>
    <row r="60" spans="1:5" ht="60" customHeight="1">
      <c r="A60" s="7"/>
      <c r="B60" s="31"/>
      <c r="C60" s="22">
        <v>1206</v>
      </c>
      <c r="D60" s="23" t="s">
        <v>292</v>
      </c>
      <c r="E60" s="29">
        <f>'POAI SEPTIEMBRE 2023'!AL56</f>
        <v>67000000</v>
      </c>
    </row>
    <row r="61" spans="1:5" ht="24" customHeight="1">
      <c r="A61" s="41"/>
      <c r="B61" s="117">
        <v>22</v>
      </c>
      <c r="C61" s="107" t="s">
        <v>160</v>
      </c>
      <c r="D61" s="108"/>
      <c r="E61" s="109">
        <f>E62</f>
        <v>118089677</v>
      </c>
    </row>
    <row r="62" spans="1:5" ht="75.75" customHeight="1">
      <c r="A62" s="42"/>
      <c r="B62" s="22"/>
      <c r="C62" s="12">
        <v>2201</v>
      </c>
      <c r="D62" s="23" t="s">
        <v>298</v>
      </c>
      <c r="E62" s="29">
        <f>'POAI SEPTIEMBRE 2023'!AL57</f>
        <v>118089677</v>
      </c>
    </row>
    <row r="63" spans="1:5" ht="24" customHeight="1">
      <c r="A63" s="42"/>
      <c r="B63" s="115">
        <v>41</v>
      </c>
      <c r="C63" s="107" t="s">
        <v>304</v>
      </c>
      <c r="D63" s="113"/>
      <c r="E63" s="109">
        <f>SUM(E64:E65)</f>
        <v>532616497</v>
      </c>
    </row>
    <row r="64" spans="1:5" ht="44.25" customHeight="1">
      <c r="A64" s="7"/>
      <c r="B64" s="27"/>
      <c r="C64" s="22">
        <v>4101</v>
      </c>
      <c r="D64" s="23" t="s">
        <v>305</v>
      </c>
      <c r="E64" s="29">
        <f>'POAI SEPTIEMBRE 2023'!AL58+'POAI SEPTIEMBRE 2023'!AL59+'POAI SEPTIEMBRE 2023'!AL60+'POAI SEPTIEMBRE 2023'!AL61+'POAI SEPTIEMBRE 2023'!AL62</f>
        <v>497116497</v>
      </c>
    </row>
    <row r="65" spans="1:5" ht="57" customHeight="1">
      <c r="A65" s="7"/>
      <c r="B65" s="31"/>
      <c r="C65" s="22">
        <v>4103</v>
      </c>
      <c r="D65" s="23" t="s">
        <v>322</v>
      </c>
      <c r="E65" s="29">
        <f>'POAI SEPTIEMBRE 2023'!AL63</f>
        <v>35500000</v>
      </c>
    </row>
    <row r="66" spans="1:5" ht="24" customHeight="1">
      <c r="A66" s="41"/>
      <c r="B66" s="117">
        <v>45</v>
      </c>
      <c r="C66" s="107" t="s">
        <v>60</v>
      </c>
      <c r="D66" s="113"/>
      <c r="E66" s="109">
        <f>E67</f>
        <v>7378276561.1399994</v>
      </c>
    </row>
    <row r="67" spans="1:5" ht="53.25" customHeight="1">
      <c r="A67" s="37"/>
      <c r="B67" s="22"/>
      <c r="C67" s="12">
        <v>4501</v>
      </c>
      <c r="D67" s="23" t="s">
        <v>331</v>
      </c>
      <c r="E67" s="29">
        <f>'POAI SEPTIEMBRE 2023'!AL64+'POAI SEPTIEMBRE 2023'!AL65</f>
        <v>7378276561.1399994</v>
      </c>
    </row>
    <row r="68" spans="1:5" ht="24" customHeight="1">
      <c r="A68" s="100">
        <v>3</v>
      </c>
      <c r="B68" s="101" t="s">
        <v>1290</v>
      </c>
      <c r="C68" s="101"/>
      <c r="D68" s="101"/>
      <c r="E68" s="102">
        <f>E69+E71</f>
        <v>838661482</v>
      </c>
    </row>
    <row r="69" spans="1:5" ht="24" customHeight="1">
      <c r="A69" s="13"/>
      <c r="B69" s="106">
        <v>32</v>
      </c>
      <c r="C69" s="107" t="s">
        <v>227</v>
      </c>
      <c r="D69" s="108"/>
      <c r="E69" s="109">
        <f>E70</f>
        <v>144630832</v>
      </c>
    </row>
    <row r="70" spans="1:5" ht="46.5" customHeight="1">
      <c r="A70" s="35"/>
      <c r="B70" s="22"/>
      <c r="C70" s="12">
        <v>3205</v>
      </c>
      <c r="D70" s="23" t="s">
        <v>228</v>
      </c>
      <c r="E70" s="29">
        <f>'POAI SEPTIEMBRE 2023'!AL66</f>
        <v>144630832</v>
      </c>
    </row>
    <row r="71" spans="1:5" ht="24" customHeight="1">
      <c r="A71" s="40"/>
      <c r="B71" s="112">
        <v>45</v>
      </c>
      <c r="C71" s="107" t="s">
        <v>60</v>
      </c>
      <c r="D71" s="113"/>
      <c r="E71" s="109">
        <f>E72</f>
        <v>694030650</v>
      </c>
    </row>
    <row r="72" spans="1:5" ht="61.5" customHeight="1">
      <c r="A72" s="31"/>
      <c r="B72" s="22"/>
      <c r="C72" s="12">
        <v>4503</v>
      </c>
      <c r="D72" s="23" t="s">
        <v>1293</v>
      </c>
      <c r="E72" s="29">
        <f>'POAI SEPTIEMBRE 2023'!AL67+'POAI SEPTIEMBRE 2023'!AL68+'POAI SEPTIEMBRE 2023'!AL69</f>
        <v>694030650</v>
      </c>
    </row>
    <row r="73" spans="1:5" ht="24" customHeight="1">
      <c r="A73" s="100">
        <v>4</v>
      </c>
      <c r="B73" s="101" t="s">
        <v>1280</v>
      </c>
      <c r="C73" s="101"/>
      <c r="D73" s="101"/>
      <c r="E73" s="102">
        <f>E74</f>
        <v>788266832</v>
      </c>
    </row>
    <row r="74" spans="1:5" ht="24" customHeight="1">
      <c r="A74" s="13"/>
      <c r="B74" s="106">
        <v>45</v>
      </c>
      <c r="C74" s="107" t="s">
        <v>60</v>
      </c>
      <c r="D74" s="108"/>
      <c r="E74" s="109">
        <f>E75</f>
        <v>788266832</v>
      </c>
    </row>
    <row r="75" spans="1:5" ht="71.25" customHeight="1">
      <c r="A75" s="31"/>
      <c r="B75" s="22"/>
      <c r="C75" s="12">
        <v>4502</v>
      </c>
      <c r="D75" s="23" t="s">
        <v>1281</v>
      </c>
      <c r="E75" s="21">
        <f>'POAI SEPTIEMBRE 2023'!AL70+'POAI SEPTIEMBRE 2023'!AL71+'POAI SEPTIEMBRE 2023'!AL72+'POAI SEPTIEMBRE 2023'!AL73+'POAI SEPTIEMBRE 2023'!AL74</f>
        <v>788266832</v>
      </c>
    </row>
    <row r="76" spans="1:5" s="39" customFormat="1">
      <c r="A76" s="5"/>
      <c r="B76" s="5"/>
      <c r="C76" s="5"/>
      <c r="D76" s="6"/>
      <c r="E76" s="38"/>
    </row>
    <row r="77" spans="1:5" ht="24" customHeight="1">
      <c r="A77" s="56" t="s">
        <v>1294</v>
      </c>
      <c r="B77" s="62"/>
      <c r="C77" s="62"/>
      <c r="D77" s="63"/>
      <c r="E77" s="64">
        <f>E78</f>
        <v>4901071565.04</v>
      </c>
    </row>
    <row r="78" spans="1:5" ht="24" customHeight="1">
      <c r="A78" s="100">
        <v>1</v>
      </c>
      <c r="B78" s="101" t="s">
        <v>1286</v>
      </c>
      <c r="C78" s="101"/>
      <c r="D78" s="101"/>
      <c r="E78" s="102">
        <f>E79</f>
        <v>4901071565.04</v>
      </c>
    </row>
    <row r="79" spans="1:5" ht="24" customHeight="1">
      <c r="A79" s="13"/>
      <c r="B79" s="106">
        <v>33</v>
      </c>
      <c r="C79" s="116" t="s">
        <v>170</v>
      </c>
      <c r="D79" s="108"/>
      <c r="E79" s="109">
        <f>SUM(E80:E81)</f>
        <v>4901071565.04</v>
      </c>
    </row>
    <row r="80" spans="1:5" ht="46.5" customHeight="1">
      <c r="A80" s="26"/>
      <c r="B80" s="27"/>
      <c r="C80" s="22">
        <v>3301</v>
      </c>
      <c r="D80" s="23" t="s">
        <v>171</v>
      </c>
      <c r="E80" s="29">
        <f>'POAI SEPTIEMBRE 2023'!AL75+'POAI SEPTIEMBRE 2023'!AL76+'POAI SEPTIEMBRE 2023'!AL77+'POAI SEPTIEMBRE 2023'!AL78+'POAI SEPTIEMBRE 2023'!AL79+'POAI SEPTIEMBRE 2023'!AL80+'POAI SEPTIEMBRE 2023'!AL81+'POAI SEPTIEMBRE 2023'!AL82</f>
        <v>4584212143.04</v>
      </c>
    </row>
    <row r="81" spans="1:5" ht="51" customHeight="1">
      <c r="A81" s="30"/>
      <c r="B81" s="31"/>
      <c r="C81" s="22">
        <v>3302</v>
      </c>
      <c r="D81" s="23" t="s">
        <v>407</v>
      </c>
      <c r="E81" s="21">
        <f>'POAI SEPTIEMBRE 2023'!AL83+'POAI SEPTIEMBRE 2023'!AL84</f>
        <v>316859422</v>
      </c>
    </row>
    <row r="82" spans="1:5" s="39" customFormat="1">
      <c r="A82" s="5"/>
      <c r="B82" s="5"/>
      <c r="C82" s="5"/>
      <c r="D82" s="6"/>
      <c r="E82" s="38"/>
    </row>
    <row r="83" spans="1:5" ht="24" customHeight="1">
      <c r="A83" s="56" t="s">
        <v>1295</v>
      </c>
      <c r="B83" s="62"/>
      <c r="C83" s="62"/>
      <c r="D83" s="63"/>
      <c r="E83" s="64">
        <f>E84</f>
        <v>4131910173.9000001</v>
      </c>
    </row>
    <row r="84" spans="1:5" ht="24" customHeight="1">
      <c r="A84" s="100">
        <v>2</v>
      </c>
      <c r="B84" s="101" t="s">
        <v>1288</v>
      </c>
      <c r="C84" s="101"/>
      <c r="D84" s="101"/>
      <c r="E84" s="102">
        <f>E85+E87</f>
        <v>4131910173.9000001</v>
      </c>
    </row>
    <row r="85" spans="1:5" ht="24" customHeight="1">
      <c r="A85" s="13"/>
      <c r="B85" s="106">
        <v>35</v>
      </c>
      <c r="C85" s="107" t="s">
        <v>418</v>
      </c>
      <c r="D85" s="108"/>
      <c r="E85" s="109">
        <f>E86</f>
        <v>3172955007.9000001</v>
      </c>
    </row>
    <row r="86" spans="1:5" ht="53.25" customHeight="1">
      <c r="A86" s="35"/>
      <c r="B86" s="22"/>
      <c r="C86" s="14">
        <v>3502</v>
      </c>
      <c r="D86" s="23" t="s">
        <v>1296</v>
      </c>
      <c r="E86" s="29">
        <f>'POAI SEPTIEMBRE 2023'!AL85+'POAI SEPTIEMBRE 2023'!AL86+'POAI SEPTIEMBRE 2023'!AL87+'POAI SEPTIEMBRE 2023'!AL88+'POAI SEPTIEMBRE 2023'!AL89+'POAI SEPTIEMBRE 2023'!AL90</f>
        <v>3172955007.9000001</v>
      </c>
    </row>
    <row r="87" spans="1:5" ht="24" customHeight="1">
      <c r="A87" s="40"/>
      <c r="B87" s="112">
        <v>36</v>
      </c>
      <c r="C87" s="114" t="s">
        <v>446</v>
      </c>
      <c r="D87" s="108"/>
      <c r="E87" s="109">
        <f>E88</f>
        <v>958955166</v>
      </c>
    </row>
    <row r="88" spans="1:5" ht="53.25" customHeight="1">
      <c r="A88" s="31"/>
      <c r="B88" s="22"/>
      <c r="C88" s="14">
        <v>3602</v>
      </c>
      <c r="D88" s="23" t="s">
        <v>447</v>
      </c>
      <c r="E88" s="29">
        <f>'POAI SEPTIEMBRE 2023'!AL91+'POAI SEPTIEMBRE 2023'!AL92+'POAI SEPTIEMBRE 2023'!AL93+'POAI SEPTIEMBRE 2023'!AL94+'POAI SEPTIEMBRE 2023'!AL95</f>
        <v>958955166</v>
      </c>
    </row>
    <row r="89" spans="1:5" s="39" customFormat="1">
      <c r="A89" s="5"/>
      <c r="B89" s="5"/>
      <c r="C89" s="5"/>
      <c r="D89" s="6"/>
      <c r="E89" s="38"/>
    </row>
    <row r="90" spans="1:5" ht="24" customHeight="1">
      <c r="A90" s="56" t="s">
        <v>1297</v>
      </c>
      <c r="B90" s="62"/>
      <c r="C90" s="62"/>
      <c r="D90" s="63"/>
      <c r="E90" s="64">
        <f>E91+E102</f>
        <v>5930194939</v>
      </c>
    </row>
    <row r="91" spans="1:5" ht="24" customHeight="1">
      <c r="A91" s="100">
        <v>2</v>
      </c>
      <c r="B91" s="101" t="s">
        <v>1288</v>
      </c>
      <c r="C91" s="101"/>
      <c r="D91" s="101"/>
      <c r="E91" s="102">
        <f>E92+E100</f>
        <v>2375075666.6700001</v>
      </c>
    </row>
    <row r="92" spans="1:5" ht="24" customHeight="1">
      <c r="A92" s="13"/>
      <c r="B92" s="106">
        <v>17</v>
      </c>
      <c r="C92" s="107" t="s">
        <v>201</v>
      </c>
      <c r="D92" s="108"/>
      <c r="E92" s="109">
        <f>SUM(E93:E99)</f>
        <v>2253789000.6700001</v>
      </c>
    </row>
    <row r="93" spans="1:5" ht="57.75" customHeight="1">
      <c r="A93" s="35"/>
      <c r="B93" s="36"/>
      <c r="C93" s="22">
        <v>1702</v>
      </c>
      <c r="D93" s="23" t="s">
        <v>464</v>
      </c>
      <c r="E93" s="29">
        <f>SUM('POAI SEPTIEMBRE 2023'!AH96:AH106)</f>
        <v>1625149038.6700001</v>
      </c>
    </row>
    <row r="94" spans="1:5" ht="54" customHeight="1">
      <c r="A94" s="35"/>
      <c r="B94" s="42"/>
      <c r="C94" s="22">
        <v>1703</v>
      </c>
      <c r="D94" s="23" t="s">
        <v>507</v>
      </c>
      <c r="E94" s="29">
        <f>'POAI SEPTIEMBRE 2023'!AL107</f>
        <v>61807909</v>
      </c>
    </row>
    <row r="95" spans="1:5" ht="62.25" customHeight="1">
      <c r="A95" s="35"/>
      <c r="B95" s="42"/>
      <c r="C95" s="22">
        <v>1704</v>
      </c>
      <c r="D95" s="23" t="s">
        <v>514</v>
      </c>
      <c r="E95" s="29">
        <f>'POAI SEPTIEMBRE 2023'!AL108+'POAI SEPTIEMBRE 2023'!AL109</f>
        <v>162072092.67000002</v>
      </c>
    </row>
    <row r="96" spans="1:5" ht="42" customHeight="1">
      <c r="A96" s="35"/>
      <c r="B96" s="42"/>
      <c r="C96" s="22">
        <v>1706</v>
      </c>
      <c r="D96" s="23" t="s">
        <v>523</v>
      </c>
      <c r="E96" s="29">
        <f>'POAI SEPTIEMBRE 2023'!AL110</f>
        <v>106000000</v>
      </c>
    </row>
    <row r="97" spans="1:5" ht="57" customHeight="1">
      <c r="A97" s="35"/>
      <c r="B97" s="42"/>
      <c r="C97" s="22">
        <v>1707</v>
      </c>
      <c r="D97" s="23" t="s">
        <v>530</v>
      </c>
      <c r="E97" s="29">
        <f>'POAI SEPTIEMBRE 2023'!AL111</f>
        <v>72725000</v>
      </c>
    </row>
    <row r="98" spans="1:5" ht="60.75" customHeight="1">
      <c r="A98" s="35"/>
      <c r="B98" s="42"/>
      <c r="C98" s="22">
        <v>1708</v>
      </c>
      <c r="D98" s="23" t="s">
        <v>537</v>
      </c>
      <c r="E98" s="29">
        <f>'POAI SEPTIEMBRE 2023'!AL112+'POAI SEPTIEMBRE 2023'!AL113</f>
        <v>83358333.329999998</v>
      </c>
    </row>
    <row r="99" spans="1:5" ht="42" customHeight="1">
      <c r="A99" s="35"/>
      <c r="B99" s="37"/>
      <c r="C99" s="22">
        <v>1709</v>
      </c>
      <c r="D99" s="23" t="s">
        <v>202</v>
      </c>
      <c r="E99" s="29">
        <f>'POAI SEPTIEMBRE 2023'!AL114+'POAI SEPTIEMBRE 2023'!AL115+'POAI SEPTIEMBRE 2023'!AL116</f>
        <v>142676627</v>
      </c>
    </row>
    <row r="100" spans="1:5" ht="24" customHeight="1">
      <c r="A100" s="40"/>
      <c r="B100" s="117">
        <v>35</v>
      </c>
      <c r="C100" s="107" t="s">
        <v>418</v>
      </c>
      <c r="D100" s="113"/>
      <c r="E100" s="109">
        <f>E101</f>
        <v>121286666</v>
      </c>
    </row>
    <row r="101" spans="1:5" ht="73.5" customHeight="1">
      <c r="A101" s="31"/>
      <c r="B101" s="22"/>
      <c r="C101" s="12">
        <v>3502</v>
      </c>
      <c r="D101" s="23" t="s">
        <v>1296</v>
      </c>
      <c r="E101" s="29">
        <f>'POAI SEPTIEMBRE 2023'!AL117+'POAI SEPTIEMBRE 2023'!AL118</f>
        <v>121286666</v>
      </c>
    </row>
    <row r="102" spans="1:5" ht="24" customHeight="1">
      <c r="A102" s="100">
        <v>3</v>
      </c>
      <c r="B102" s="101" t="s">
        <v>1290</v>
      </c>
      <c r="C102" s="101"/>
      <c r="D102" s="101"/>
      <c r="E102" s="102">
        <f>E103</f>
        <v>3555119272.3299999</v>
      </c>
    </row>
    <row r="103" spans="1:5" ht="24" customHeight="1">
      <c r="A103" s="13"/>
      <c r="B103" s="106">
        <v>32</v>
      </c>
      <c r="C103" s="107" t="s">
        <v>227</v>
      </c>
      <c r="D103" s="108"/>
      <c r="E103" s="109">
        <f>SUM(E104:E108)</f>
        <v>3555119272.3299999</v>
      </c>
    </row>
    <row r="104" spans="1:5" ht="52.5" customHeight="1">
      <c r="A104" s="26"/>
      <c r="B104" s="27"/>
      <c r="C104" s="22" t="s">
        <v>561</v>
      </c>
      <c r="D104" s="23" t="s">
        <v>562</v>
      </c>
      <c r="E104" s="29">
        <f>'POAI SEPTIEMBRE 2023'!AL119+'POAI SEPTIEMBRE 2023'!AL120</f>
        <v>195655000</v>
      </c>
    </row>
    <row r="105" spans="1:5" ht="52.5" customHeight="1">
      <c r="A105" s="26"/>
      <c r="B105" s="35"/>
      <c r="C105" s="22">
        <v>3202</v>
      </c>
      <c r="D105" s="23" t="s">
        <v>572</v>
      </c>
      <c r="E105" s="29">
        <f>SUM('POAI SEPTIEMBRE 2023'!AH121:AH125)</f>
        <v>2930230691</v>
      </c>
    </row>
    <row r="106" spans="1:5" ht="52.5" customHeight="1">
      <c r="A106" s="26"/>
      <c r="B106" s="35"/>
      <c r="C106" s="22" t="s">
        <v>597</v>
      </c>
      <c r="D106" s="23" t="s">
        <v>598</v>
      </c>
      <c r="E106" s="29">
        <f>'POAI SEPTIEMBRE 2023'!AL126</f>
        <v>173700000</v>
      </c>
    </row>
    <row r="107" spans="1:5" ht="52.5" customHeight="1">
      <c r="A107" s="26"/>
      <c r="B107" s="35"/>
      <c r="C107" s="22">
        <v>3205</v>
      </c>
      <c r="D107" s="23" t="s">
        <v>228</v>
      </c>
      <c r="E107" s="29">
        <f>SUM('POAI SEPTIEMBRE 2023'!AH127:AH129)</f>
        <v>66529007.329999998</v>
      </c>
    </row>
    <row r="108" spans="1:5" ht="52.5" customHeight="1">
      <c r="A108" s="30"/>
      <c r="B108" s="31"/>
      <c r="C108" s="22" t="s">
        <v>615</v>
      </c>
      <c r="D108" s="23" t="s">
        <v>616</v>
      </c>
      <c r="E108" s="29">
        <f>SUM('POAI SEPTIEMBRE 2023'!AH130:AH132)</f>
        <v>189004574</v>
      </c>
    </row>
    <row r="109" spans="1:5" s="39" customFormat="1">
      <c r="A109" s="5"/>
      <c r="B109" s="5"/>
      <c r="C109" s="5"/>
      <c r="D109" s="6"/>
      <c r="E109" s="38"/>
    </row>
    <row r="110" spans="1:5" ht="24" customHeight="1">
      <c r="A110" s="167" t="s">
        <v>1418</v>
      </c>
      <c r="B110" s="168"/>
      <c r="C110" s="168"/>
      <c r="D110" s="169"/>
      <c r="E110" s="64">
        <f>E111</f>
        <v>4558243430</v>
      </c>
    </row>
    <row r="111" spans="1:5" ht="24" customHeight="1">
      <c r="A111" s="100">
        <v>4</v>
      </c>
      <c r="B111" s="101" t="s">
        <v>1280</v>
      </c>
      <c r="C111" s="101"/>
      <c r="D111" s="101"/>
      <c r="E111" s="102">
        <f>E112</f>
        <v>4558243430</v>
      </c>
    </row>
    <row r="112" spans="1:5" ht="24" customHeight="1">
      <c r="A112" s="13"/>
      <c r="B112" s="106">
        <v>45</v>
      </c>
      <c r="C112" s="107" t="s">
        <v>60</v>
      </c>
      <c r="D112" s="108"/>
      <c r="E112" s="109">
        <f>SUM(E113:E114)</f>
        <v>4558243430</v>
      </c>
    </row>
    <row r="113" spans="1:5" s="18" customFormat="1" ht="74.25" customHeight="1">
      <c r="A113" s="26"/>
      <c r="B113" s="27"/>
      <c r="C113" s="22">
        <v>4502</v>
      </c>
      <c r="D113" s="23" t="s">
        <v>1281</v>
      </c>
      <c r="E113" s="29">
        <f>'POAI SEPTIEMBRE 2023'!AL135</f>
        <v>862000000</v>
      </c>
    </row>
    <row r="114" spans="1:5" ht="67.5" customHeight="1">
      <c r="A114" s="30"/>
      <c r="B114" s="31"/>
      <c r="C114" s="22">
        <v>4599</v>
      </c>
      <c r="D114" s="23" t="s">
        <v>1298</v>
      </c>
      <c r="E114" s="21">
        <f>'POAI SEPTIEMBRE 2023'!AH133+'POAI SEPTIEMBRE 2023'!AH134+'POAI SEPTIEMBRE 2023'!AH136</f>
        <v>3696243430</v>
      </c>
    </row>
    <row r="115" spans="1:5" s="39" customFormat="1">
      <c r="A115" s="5"/>
      <c r="B115" s="57"/>
      <c r="C115" s="58"/>
      <c r="D115" s="59"/>
      <c r="E115" s="60"/>
    </row>
    <row r="116" spans="1:5" ht="24" customHeight="1">
      <c r="A116" s="56" t="s">
        <v>1299</v>
      </c>
      <c r="B116" s="62"/>
      <c r="C116" s="62"/>
      <c r="D116" s="63"/>
      <c r="E116" s="64">
        <f>E117+E121</f>
        <v>224637789380.59998</v>
      </c>
    </row>
    <row r="117" spans="1:5" ht="24" customHeight="1">
      <c r="A117" s="100">
        <v>1</v>
      </c>
      <c r="B117" s="101" t="s">
        <v>1286</v>
      </c>
      <c r="C117" s="101"/>
      <c r="D117" s="101"/>
      <c r="E117" s="102">
        <f>E118</f>
        <v>224575274702.59998</v>
      </c>
    </row>
    <row r="118" spans="1:5" ht="24" customHeight="1">
      <c r="A118" s="13"/>
      <c r="B118" s="106">
        <v>22</v>
      </c>
      <c r="C118" s="107" t="s">
        <v>160</v>
      </c>
      <c r="D118" s="108"/>
      <c r="E118" s="109">
        <f>SUM(E119:E120)</f>
        <v>224575274702.59998</v>
      </c>
    </row>
    <row r="119" spans="1:5" ht="70.5" customHeight="1">
      <c r="A119" s="35"/>
      <c r="B119" s="36"/>
      <c r="C119" s="28">
        <v>2201</v>
      </c>
      <c r="D119" s="23" t="s">
        <v>298</v>
      </c>
      <c r="E119" s="21">
        <f>SUM('POAI SEPTIEMBRE 2023'!AL137:AL170)</f>
        <v>224358541702.59998</v>
      </c>
    </row>
    <row r="120" spans="1:5" ht="55.5" customHeight="1">
      <c r="A120" s="31"/>
      <c r="B120" s="37"/>
      <c r="C120" s="22">
        <v>2202</v>
      </c>
      <c r="D120" s="23" t="s">
        <v>1300</v>
      </c>
      <c r="E120" s="29">
        <f>'POAI SEPTIEMBRE 2023'!AL171</f>
        <v>216733000</v>
      </c>
    </row>
    <row r="121" spans="1:5" ht="24" customHeight="1">
      <c r="A121" s="100">
        <v>2</v>
      </c>
      <c r="B121" s="101" t="s">
        <v>1288</v>
      </c>
      <c r="C121" s="101"/>
      <c r="D121" s="101"/>
      <c r="E121" s="102">
        <f>E122</f>
        <v>62514678</v>
      </c>
    </row>
    <row r="122" spans="1:5" ht="24" customHeight="1">
      <c r="A122" s="13"/>
      <c r="B122" s="106">
        <v>39</v>
      </c>
      <c r="C122" s="107" t="s">
        <v>746</v>
      </c>
      <c r="D122" s="108"/>
      <c r="E122" s="109">
        <f>E123</f>
        <v>62514678</v>
      </c>
    </row>
    <row r="123" spans="1:5" ht="39.75" customHeight="1">
      <c r="A123" s="31"/>
      <c r="B123" s="22"/>
      <c r="C123" s="12">
        <v>3904</v>
      </c>
      <c r="D123" s="23" t="s">
        <v>1179</v>
      </c>
      <c r="E123" s="29">
        <f>'POAI SEPTIEMBRE 2023'!AL172</f>
        <v>62514678</v>
      </c>
    </row>
    <row r="124" spans="1:5" s="39" customFormat="1">
      <c r="A124" s="5"/>
      <c r="B124" s="5"/>
      <c r="C124" s="5"/>
      <c r="D124" s="6"/>
      <c r="E124" s="38"/>
    </row>
    <row r="125" spans="1:5" s="39" customFormat="1" ht="24" customHeight="1">
      <c r="A125" s="56" t="s">
        <v>1301</v>
      </c>
      <c r="B125" s="170"/>
      <c r="C125" s="168"/>
      <c r="D125" s="169"/>
      <c r="E125" s="64">
        <f>E126+E135+E140</f>
        <v>9615731819.3800011</v>
      </c>
    </row>
    <row r="126" spans="1:5" s="39" customFormat="1" ht="24" customHeight="1">
      <c r="A126" s="100">
        <v>1</v>
      </c>
      <c r="B126" s="101" t="s">
        <v>1286</v>
      </c>
      <c r="C126" s="101"/>
      <c r="D126" s="101"/>
      <c r="E126" s="102">
        <f>E127+E129+E131</f>
        <v>8789978847.3800011</v>
      </c>
    </row>
    <row r="127" spans="1:5" ht="24" customHeight="1">
      <c r="A127" s="13"/>
      <c r="B127" s="106">
        <v>19</v>
      </c>
      <c r="C127" s="107" t="s">
        <v>756</v>
      </c>
      <c r="D127" s="108"/>
      <c r="E127" s="109">
        <f>E128</f>
        <v>239189640</v>
      </c>
    </row>
    <row r="128" spans="1:5" s="39" customFormat="1" ht="51" customHeight="1">
      <c r="A128" s="35"/>
      <c r="B128" s="22"/>
      <c r="C128" s="12">
        <v>1905</v>
      </c>
      <c r="D128" s="15" t="s">
        <v>757</v>
      </c>
      <c r="E128" s="29">
        <f>'POAI SEPTIEMBRE 2023'!AL173+'POAI SEPTIEMBRE 2023'!AL174</f>
        <v>239189640</v>
      </c>
    </row>
    <row r="129" spans="1:5" ht="24" customHeight="1">
      <c r="A129" s="40"/>
      <c r="B129" s="112">
        <v>33</v>
      </c>
      <c r="C129" s="114" t="s">
        <v>170</v>
      </c>
      <c r="D129" s="108"/>
      <c r="E129" s="109">
        <f>E130</f>
        <v>31700000</v>
      </c>
    </row>
    <row r="130" spans="1:5" s="39" customFormat="1" ht="51.75" customHeight="1">
      <c r="A130" s="35"/>
      <c r="B130" s="22"/>
      <c r="C130" s="12">
        <v>3301</v>
      </c>
      <c r="D130" s="23" t="s">
        <v>171</v>
      </c>
      <c r="E130" s="29">
        <f>'POAI SEPTIEMBRE 2023'!AL175</f>
        <v>31700000</v>
      </c>
    </row>
    <row r="131" spans="1:5" ht="24" customHeight="1">
      <c r="A131" s="40"/>
      <c r="B131" s="115">
        <v>41</v>
      </c>
      <c r="C131" s="107" t="s">
        <v>772</v>
      </c>
      <c r="D131" s="113"/>
      <c r="E131" s="109">
        <f>SUM(E132:E134)</f>
        <v>8519089207.3800001</v>
      </c>
    </row>
    <row r="132" spans="1:5" s="39" customFormat="1" ht="53.25" customHeight="1">
      <c r="A132" s="26"/>
      <c r="B132" s="27"/>
      <c r="C132" s="22">
        <v>4102</v>
      </c>
      <c r="D132" s="23" t="s">
        <v>773</v>
      </c>
      <c r="E132" s="29">
        <f>SUM('POAI SEPTIEMBRE 2023'!AL176:AL184)</f>
        <v>1423963360</v>
      </c>
    </row>
    <row r="133" spans="1:5" s="39" customFormat="1" ht="48.75" customHeight="1">
      <c r="A133" s="26"/>
      <c r="B133" s="35"/>
      <c r="C133" s="22">
        <v>4103</v>
      </c>
      <c r="D133" s="23" t="s">
        <v>322</v>
      </c>
      <c r="E133" s="29">
        <f>SUM('POAI SEPTIEMBRE 2023'!AL185:AL191)</f>
        <v>415210000</v>
      </c>
    </row>
    <row r="134" spans="1:5" s="39" customFormat="1" ht="51.75" customHeight="1">
      <c r="A134" s="30"/>
      <c r="B134" s="31"/>
      <c r="C134" s="22">
        <v>4104</v>
      </c>
      <c r="D134" s="23" t="s">
        <v>866</v>
      </c>
      <c r="E134" s="29">
        <f>SUM('POAI SEPTIEMBRE 2023'!AL192:AL196)</f>
        <v>6679915847.3800001</v>
      </c>
    </row>
    <row r="135" spans="1:5" s="39" customFormat="1" ht="24" customHeight="1">
      <c r="A135" s="100">
        <v>2</v>
      </c>
      <c r="B135" s="101" t="s">
        <v>1288</v>
      </c>
      <c r="C135" s="101"/>
      <c r="D135" s="101"/>
      <c r="E135" s="102">
        <f>E136+E138</f>
        <v>65300000</v>
      </c>
    </row>
    <row r="136" spans="1:5" ht="24" customHeight="1">
      <c r="A136" s="13"/>
      <c r="B136" s="106">
        <v>17</v>
      </c>
      <c r="C136" s="107" t="s">
        <v>201</v>
      </c>
      <c r="D136" s="108"/>
      <c r="E136" s="109">
        <f>E137</f>
        <v>46300000</v>
      </c>
    </row>
    <row r="137" spans="1:5" s="39" customFormat="1" ht="51.75" customHeight="1">
      <c r="A137" s="35"/>
      <c r="B137" s="22"/>
      <c r="C137" s="12">
        <v>1702</v>
      </c>
      <c r="D137" s="23" t="s">
        <v>464</v>
      </c>
      <c r="E137" s="29">
        <f>'POAI SEPTIEMBRE 2023'!AL197</f>
        <v>46300000</v>
      </c>
    </row>
    <row r="138" spans="1:5" ht="25.5" customHeight="1">
      <c r="A138" s="40"/>
      <c r="B138" s="112">
        <v>36</v>
      </c>
      <c r="C138" s="114" t="s">
        <v>446</v>
      </c>
      <c r="D138" s="108"/>
      <c r="E138" s="109">
        <f>E139</f>
        <v>19000000</v>
      </c>
    </row>
    <row r="139" spans="1:5" s="39" customFormat="1" ht="51" customHeight="1">
      <c r="A139" s="31"/>
      <c r="B139" s="22"/>
      <c r="C139" s="12">
        <v>3604</v>
      </c>
      <c r="D139" s="23" t="s">
        <v>901</v>
      </c>
      <c r="E139" s="29">
        <f>'POAI SEPTIEMBRE 2023'!AL198</f>
        <v>19000000</v>
      </c>
    </row>
    <row r="140" spans="1:5" s="39" customFormat="1" ht="24" customHeight="1">
      <c r="A140" s="100">
        <v>4</v>
      </c>
      <c r="B140" s="101" t="s">
        <v>1280</v>
      </c>
      <c r="C140" s="101"/>
      <c r="D140" s="101"/>
      <c r="E140" s="102">
        <f>E141</f>
        <v>760452972</v>
      </c>
    </row>
    <row r="141" spans="1:5" ht="24" customHeight="1">
      <c r="A141" s="25"/>
      <c r="B141" s="110">
        <v>45</v>
      </c>
      <c r="C141" s="107" t="s">
        <v>907</v>
      </c>
      <c r="D141" s="108"/>
      <c r="E141" s="109">
        <f>SUM(E142:E142)</f>
        <v>760452972</v>
      </c>
    </row>
    <row r="142" spans="1:5" ht="50.25" customHeight="1">
      <c r="A142" s="31"/>
      <c r="B142" s="43"/>
      <c r="C142" s="16">
        <v>4502</v>
      </c>
      <c r="D142" s="17" t="s">
        <v>1281</v>
      </c>
      <c r="E142" s="44">
        <f>'POAI SEPTIEMBRE 2023'!AL199+'POAI SEPTIEMBRE 2023'!AL200+'POAI SEPTIEMBRE 2023'!AL201+'POAI SEPTIEMBRE 2023'!AL202+'POAI SEPTIEMBRE 2023'!AL203</f>
        <v>760452972</v>
      </c>
    </row>
    <row r="143" spans="1:5" s="39" customFormat="1">
      <c r="A143" s="5"/>
      <c r="B143" s="5"/>
      <c r="C143" s="5"/>
      <c r="D143" s="6"/>
      <c r="E143" s="38"/>
    </row>
    <row r="144" spans="1:5" ht="24" customHeight="1">
      <c r="A144" s="56" t="s">
        <v>1302</v>
      </c>
      <c r="B144" s="62"/>
      <c r="C144" s="170"/>
      <c r="D144" s="169"/>
      <c r="E144" s="64">
        <f>E145</f>
        <v>63633783396.419998</v>
      </c>
    </row>
    <row r="145" spans="1:5" ht="24" customHeight="1">
      <c r="A145" s="100">
        <v>1</v>
      </c>
      <c r="B145" s="101" t="s">
        <v>1286</v>
      </c>
      <c r="C145" s="101"/>
      <c r="D145" s="101"/>
      <c r="E145" s="102">
        <f>E146</f>
        <v>63633783396.419998</v>
      </c>
    </row>
    <row r="146" spans="1:5" ht="24" customHeight="1">
      <c r="A146" s="13"/>
      <c r="B146" s="106">
        <v>19</v>
      </c>
      <c r="C146" s="107" t="s">
        <v>756</v>
      </c>
      <c r="D146" s="108"/>
      <c r="E146" s="109">
        <f>SUM(E147:E149)</f>
        <v>63633783396.419998</v>
      </c>
    </row>
    <row r="147" spans="1:5" ht="35.25" customHeight="1">
      <c r="A147" s="35"/>
      <c r="B147" s="36"/>
      <c r="C147" s="22">
        <v>1903</v>
      </c>
      <c r="D147" s="23" t="s">
        <v>934</v>
      </c>
      <c r="E147" s="29">
        <f>SUM('POAI SEPTIEMBRE 2023'!AL204:AL224)+'POAI SEPTIEMBRE 2023'!AL255</f>
        <v>3859665572.6500001</v>
      </c>
    </row>
    <row r="148" spans="1:5" ht="31.5" customHeight="1">
      <c r="A148" s="35"/>
      <c r="B148" s="42"/>
      <c r="C148" s="22">
        <v>1905</v>
      </c>
      <c r="D148" s="23" t="s">
        <v>757</v>
      </c>
      <c r="E148" s="29">
        <f>'POAI SEPTIEMBRE 2023'!AL225+'POAI SEPTIEMBRE 2023'!AL226+'POAI SEPTIEMBRE 2023'!AL227+'POAI SEPTIEMBRE 2023'!AL228+'POAI SEPTIEMBRE 2023'!AL229+'POAI SEPTIEMBRE 2023'!AL230+'POAI SEPTIEMBRE 2023'!AL231+'POAI SEPTIEMBRE 2023'!AL232+'POAI SEPTIEMBRE 2023'!AL233+'POAI SEPTIEMBRE 2023'!AL234+'POAI SEPTIEMBRE 2023'!AL235+'POAI SEPTIEMBRE 2023'!AL236+'POAI SEPTIEMBRE 2023'!AL237+'POAI SEPTIEMBRE 2023'!AL238+'POAI SEPTIEMBRE 2023'!AL239+'POAI SEPTIEMBRE 2023'!AL240+'POAI SEPTIEMBRE 2023'!AL241+'POAI SEPTIEMBRE 2023'!AL242+'POAI SEPTIEMBRE 2023'!AL243+'POAI SEPTIEMBRE 2023'!AL244+'POAI SEPTIEMBRE 2023'!AL245+'POAI SEPTIEMBRE 2023'!AL246+'POAI SEPTIEMBRE 2023'!AL256+'POAI SEPTIEMBRE 2023'!AL257+'POAI SEPTIEMBRE 2023'!AL258+'POAI SEPTIEMBRE 2023'!AL259+'POAI SEPTIEMBRE 2023'!AL260+'POAI SEPTIEMBRE 2023'!AL261+'POAI SEPTIEMBRE 2023'!AL262</f>
        <v>5514058313.29</v>
      </c>
    </row>
    <row r="149" spans="1:5" ht="57.75" customHeight="1">
      <c r="A149" s="31"/>
      <c r="B149" s="37"/>
      <c r="C149" s="22">
        <v>1906</v>
      </c>
      <c r="D149" s="23" t="s">
        <v>1303</v>
      </c>
      <c r="E149" s="29">
        <f>SUM('POAI SEPTIEMBRE 2023'!AL247:AL254)</f>
        <v>54260059510.479996</v>
      </c>
    </row>
    <row r="150" spans="1:5" s="39" customFormat="1">
      <c r="A150" s="5"/>
      <c r="B150" s="5"/>
      <c r="C150" s="5"/>
      <c r="D150" s="6"/>
      <c r="E150" s="38"/>
    </row>
    <row r="151" spans="1:5" s="4" customFormat="1" ht="24" customHeight="1">
      <c r="A151" s="56" t="s">
        <v>1304</v>
      </c>
      <c r="B151" s="62"/>
      <c r="C151" s="62"/>
      <c r="D151" s="63"/>
      <c r="E151" s="64">
        <f>E152+E156+E160</f>
        <v>2328894018</v>
      </c>
    </row>
    <row r="152" spans="1:5" s="4" customFormat="1" ht="24" customHeight="1">
      <c r="A152" s="100">
        <v>1</v>
      </c>
      <c r="B152" s="101" t="s">
        <v>1286</v>
      </c>
      <c r="C152" s="101"/>
      <c r="D152" s="101"/>
      <c r="E152" s="102">
        <f>E153</f>
        <v>1723774500</v>
      </c>
    </row>
    <row r="153" spans="1:5" ht="24" customHeight="1">
      <c r="A153" s="13"/>
      <c r="B153" s="106">
        <v>23</v>
      </c>
      <c r="C153" s="107" t="s">
        <v>1127</v>
      </c>
      <c r="D153" s="108"/>
      <c r="E153" s="109">
        <f>SUM(E154:E155)</f>
        <v>1723774500</v>
      </c>
    </row>
    <row r="154" spans="1:5" s="18" customFormat="1" ht="75.75" customHeight="1">
      <c r="A154" s="35"/>
      <c r="B154" s="36"/>
      <c r="C154" s="28">
        <v>2301</v>
      </c>
      <c r="D154" s="23" t="s">
        <v>1305</v>
      </c>
      <c r="E154" s="29">
        <f>'POAI SEPTIEMBRE 2023'!AL263+'POAI SEPTIEMBRE 2023'!AL264+'POAI SEPTIEMBRE 2023'!AL265+'POAI SEPTIEMBRE 2023'!AL266+'POAI SEPTIEMBRE 2023'!AL267+'POAI SEPTIEMBRE 2023'!AL268+'POAI SEPTIEMBRE 2023'!AL269+'POAI SEPTIEMBRE 2023'!AL270+'POAI SEPTIEMBRE 2023'!AL271</f>
        <v>1298986169</v>
      </c>
    </row>
    <row r="155" spans="1:5" s="18" customFormat="1" ht="117.75" customHeight="1">
      <c r="A155" s="31"/>
      <c r="B155" s="37"/>
      <c r="C155" s="28">
        <v>2302</v>
      </c>
      <c r="D155" s="23" t="s">
        <v>1153</v>
      </c>
      <c r="E155" s="29">
        <f>'POAI SEPTIEMBRE 2023'!AL272+'POAI SEPTIEMBRE 2023'!AL273+'POAI SEPTIEMBRE 2023'!AL274+'POAI SEPTIEMBRE 2023'!AL275+'POAI SEPTIEMBRE 2023'!AL276</f>
        <v>424788331</v>
      </c>
    </row>
    <row r="156" spans="1:5" s="4" customFormat="1" ht="24" customHeight="1">
      <c r="A156" s="100">
        <v>2</v>
      </c>
      <c r="B156" s="101" t="s">
        <v>1288</v>
      </c>
      <c r="C156" s="101"/>
      <c r="D156" s="101"/>
      <c r="E156" s="102">
        <f>E157</f>
        <v>128119518</v>
      </c>
    </row>
    <row r="157" spans="1:5" ht="24" customHeight="1">
      <c r="A157" s="13"/>
      <c r="B157" s="106">
        <v>39</v>
      </c>
      <c r="C157" s="107" t="s">
        <v>746</v>
      </c>
      <c r="D157" s="108"/>
      <c r="E157" s="109">
        <f>SUM(E158:E159)</f>
        <v>128119518</v>
      </c>
    </row>
    <row r="158" spans="1:5" s="18" customFormat="1" ht="44.25" customHeight="1">
      <c r="A158" s="35"/>
      <c r="B158" s="7"/>
      <c r="C158" s="45" t="s">
        <v>1166</v>
      </c>
      <c r="D158" s="20" t="s">
        <v>1167</v>
      </c>
      <c r="E158" s="29">
        <f>'POAI SEPTIEMBRE 2023'!AL277+'POAI SEPTIEMBRE 2023'!AL278+'POAI SEPTIEMBRE 2023'!AL279</f>
        <v>71719518</v>
      </c>
    </row>
    <row r="159" spans="1:5" s="18" customFormat="1" ht="57.75" customHeight="1">
      <c r="A159" s="31"/>
      <c r="B159" s="7"/>
      <c r="C159" s="45">
        <v>3904</v>
      </c>
      <c r="D159" s="20" t="s">
        <v>1179</v>
      </c>
      <c r="E159" s="29">
        <f>'POAI SEPTIEMBRE 2023'!AL280</f>
        <v>56400000</v>
      </c>
    </row>
    <row r="160" spans="1:5" s="4" customFormat="1" ht="24" customHeight="1">
      <c r="A160" s="100">
        <v>4</v>
      </c>
      <c r="B160" s="101" t="s">
        <v>1280</v>
      </c>
      <c r="C160" s="101"/>
      <c r="D160" s="101"/>
      <c r="E160" s="102">
        <f>E161</f>
        <v>477000000</v>
      </c>
    </row>
    <row r="161" spans="1:5" ht="24" customHeight="1">
      <c r="A161" s="13"/>
      <c r="B161" s="106">
        <v>23</v>
      </c>
      <c r="C161" s="107" t="s">
        <v>1127</v>
      </c>
      <c r="D161" s="108"/>
      <c r="E161" s="109">
        <f>E162</f>
        <v>477000000</v>
      </c>
    </row>
    <row r="162" spans="1:5" s="18" customFormat="1" ht="99.75" customHeight="1">
      <c r="A162" s="31"/>
      <c r="B162" s="22"/>
      <c r="C162" s="14">
        <v>2302</v>
      </c>
      <c r="D162" s="23" t="s">
        <v>1153</v>
      </c>
      <c r="E162" s="29">
        <f>'POAI SEPTIEMBRE 2023'!AL281+'POAI SEPTIEMBRE 2023'!AL282+'POAI SEPTIEMBRE 2023'!AL283+'POAI SEPTIEMBRE 2023'!AL284+'POAI SEPTIEMBRE 2023'!AL285+'POAI SEPTIEMBRE 2023'!AL286</f>
        <v>477000000</v>
      </c>
    </row>
    <row r="163" spans="1:5" s="39" customFormat="1" ht="18.75" customHeight="1">
      <c r="A163" s="5"/>
      <c r="B163" s="5"/>
      <c r="C163" s="5"/>
      <c r="D163" s="6"/>
      <c r="E163" s="38"/>
    </row>
    <row r="164" spans="1:5" s="9" customFormat="1" ht="30" customHeight="1">
      <c r="A164" s="78" t="s">
        <v>1306</v>
      </c>
      <c r="B164" s="80"/>
      <c r="C164" s="78"/>
      <c r="D164" s="81"/>
      <c r="E164" s="82">
        <f>E6+E12+E18+E23+E55+E77+E83+E90+E110+E116+E125+E144+E151</f>
        <v>446070294553.28998</v>
      </c>
    </row>
    <row r="165" spans="1:5" s="39" customFormat="1" ht="29.25" customHeight="1">
      <c r="A165" s="5"/>
      <c r="B165" s="5"/>
      <c r="C165" s="5"/>
      <c r="D165" s="6"/>
      <c r="E165" s="38"/>
    </row>
    <row r="166" spans="1:5" ht="24" customHeight="1">
      <c r="A166" s="56" t="s">
        <v>1307</v>
      </c>
      <c r="B166" s="62"/>
      <c r="C166" s="170"/>
      <c r="D166" s="169"/>
      <c r="E166" s="64">
        <f>E167</f>
        <v>10324433912.389999</v>
      </c>
    </row>
    <row r="167" spans="1:5" ht="24" customHeight="1">
      <c r="A167" s="100">
        <v>1</v>
      </c>
      <c r="B167" s="101" t="s">
        <v>1286</v>
      </c>
      <c r="C167" s="101"/>
      <c r="D167" s="101"/>
      <c r="E167" s="102">
        <f>E168</f>
        <v>10324433912.389999</v>
      </c>
    </row>
    <row r="168" spans="1:5" ht="24" customHeight="1">
      <c r="A168" s="13"/>
      <c r="B168" s="106">
        <v>43</v>
      </c>
      <c r="C168" s="107" t="s">
        <v>190</v>
      </c>
      <c r="D168" s="108"/>
      <c r="E168" s="109">
        <f>SUM(E169:E170)</f>
        <v>10324433912.389999</v>
      </c>
    </row>
    <row r="169" spans="1:5" ht="76.5" customHeight="1">
      <c r="A169" s="26"/>
      <c r="B169" s="27"/>
      <c r="C169" s="22">
        <v>4301</v>
      </c>
      <c r="D169" s="46" t="s">
        <v>1287</v>
      </c>
      <c r="E169" s="29">
        <f>SUM('POAI SEPTIEMBRE 2023'!AL287:AL290)</f>
        <v>3600656662.8499999</v>
      </c>
    </row>
    <row r="170" spans="1:5" ht="37.5" customHeight="1">
      <c r="A170" s="30"/>
      <c r="B170" s="31"/>
      <c r="C170" s="22">
        <v>4302</v>
      </c>
      <c r="D170" s="46" t="s">
        <v>1212</v>
      </c>
      <c r="E170" s="29">
        <f>SUM('POAI SEPTIEMBRE 2023'!AL291:AL292)</f>
        <v>6723777249.54</v>
      </c>
    </row>
    <row r="171" spans="1:5" s="39" customFormat="1" ht="18.75" customHeight="1">
      <c r="A171" s="5"/>
      <c r="B171" s="5"/>
      <c r="C171" s="5"/>
      <c r="D171" s="6"/>
      <c r="E171" s="38"/>
    </row>
    <row r="172" spans="1:5" s="39" customFormat="1" ht="24" customHeight="1">
      <c r="A172" s="56" t="s">
        <v>1308</v>
      </c>
      <c r="B172" s="62"/>
      <c r="C172" s="62"/>
      <c r="D172" s="63"/>
      <c r="E172" s="64">
        <f>E173+E178+E184</f>
        <v>4712923248</v>
      </c>
    </row>
    <row r="173" spans="1:5" s="39" customFormat="1" ht="24" customHeight="1">
      <c r="A173" s="100">
        <v>1</v>
      </c>
      <c r="B173" s="101" t="s">
        <v>1286</v>
      </c>
      <c r="C173" s="101"/>
      <c r="D173" s="101"/>
      <c r="E173" s="102">
        <f>E174+E176</f>
        <v>2658311172</v>
      </c>
    </row>
    <row r="174" spans="1:5" ht="24" customHeight="1">
      <c r="A174" s="13"/>
      <c r="B174" s="106">
        <v>43</v>
      </c>
      <c r="C174" s="107" t="s">
        <v>190</v>
      </c>
      <c r="D174" s="108"/>
      <c r="E174" s="109">
        <f>E175</f>
        <v>1462000000</v>
      </c>
    </row>
    <row r="175" spans="1:5" s="39" customFormat="1" ht="76.5" customHeight="1">
      <c r="A175" s="47"/>
      <c r="B175" s="28"/>
      <c r="C175" s="12">
        <v>4301</v>
      </c>
      <c r="D175" s="23" t="s">
        <v>1287</v>
      </c>
      <c r="E175" s="29">
        <f>'POAI SEPTIEMBRE 2023'!AL293</f>
        <v>1462000000</v>
      </c>
    </row>
    <row r="176" spans="1:5" ht="24" customHeight="1">
      <c r="A176" s="40"/>
      <c r="B176" s="110">
        <v>22</v>
      </c>
      <c r="C176" s="112" t="s">
        <v>160</v>
      </c>
      <c r="D176" s="113"/>
      <c r="E176" s="109">
        <f>E177</f>
        <v>1196311172</v>
      </c>
    </row>
    <row r="177" spans="1:5" s="39" customFormat="1" ht="53.25" customHeight="1">
      <c r="A177" s="48"/>
      <c r="B177" s="28"/>
      <c r="C177" s="12">
        <v>2201</v>
      </c>
      <c r="D177" s="23" t="s">
        <v>298</v>
      </c>
      <c r="E177" s="29">
        <f>'POAI SEPTIEMBRE 2023'!AL294</f>
        <v>1196311172</v>
      </c>
    </row>
    <row r="178" spans="1:5" s="39" customFormat="1" ht="24" customHeight="1">
      <c r="A178" s="100">
        <v>3</v>
      </c>
      <c r="B178" s="101" t="s">
        <v>1290</v>
      </c>
      <c r="C178" s="101"/>
      <c r="D178" s="101"/>
      <c r="E178" s="102">
        <f>E179+E181</f>
        <v>1510612076</v>
      </c>
    </row>
    <row r="179" spans="1:5" ht="24" customHeight="1">
      <c r="A179" s="13"/>
      <c r="B179" s="106">
        <v>24</v>
      </c>
      <c r="C179" s="107" t="s">
        <v>213</v>
      </c>
      <c r="D179" s="108"/>
      <c r="E179" s="109">
        <f>E180</f>
        <v>440356768</v>
      </c>
    </row>
    <row r="180" spans="1:5" s="39" customFormat="1" ht="42" customHeight="1">
      <c r="A180" s="47"/>
      <c r="B180" s="28"/>
      <c r="C180" s="12">
        <v>2402</v>
      </c>
      <c r="D180" s="24" t="s">
        <v>214</v>
      </c>
      <c r="E180" s="49">
        <f>'POAI SEPTIEMBRE 2023'!AL295</f>
        <v>440356768</v>
      </c>
    </row>
    <row r="181" spans="1:5" ht="24" customHeight="1">
      <c r="A181" s="40"/>
      <c r="B181" s="110">
        <v>40</v>
      </c>
      <c r="C181" s="111" t="s">
        <v>1291</v>
      </c>
      <c r="D181" s="108"/>
      <c r="E181" s="109">
        <f>E182+E183</f>
        <v>1070255308</v>
      </c>
    </row>
    <row r="182" spans="1:5" s="39" customFormat="1" ht="44.25" customHeight="1">
      <c r="A182" s="48"/>
      <c r="B182" s="28"/>
      <c r="C182" s="12">
        <v>4001</v>
      </c>
      <c r="D182" s="50" t="s">
        <v>242</v>
      </c>
      <c r="E182" s="49">
        <f>'POAI SEPTIEMBRE 2023'!AL296+'POAI SEPTIEMBRE 2023'!AL297+'POAI SEPTIEMBRE 2023'!AL298+'POAI SEPTIEMBRE 2023'!AL299+'POAI SEPTIEMBRE 2023'!AL300+'POAI SEPTIEMBRE 2023'!AL301+'POAI SEPTIEMBRE 2023'!AL302</f>
        <v>920255308</v>
      </c>
    </row>
    <row r="183" spans="1:5" s="39" customFormat="1" ht="52.5" customHeight="1">
      <c r="A183" s="240"/>
      <c r="B183" s="28"/>
      <c r="C183" s="12">
        <v>4003</v>
      </c>
      <c r="D183" s="50" t="s">
        <v>250</v>
      </c>
      <c r="E183" s="49">
        <f>'POAI SEPTIEMBRE 2023'!AL303</f>
        <v>150000000</v>
      </c>
    </row>
    <row r="184" spans="1:5" ht="24" customHeight="1">
      <c r="A184" s="100">
        <v>4</v>
      </c>
      <c r="B184" s="101" t="s">
        <v>1280</v>
      </c>
      <c r="C184" s="101"/>
      <c r="D184" s="101"/>
      <c r="E184" s="102">
        <f>E185</f>
        <v>544000000</v>
      </c>
    </row>
    <row r="185" spans="1:5" ht="24" customHeight="1">
      <c r="A185" s="13"/>
      <c r="B185" s="106">
        <v>45</v>
      </c>
      <c r="C185" s="107" t="s">
        <v>60</v>
      </c>
      <c r="D185" s="108"/>
      <c r="E185" s="109">
        <f>SUM(E186:E186)</f>
        <v>544000000</v>
      </c>
    </row>
    <row r="186" spans="1:5" ht="53.25" customHeight="1">
      <c r="A186" s="12"/>
      <c r="B186" s="12"/>
      <c r="C186" s="12">
        <v>4599</v>
      </c>
      <c r="D186" s="23" t="s">
        <v>1282</v>
      </c>
      <c r="E186" s="29">
        <f>'POAI SEPTIEMBRE 2023'!AL304</f>
        <v>544000000</v>
      </c>
    </row>
    <row r="187" spans="1:5" s="39" customFormat="1" ht="18.75" customHeight="1">
      <c r="A187" s="5"/>
      <c r="B187" s="5"/>
      <c r="C187" s="5"/>
      <c r="D187" s="6"/>
      <c r="E187" s="38"/>
    </row>
    <row r="188" spans="1:5" ht="24" customHeight="1">
      <c r="A188" s="56" t="s">
        <v>1309</v>
      </c>
      <c r="B188" s="62"/>
      <c r="C188" s="62"/>
      <c r="D188" s="63"/>
      <c r="E188" s="64">
        <f>E189</f>
        <v>168932650</v>
      </c>
    </row>
    <row r="189" spans="1:5" ht="24" customHeight="1">
      <c r="A189" s="100">
        <v>3</v>
      </c>
      <c r="B189" s="101" t="s">
        <v>1290</v>
      </c>
      <c r="C189" s="101"/>
      <c r="D189" s="101"/>
      <c r="E189" s="102">
        <f>E190</f>
        <v>168932650</v>
      </c>
    </row>
    <row r="190" spans="1:5" ht="24" customHeight="1">
      <c r="A190" s="13"/>
      <c r="B190" s="106">
        <v>24</v>
      </c>
      <c r="C190" s="107" t="s">
        <v>213</v>
      </c>
      <c r="D190" s="108"/>
      <c r="E190" s="109">
        <f>E191</f>
        <v>168932650</v>
      </c>
    </row>
    <row r="191" spans="1:5" ht="54" customHeight="1">
      <c r="A191" s="31"/>
      <c r="B191" s="22"/>
      <c r="C191" s="12">
        <v>2409</v>
      </c>
      <c r="D191" s="23" t="s">
        <v>1257</v>
      </c>
      <c r="E191" s="29">
        <f>'POAI SEPTIEMBRE 2023'!AL305+'POAI SEPTIEMBRE 2023'!AL306+'POAI SEPTIEMBRE 2023'!AL307+'POAI SEPTIEMBRE 2023'!AL308</f>
        <v>168932650</v>
      </c>
    </row>
    <row r="192" spans="1:5" s="39" customFormat="1" ht="23.25" customHeight="1">
      <c r="A192" s="5"/>
      <c r="B192" s="5"/>
      <c r="C192" s="5"/>
      <c r="D192" s="6"/>
      <c r="E192" s="51"/>
    </row>
    <row r="193" spans="1:5" s="9" customFormat="1" ht="30" customHeight="1">
      <c r="A193" s="78" t="s">
        <v>1310</v>
      </c>
      <c r="B193" s="78"/>
      <c r="C193" s="78"/>
      <c r="D193" s="78"/>
      <c r="E193" s="79">
        <f>E188+E172+E166</f>
        <v>15206289810.389999</v>
      </c>
    </row>
    <row r="194" spans="1:5" s="9" customFormat="1" ht="16.5" thickBot="1">
      <c r="A194" s="52"/>
      <c r="B194" s="52"/>
      <c r="C194" s="52"/>
      <c r="D194" s="53"/>
      <c r="E194" s="54"/>
    </row>
    <row r="195" spans="1:5" s="9" customFormat="1" ht="30" customHeight="1" thickBot="1">
      <c r="A195" s="74" t="s">
        <v>1311</v>
      </c>
      <c r="B195" s="75"/>
      <c r="C195" s="75"/>
      <c r="D195" s="76"/>
      <c r="E195" s="77">
        <f>E164+E193</f>
        <v>461276584363.67999</v>
      </c>
    </row>
    <row r="197" spans="1:5" ht="28.5" customHeight="1"/>
  </sheetData>
  <mergeCells count="2">
    <mergeCell ref="C5:D5"/>
    <mergeCell ref="A1:E3"/>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1:C86"/>
  <sheetViews>
    <sheetView showGridLines="0" zoomScale="70" zoomScaleNormal="70" workbookViewId="0">
      <selection sqref="A1:C3"/>
    </sheetView>
  </sheetViews>
  <sheetFormatPr baseColWidth="10" defaultColWidth="11.42578125" defaultRowHeight="15"/>
  <cols>
    <col min="1" max="1" width="15.28515625" style="5" customWidth="1"/>
    <col min="2" max="2" width="49" style="6" customWidth="1"/>
    <col min="3" max="3" width="34.42578125" style="6" customWidth="1"/>
    <col min="4" max="16384" width="11.42578125" style="1"/>
  </cols>
  <sheetData>
    <row r="1" spans="1:3" ht="21" customHeight="1">
      <c r="A1" s="403" t="s">
        <v>1493</v>
      </c>
      <c r="B1" s="404"/>
      <c r="C1" s="405"/>
    </row>
    <row r="2" spans="1:3" ht="27" customHeight="1">
      <c r="A2" s="406"/>
      <c r="B2" s="407"/>
      <c r="C2" s="408"/>
    </row>
    <row r="3" spans="1:3" ht="21" customHeight="1">
      <c r="A3" s="409"/>
      <c r="B3" s="410"/>
      <c r="C3" s="411"/>
    </row>
    <row r="4" spans="1:3" ht="9" customHeight="1">
      <c r="A4" s="10"/>
      <c r="B4" s="11"/>
      <c r="C4" s="11"/>
    </row>
    <row r="5" spans="1:3" s="3" customFormat="1" ht="30" customHeight="1">
      <c r="A5" s="83" t="s">
        <v>1312</v>
      </c>
      <c r="B5" s="87" t="s">
        <v>1313</v>
      </c>
      <c r="C5" s="85" t="s">
        <v>1314</v>
      </c>
    </row>
    <row r="6" spans="1:3" s="4" customFormat="1" ht="30" customHeight="1">
      <c r="A6" s="65" t="s">
        <v>1279</v>
      </c>
      <c r="B6" s="61"/>
      <c r="C6" s="64">
        <f>C7+C8</f>
        <v>14299509202</v>
      </c>
    </row>
    <row r="7" spans="1:3" ht="30" customHeight="1">
      <c r="A7" s="16"/>
      <c r="B7" s="88" t="s">
        <v>1315</v>
      </c>
      <c r="C7" s="29">
        <f>SUM('POAI SEPTIEMBRE 2023'!AH7:AH10)</f>
        <v>4899509202</v>
      </c>
    </row>
    <row r="8" spans="1:3" ht="30" customHeight="1">
      <c r="A8" s="16"/>
      <c r="B8" s="88" t="s">
        <v>1459</v>
      </c>
      <c r="C8" s="29">
        <f>'POAI SEPTIEMBRE 2023'!AJ10</f>
        <v>9400000000</v>
      </c>
    </row>
    <row r="9" spans="1:3" ht="12" customHeight="1">
      <c r="A9" s="19"/>
      <c r="B9" s="177"/>
      <c r="C9" s="8"/>
    </row>
    <row r="10" spans="1:3" s="4" customFormat="1" ht="30" customHeight="1">
      <c r="A10" s="70" t="s">
        <v>1283</v>
      </c>
      <c r="B10" s="72"/>
      <c r="C10" s="73">
        <f>C11</f>
        <v>1457064026</v>
      </c>
    </row>
    <row r="11" spans="1:3" ht="30" customHeight="1">
      <c r="A11" s="16"/>
      <c r="B11" s="88" t="s">
        <v>1315</v>
      </c>
      <c r="C11" s="29">
        <f>SUM('POAI SEPTIEMBRE 2023'!AH11:AH22)</f>
        <v>1457064026</v>
      </c>
    </row>
    <row r="12" spans="1:3" ht="13.5" customHeight="1"/>
    <row r="13" spans="1:3" ht="30" customHeight="1">
      <c r="A13" s="70" t="s">
        <v>1284</v>
      </c>
      <c r="B13" s="72"/>
      <c r="C13" s="73">
        <f>SUM(C14:C15)</f>
        <v>5228695734</v>
      </c>
    </row>
    <row r="14" spans="1:3" ht="30" customHeight="1">
      <c r="A14" s="31"/>
      <c r="B14" s="89" t="s">
        <v>1315</v>
      </c>
      <c r="C14" s="29">
        <f>SUM('POAI SEPTIEMBRE 2023'!AH23:AH24)</f>
        <v>4551767972</v>
      </c>
    </row>
    <row r="15" spans="1:3" s="39" customFormat="1" ht="30" customHeight="1">
      <c r="A15" s="31"/>
      <c r="B15" s="23" t="s">
        <v>1316</v>
      </c>
      <c r="C15" s="29">
        <f>'POAI SEPTIEMBRE 2023'!AK23</f>
        <v>676927762</v>
      </c>
    </row>
    <row r="16" spans="1:3" ht="12.75" customHeight="1">
      <c r="C16" s="38"/>
    </row>
    <row r="17" spans="1:3" ht="30" customHeight="1">
      <c r="A17" s="65" t="s">
        <v>1285</v>
      </c>
      <c r="B17" s="63"/>
      <c r="C17" s="64">
        <f>SUM(C18:C25)</f>
        <v>95388240819.809998</v>
      </c>
    </row>
    <row r="18" spans="1:3" ht="30" customHeight="1">
      <c r="A18" s="16"/>
      <c r="B18" s="20" t="s">
        <v>1317</v>
      </c>
      <c r="C18" s="29">
        <f>SUM('POAI SEPTIEMBRE 2023'!AB25:AB53)</f>
        <v>10709007229.1</v>
      </c>
    </row>
    <row r="19" spans="1:3" ht="30" customHeight="1">
      <c r="A19" s="16"/>
      <c r="B19" s="20" t="s">
        <v>1318</v>
      </c>
      <c r="C19" s="29">
        <f>SUM('POAI SEPTIEMBRE 2023'!AG25:AG53)</f>
        <v>3720411051.8400002</v>
      </c>
    </row>
    <row r="20" spans="1:3" ht="30" customHeight="1">
      <c r="A20" s="16"/>
      <c r="B20" s="88" t="s">
        <v>1315</v>
      </c>
      <c r="C20" s="29">
        <f>SUM('POAI SEPTIEMBRE 2023'!AH25:AH53)</f>
        <v>6880294212</v>
      </c>
    </row>
    <row r="21" spans="1:3" ht="30" customHeight="1">
      <c r="A21" s="16"/>
      <c r="B21" s="158" t="s">
        <v>1319</v>
      </c>
      <c r="C21" s="159">
        <f>'POAI SEPTIEMBRE 2023'!AI33+'POAI SEPTIEMBRE 2023'!AI34+'POAI SEPTIEMBRE 2023'!AI35+'POAI SEPTIEMBRE 2023'!AI38+'POAI SEPTIEMBRE 2023'!AI39+'POAI SEPTIEMBRE 2023'!AI52</f>
        <v>3926189182.8699999</v>
      </c>
    </row>
    <row r="22" spans="1:3" ht="30" customHeight="1">
      <c r="A22" s="27"/>
      <c r="B22" s="17" t="s">
        <v>1496</v>
      </c>
      <c r="C22" s="44">
        <f>'POAI SEPTIEMBRE 2023'!AK34</f>
        <v>29115498510</v>
      </c>
    </row>
    <row r="23" spans="1:3" ht="30" customHeight="1">
      <c r="A23" s="27"/>
      <c r="B23" s="17" t="s">
        <v>1497</v>
      </c>
      <c r="C23" s="44">
        <f>'POAI SEPTIEMBRE 2023'!AK51</f>
        <v>15612200000</v>
      </c>
    </row>
    <row r="24" spans="1:3" ht="30" customHeight="1">
      <c r="A24" s="27"/>
      <c r="B24" s="17" t="s">
        <v>1488</v>
      </c>
      <c r="C24" s="44">
        <f>'POAI SEPTIEMBRE 2023'!AI49</f>
        <v>74640634</v>
      </c>
    </row>
    <row r="25" spans="1:3" ht="30" customHeight="1">
      <c r="A25" s="16"/>
      <c r="B25" s="17" t="s">
        <v>1459</v>
      </c>
      <c r="C25" s="44">
        <f>SUM('POAI SEPTIEMBRE 2023'!AJ25:AJ52)</f>
        <v>25350000000</v>
      </c>
    </row>
    <row r="26" spans="1:3" ht="10.5" customHeight="1">
      <c r="C26" s="38"/>
    </row>
    <row r="27" spans="1:3" ht="30" customHeight="1">
      <c r="A27" s="90" t="s">
        <v>1292</v>
      </c>
      <c r="B27" s="91"/>
      <c r="C27" s="92">
        <f>SUM(C28:C29)</f>
        <v>9959166049.1399994</v>
      </c>
    </row>
    <row r="28" spans="1:3" ht="30" customHeight="1">
      <c r="A28" s="16"/>
      <c r="B28" s="89" t="s">
        <v>1315</v>
      </c>
      <c r="C28" s="93">
        <f>SUM('POAI SEPTIEMBRE 2023'!AH54:AH74)</f>
        <v>2665889488</v>
      </c>
    </row>
    <row r="29" spans="1:3" ht="30" customHeight="1">
      <c r="A29" s="16"/>
      <c r="B29" s="20" t="s">
        <v>1320</v>
      </c>
      <c r="C29" s="29">
        <f>SUM('POAI SEPTIEMBRE 2023'!AI54:AI74)</f>
        <v>7293276561.1399994</v>
      </c>
    </row>
    <row r="30" spans="1:3" ht="12.75" customHeight="1">
      <c r="C30" s="38"/>
    </row>
    <row r="31" spans="1:3" ht="30" customHeight="1">
      <c r="A31" s="65" t="s">
        <v>1294</v>
      </c>
      <c r="B31" s="63"/>
      <c r="C31" s="64">
        <f>SUM(C32:C34)</f>
        <v>4901071565.04</v>
      </c>
    </row>
    <row r="32" spans="1:3" ht="30" customHeight="1">
      <c r="A32" s="16"/>
      <c r="B32" s="20" t="s">
        <v>1321</v>
      </c>
      <c r="C32" s="29">
        <f>SUM('POAI SEPTIEMBRE 2023'!AB75:AB84)</f>
        <v>2648373464.04</v>
      </c>
    </row>
    <row r="33" spans="1:3" ht="30" customHeight="1">
      <c r="A33" s="16"/>
      <c r="B33" s="88" t="s">
        <v>1315</v>
      </c>
      <c r="C33" s="29">
        <f>SUM('POAI SEPTIEMBRE 2023'!AH75:AH84)</f>
        <v>2148838679</v>
      </c>
    </row>
    <row r="34" spans="1:3" s="39" customFormat="1" ht="30" customHeight="1">
      <c r="A34" s="16"/>
      <c r="B34" s="20" t="s">
        <v>1322</v>
      </c>
      <c r="C34" s="21">
        <f>'POAI SEPTIEMBRE 2023'!AI84</f>
        <v>103859422.00000001</v>
      </c>
    </row>
    <row r="35" spans="1:3" ht="12" customHeight="1">
      <c r="C35" s="38"/>
    </row>
    <row r="36" spans="1:3" ht="30" customHeight="1">
      <c r="A36" s="65" t="s">
        <v>1295</v>
      </c>
      <c r="B36" s="63"/>
      <c r="C36" s="64">
        <f>SUM(C37:C38)</f>
        <v>4131910173.9000001</v>
      </c>
    </row>
    <row r="37" spans="1:3" ht="30" customHeight="1">
      <c r="A37" s="16"/>
      <c r="B37" s="88" t="s">
        <v>1315</v>
      </c>
      <c r="C37" s="29">
        <f>SUM('POAI SEPTIEMBRE 2023'!AH85:AH95)</f>
        <v>2849879143</v>
      </c>
    </row>
    <row r="38" spans="1:3" s="39" customFormat="1" ht="30" customHeight="1">
      <c r="A38" s="16"/>
      <c r="B38" s="20" t="s">
        <v>1323</v>
      </c>
      <c r="C38" s="29">
        <f>'POAI SEPTIEMBRE 2023'!AI90</f>
        <v>1282031030.9000001</v>
      </c>
    </row>
    <row r="39" spans="1:3" ht="12" customHeight="1">
      <c r="C39" s="38"/>
    </row>
    <row r="40" spans="1:3" ht="30" customHeight="1">
      <c r="A40" s="65" t="s">
        <v>1297</v>
      </c>
      <c r="B40" s="63"/>
      <c r="C40" s="64">
        <f>C41</f>
        <v>5930194939</v>
      </c>
    </row>
    <row r="41" spans="1:3" ht="30" customHeight="1">
      <c r="A41" s="16"/>
      <c r="B41" s="88" t="s">
        <v>1315</v>
      </c>
      <c r="C41" s="29">
        <f>SUM('POAI SEPTIEMBRE 2023'!AH96:AH132)</f>
        <v>5930194939</v>
      </c>
    </row>
    <row r="42" spans="1:3" ht="14.25" customHeight="1">
      <c r="C42" s="38"/>
    </row>
    <row r="43" spans="1:3" ht="30" customHeight="1">
      <c r="A43" s="65" t="s">
        <v>1417</v>
      </c>
      <c r="B43" s="63"/>
      <c r="C43" s="64">
        <f>C44</f>
        <v>4558243430</v>
      </c>
    </row>
    <row r="44" spans="1:3" ht="30" customHeight="1">
      <c r="A44" s="16"/>
      <c r="B44" s="88" t="s">
        <v>1315</v>
      </c>
      <c r="C44" s="29">
        <f>SUM('POAI SEPTIEMBRE 2023'!AH133:AH136)</f>
        <v>4558243430</v>
      </c>
    </row>
    <row r="45" spans="1:3" ht="10.5" customHeight="1">
      <c r="B45" s="59"/>
      <c r="C45" s="60"/>
    </row>
    <row r="46" spans="1:3" ht="30" customHeight="1">
      <c r="A46" s="65" t="s">
        <v>1372</v>
      </c>
      <c r="B46" s="63"/>
      <c r="C46" s="64">
        <f>SUM(C47:C50)</f>
        <v>224637789380.59998</v>
      </c>
    </row>
    <row r="47" spans="1:3" ht="30" customHeight="1">
      <c r="A47" s="16"/>
      <c r="B47" s="20" t="s">
        <v>1324</v>
      </c>
      <c r="C47" s="21">
        <f>SUM('POAI SEPTIEMBRE 2023'!AC137:AC172)</f>
        <v>5883207088.3699999</v>
      </c>
    </row>
    <row r="48" spans="1:3" ht="30" customHeight="1">
      <c r="A48" s="16"/>
      <c r="B48" s="20" t="s">
        <v>1325</v>
      </c>
      <c r="C48" s="29">
        <f>SUM('POAI SEPTIEMBRE 2023'!AF137:AF172)</f>
        <v>187615011537.45999</v>
      </c>
    </row>
    <row r="49" spans="1:3" ht="30" customHeight="1">
      <c r="A49" s="94"/>
      <c r="B49" s="97" t="s">
        <v>1315</v>
      </c>
      <c r="C49" s="98">
        <f>SUM('POAI SEPTIEMBRE 2023'!AH137:AH172)</f>
        <v>15928895837</v>
      </c>
    </row>
    <row r="50" spans="1:3" ht="30" customHeight="1">
      <c r="A50" s="16"/>
      <c r="B50" s="95" t="s">
        <v>1326</v>
      </c>
      <c r="C50" s="99">
        <f>'POAI SEPTIEMBRE 2023'!AK142</f>
        <v>15210674917.77</v>
      </c>
    </row>
    <row r="51" spans="1:3" s="39" customFormat="1" ht="12.75" customHeight="1">
      <c r="A51" s="5"/>
      <c r="B51" s="6"/>
      <c r="C51" s="38"/>
    </row>
    <row r="52" spans="1:3" s="39" customFormat="1" ht="30" customHeight="1">
      <c r="A52" s="65" t="s">
        <v>1301</v>
      </c>
      <c r="B52" s="63"/>
      <c r="C52" s="64">
        <f>SUM(C53:C54)</f>
        <v>9615731819.3800011</v>
      </c>
    </row>
    <row r="53" spans="1:3" s="39" customFormat="1" ht="30" customHeight="1">
      <c r="A53" s="16"/>
      <c r="B53" s="20" t="s">
        <v>1327</v>
      </c>
      <c r="C53" s="29">
        <f>'POAI SEPTIEMBRE 2023'!AB196</f>
        <v>5750058847.3800001</v>
      </c>
    </row>
    <row r="54" spans="1:3" s="39" customFormat="1" ht="30" customHeight="1">
      <c r="A54" s="16"/>
      <c r="B54" s="88" t="s">
        <v>1315</v>
      </c>
      <c r="C54" s="29">
        <f>SUM('POAI SEPTIEMBRE 2023'!AH173:AH203)</f>
        <v>3865672972</v>
      </c>
    </row>
    <row r="55" spans="1:3" ht="12" customHeight="1">
      <c r="C55" s="38"/>
    </row>
    <row r="56" spans="1:3" ht="30" customHeight="1">
      <c r="A56" s="65" t="s">
        <v>1302</v>
      </c>
      <c r="B56" s="63"/>
      <c r="C56" s="64">
        <f>SUM(C57:C61)</f>
        <v>63633783396.419998</v>
      </c>
    </row>
    <row r="57" spans="1:3" ht="30" customHeight="1">
      <c r="A57" s="16"/>
      <c r="B57" s="20" t="s">
        <v>1324</v>
      </c>
      <c r="C57" s="29">
        <f>SUM('POAI SEPTIEMBRE 2023'!AC204:AC262)</f>
        <v>700000000</v>
      </c>
    </row>
    <row r="58" spans="1:3" ht="30" customHeight="1">
      <c r="A58" s="16"/>
      <c r="B58" s="20" t="s">
        <v>1328</v>
      </c>
      <c r="C58" s="29">
        <f>SUM('POAI SEPTIEMBRE 2023'!AD204:AD262)</f>
        <v>7968751666.3899994</v>
      </c>
    </row>
    <row r="59" spans="1:3" ht="30" customHeight="1">
      <c r="A59" s="16"/>
      <c r="B59" s="20" t="s">
        <v>1329</v>
      </c>
      <c r="C59" s="29">
        <f>SUM('POAI SEPTIEMBRE 2023'!AE204:AE262)</f>
        <v>48301361768.379997</v>
      </c>
    </row>
    <row r="60" spans="1:3" ht="30" customHeight="1">
      <c r="A60" s="16"/>
      <c r="B60" s="20" t="s">
        <v>1315</v>
      </c>
      <c r="C60" s="29">
        <f>SUM('POAI SEPTIEMBRE 2023'!AH204:AH262)</f>
        <v>1595975478</v>
      </c>
    </row>
    <row r="61" spans="1:3" ht="30" customHeight="1">
      <c r="A61" s="16"/>
      <c r="B61" s="20" t="s">
        <v>1331</v>
      </c>
      <c r="C61" s="29">
        <f>SUM('POAI SEPTIEMBRE 2023'!AK204:AK262)</f>
        <v>5067694483.6499996</v>
      </c>
    </row>
    <row r="62" spans="1:3" s="4" customFormat="1" ht="15.75" customHeight="1">
      <c r="A62" s="5"/>
      <c r="B62" s="6"/>
      <c r="C62" s="38"/>
    </row>
    <row r="63" spans="1:3" s="4" customFormat="1" ht="30" customHeight="1">
      <c r="A63" s="56" t="s">
        <v>1330</v>
      </c>
      <c r="B63" s="63"/>
      <c r="C63" s="64">
        <f>C64</f>
        <v>2328894018</v>
      </c>
    </row>
    <row r="64" spans="1:3" s="4" customFormat="1" ht="30" customHeight="1">
      <c r="A64" s="31"/>
      <c r="B64" s="23" t="s">
        <v>1315</v>
      </c>
      <c r="C64" s="29">
        <f>SUM('POAI SEPTIEMBRE 2023'!AH263:AH286)</f>
        <v>2328894018</v>
      </c>
    </row>
    <row r="65" spans="1:3" s="9" customFormat="1" ht="21.75" customHeight="1">
      <c r="A65" s="5"/>
      <c r="B65" s="6"/>
      <c r="C65" s="38"/>
    </row>
    <row r="66" spans="1:3" s="39" customFormat="1" ht="30" customHeight="1">
      <c r="A66" s="78" t="s">
        <v>1306</v>
      </c>
      <c r="B66" s="81"/>
      <c r="C66" s="82">
        <f>C6+C10+C13+C17+C27+C31+C36+C40+C43+C46+C52+C56+C63</f>
        <v>446070294553.28998</v>
      </c>
    </row>
    <row r="67" spans="1:3" ht="24.75" customHeight="1">
      <c r="C67" s="38"/>
    </row>
    <row r="68" spans="1:3" ht="30" customHeight="1">
      <c r="A68" s="65" t="s">
        <v>1307</v>
      </c>
      <c r="B68" s="63"/>
      <c r="C68" s="64">
        <f>SUM(C69:C74)</f>
        <v>10324433912.389999</v>
      </c>
    </row>
    <row r="69" spans="1:3" ht="30" customHeight="1">
      <c r="A69" s="16"/>
      <c r="B69" s="96" t="s">
        <v>1479</v>
      </c>
      <c r="C69" s="29">
        <f>SUM('POAI SEPTIEMBRE 2023'!AB287:AB292)</f>
        <v>5147947220.8199997</v>
      </c>
    </row>
    <row r="70" spans="1:3" ht="30" customHeight="1">
      <c r="A70" s="16"/>
      <c r="B70" s="96" t="s">
        <v>1324</v>
      </c>
      <c r="C70" s="29">
        <f>SUM('POAI SEPTIEMBRE 2023'!AC287:AC292)</f>
        <v>1239019199.96</v>
      </c>
    </row>
    <row r="71" spans="1:3" ht="30" customHeight="1">
      <c r="A71" s="16"/>
      <c r="B71" s="96" t="s">
        <v>1489</v>
      </c>
      <c r="C71" s="29">
        <f>SUM('POAI SEPTIEMBRE 2023'!AE287:AE292)</f>
        <v>533885404.26999998</v>
      </c>
    </row>
    <row r="72" spans="1:3" ht="30" customHeight="1">
      <c r="A72" s="16"/>
      <c r="B72" s="96" t="s">
        <v>1490</v>
      </c>
      <c r="C72" s="29">
        <f>SUM('POAI SEPTIEMBRE 2023'!AH287:AH292)</f>
        <v>920557290</v>
      </c>
    </row>
    <row r="73" spans="1:3" ht="30" customHeight="1">
      <c r="A73" s="16"/>
      <c r="B73" s="96" t="s">
        <v>1491</v>
      </c>
      <c r="C73" s="29">
        <f>SUM('POAI SEPTIEMBRE 2023'!AI287:AI292)</f>
        <v>1083399699.3400002</v>
      </c>
    </row>
    <row r="74" spans="1:3" s="39" customFormat="1" ht="30" customHeight="1">
      <c r="A74" s="16"/>
      <c r="B74" s="96" t="s">
        <v>1331</v>
      </c>
      <c r="C74" s="29">
        <f>SUM('POAI SEPTIEMBRE 2023'!AK287:AK292)</f>
        <v>1399625098</v>
      </c>
    </row>
    <row r="75" spans="1:3" s="39" customFormat="1" ht="9.75" customHeight="1">
      <c r="A75" s="5"/>
      <c r="B75" s="6"/>
      <c r="C75" s="38"/>
    </row>
    <row r="76" spans="1:3" s="39" customFormat="1" ht="30" customHeight="1">
      <c r="A76" s="65" t="s">
        <v>1308</v>
      </c>
      <c r="B76" s="63"/>
      <c r="C76" s="64">
        <f>SUM(C77:C78)</f>
        <v>4712923248</v>
      </c>
    </row>
    <row r="77" spans="1:3" ht="30" customHeight="1">
      <c r="A77" s="45"/>
      <c r="B77" s="20" t="s">
        <v>1332</v>
      </c>
      <c r="C77" s="29">
        <f>SUM('POAI SEPTIEMBRE 2023'!AB293:AB304)</f>
        <v>3158923248</v>
      </c>
    </row>
    <row r="78" spans="1:3" s="39" customFormat="1" ht="30" customHeight="1">
      <c r="A78" s="45"/>
      <c r="B78" s="20" t="s">
        <v>1333</v>
      </c>
      <c r="C78" s="29">
        <f>SUM('POAI SEPTIEMBRE 2023'!AI293:AI304)</f>
        <v>1554000000</v>
      </c>
    </row>
    <row r="79" spans="1:3" ht="30" customHeight="1">
      <c r="C79" s="38"/>
    </row>
    <row r="80" spans="1:3" ht="30" customHeight="1">
      <c r="A80" s="56" t="s">
        <v>1309</v>
      </c>
      <c r="B80" s="63"/>
      <c r="C80" s="64">
        <f>C81</f>
        <v>168932650</v>
      </c>
    </row>
    <row r="81" spans="1:3" s="39" customFormat="1" ht="30" customHeight="1">
      <c r="A81" s="31"/>
      <c r="B81" s="23" t="s">
        <v>1334</v>
      </c>
      <c r="C81" s="29">
        <f>'POAI SEPTIEMBRE 2023'!AL305+'POAI SEPTIEMBRE 2023'!AL306+'POAI SEPTIEMBRE 2023'!AL307+'POAI SEPTIEMBRE 2023'!AL308</f>
        <v>168932650</v>
      </c>
    </row>
    <row r="82" spans="1:3" s="9" customFormat="1" ht="12" customHeight="1">
      <c r="A82" s="5"/>
      <c r="B82" s="6"/>
      <c r="C82" s="51"/>
    </row>
    <row r="83" spans="1:3" s="9" customFormat="1" ht="30" customHeight="1">
      <c r="A83" s="78" t="s">
        <v>1310</v>
      </c>
      <c r="B83" s="78"/>
      <c r="C83" s="79">
        <f>C80+C76+C68</f>
        <v>15206289810.389999</v>
      </c>
    </row>
    <row r="84" spans="1:3" s="9" customFormat="1" ht="9" customHeight="1" thickBot="1">
      <c r="A84" s="52"/>
      <c r="B84" s="53"/>
      <c r="C84" s="54"/>
    </row>
    <row r="85" spans="1:3" ht="30" customHeight="1" thickBot="1">
      <c r="A85" s="74" t="s">
        <v>1311</v>
      </c>
      <c r="B85" s="76"/>
      <c r="C85" s="77">
        <f>C66+C83</f>
        <v>461276584363.67999</v>
      </c>
    </row>
    <row r="86" spans="1:3" ht="28.5" customHeight="1"/>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B1:C16"/>
  <sheetViews>
    <sheetView showGridLines="0" zoomScale="70" zoomScaleNormal="70" workbookViewId="0">
      <selection activeCell="B18" sqref="B18"/>
    </sheetView>
  </sheetViews>
  <sheetFormatPr baseColWidth="10" defaultColWidth="11.42578125" defaultRowHeight="15"/>
  <cols>
    <col min="2" max="2" width="49.5703125" customWidth="1"/>
    <col min="3" max="3" width="28.7109375" customWidth="1"/>
  </cols>
  <sheetData>
    <row r="1" spans="2:3" ht="15" customHeight="1">
      <c r="B1" s="412" t="s">
        <v>1494</v>
      </c>
      <c r="C1" s="413"/>
    </row>
    <row r="2" spans="2:3" ht="15" customHeight="1">
      <c r="B2" s="414"/>
      <c r="C2" s="415"/>
    </row>
    <row r="3" spans="2:3" ht="60.75" customHeight="1">
      <c r="B3" s="416"/>
      <c r="C3" s="417"/>
    </row>
    <row r="4" spans="2:3" ht="26.25" customHeight="1">
      <c r="B4" s="66" t="s">
        <v>23</v>
      </c>
      <c r="C4" s="69" t="s">
        <v>1314</v>
      </c>
    </row>
    <row r="5" spans="2:3" ht="30.75" customHeight="1">
      <c r="B5" s="55" t="s">
        <v>148</v>
      </c>
      <c r="C5" s="44">
        <f>'RESUMEN PROGRAMAS'!E24+'RESUMEN PROGRAMAS'!E56+'RESUMEN PROGRAMAS'!E78+'RESUMEN PROGRAMAS'!E117+'RESUMEN PROGRAMAS'!E126+'RESUMEN PROGRAMAS'!E145+'RESUMEN PROGRAMAS'!E152+'RESUMEN PROGRAMAS'!E167+'RESUMEN PROGRAMAS'!E173</f>
        <v>361049880495.06995</v>
      </c>
    </row>
    <row r="6" spans="2:3" ht="30.75" customHeight="1">
      <c r="B6" s="55" t="s">
        <v>200</v>
      </c>
      <c r="C6" s="132">
        <f>'RESUMEN PROGRAMAS'!E37+'RESUMEN PROGRAMAS'!E84+'RESUMEN PROGRAMAS'!E91+'RESUMEN PROGRAMAS'!E121+'RESUMEN PROGRAMAS'!E135+'RESUMEN PROGRAMAS'!E156</f>
        <v>7203920036.5699997</v>
      </c>
    </row>
    <row r="7" spans="2:3" ht="30.75" customHeight="1">
      <c r="B7" s="55" t="s">
        <v>212</v>
      </c>
      <c r="C7" s="132">
        <f>'RESUMEN PROGRAMAS'!E42+'RESUMEN PROGRAMAS'!E68+'RESUMEN PROGRAMAS'!E102+'RESUMEN PROGRAMAS'!E178+'RESUMEN PROGRAMAS'!E189</f>
        <v>63711931616.039993</v>
      </c>
    </row>
    <row r="8" spans="2:3" ht="30.75" customHeight="1">
      <c r="B8" s="55" t="s">
        <v>59</v>
      </c>
      <c r="C8" s="132">
        <f>'RESUMEN PROGRAMAS'!E7+'RESUMEN PROGRAMAS'!E13+'RESUMEN PROGRAMAS'!E19+'RESUMEN PROGRAMAS'!E50+'RESUMEN PROGRAMAS'!E73+'RESUMEN PROGRAMAS'!E111+'RESUMEN PROGRAMAS'!E140+'RESUMEN PROGRAMAS'!E160+'RESUMEN PROGRAMAS'!E184</f>
        <v>29310852216</v>
      </c>
    </row>
    <row r="9" spans="2:3" s="68" customFormat="1" ht="30.75" customHeight="1">
      <c r="B9" s="67" t="s">
        <v>1335</v>
      </c>
      <c r="C9" s="133">
        <f>SUM(C5:C8)</f>
        <v>461276584363.67993</v>
      </c>
    </row>
    <row r="14" spans="2:3" ht="15.75" customHeight="1"/>
    <row r="15" spans="2:3" ht="15" customHeight="1"/>
    <row r="16" spans="2:3" ht="15" customHeight="1"/>
  </sheetData>
  <mergeCells count="1">
    <mergeCell ref="B1:C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1:G215"/>
  <sheetViews>
    <sheetView showGridLines="0" zoomScale="70" zoomScaleNormal="70" workbookViewId="0">
      <selection activeCell="B212" sqref="B212:D212"/>
    </sheetView>
  </sheetViews>
  <sheetFormatPr baseColWidth="10" defaultColWidth="11.42578125" defaultRowHeight="12.75"/>
  <cols>
    <col min="1" max="1" width="11.42578125" style="140"/>
    <col min="2" max="2" width="17.85546875" style="86" customWidth="1"/>
    <col min="3" max="3" width="54.7109375" style="86" customWidth="1"/>
    <col min="4" max="4" width="24.140625" style="86" customWidth="1"/>
    <col min="5" max="16384" width="11.42578125" style="86"/>
  </cols>
  <sheetData>
    <row r="1" spans="1:4" ht="71.25" customHeight="1" thickBot="1">
      <c r="A1" s="418" t="s">
        <v>1495</v>
      </c>
      <c r="B1" s="419"/>
      <c r="C1" s="419"/>
      <c r="D1" s="419"/>
    </row>
    <row r="2" spans="1:4" ht="30" customHeight="1" thickBot="1">
      <c r="A2" s="154" t="s">
        <v>1423</v>
      </c>
      <c r="B2" s="121" t="s">
        <v>48</v>
      </c>
      <c r="C2" s="154" t="s">
        <v>49</v>
      </c>
      <c r="D2" s="211" t="s">
        <v>1314</v>
      </c>
    </row>
    <row r="3" spans="1:4" ht="30" customHeight="1" thickBot="1">
      <c r="A3" s="420" t="s">
        <v>1279</v>
      </c>
      <c r="B3" s="421"/>
      <c r="C3" s="422"/>
      <c r="D3" s="371">
        <f>D4</f>
        <v>14299509202</v>
      </c>
    </row>
    <row r="4" spans="1:4" ht="30" customHeight="1">
      <c r="A4" s="172">
        <v>4</v>
      </c>
      <c r="B4" s="437" t="s">
        <v>1460</v>
      </c>
      <c r="C4" s="438"/>
      <c r="D4" s="372">
        <f>SUM(D5:D8)</f>
        <v>14299509202</v>
      </c>
    </row>
    <row r="5" spans="1:4" ht="66" customHeight="1">
      <c r="A5" s="161">
        <v>1</v>
      </c>
      <c r="B5" s="153">
        <v>2020003630006</v>
      </c>
      <c r="C5" s="150" t="s">
        <v>70</v>
      </c>
      <c r="D5" s="373">
        <f>'POAI SEPTIEMBRE 2023'!AL7</f>
        <v>1109720500</v>
      </c>
    </row>
    <row r="6" spans="1:4" ht="66" customHeight="1">
      <c r="A6" s="162">
        <v>2</v>
      </c>
      <c r="B6" s="143">
        <v>2020003630007</v>
      </c>
      <c r="C6" s="144" t="s">
        <v>76</v>
      </c>
      <c r="D6" s="373">
        <f>'POAI SEPTIEMBRE 2023'!AL8</f>
        <v>663878702</v>
      </c>
    </row>
    <row r="7" spans="1:4" ht="66" customHeight="1">
      <c r="A7" s="162">
        <v>3</v>
      </c>
      <c r="B7" s="142">
        <v>2020003630005</v>
      </c>
      <c r="C7" s="145" t="s">
        <v>85</v>
      </c>
      <c r="D7" s="373">
        <f>'POAI SEPTIEMBRE 2023'!AL9</f>
        <v>125910000</v>
      </c>
    </row>
    <row r="8" spans="1:4" ht="66" customHeight="1" thickBot="1">
      <c r="A8" s="163">
        <v>4</v>
      </c>
      <c r="B8" s="155">
        <v>2022003630011</v>
      </c>
      <c r="C8" s="156" t="s">
        <v>1429</v>
      </c>
      <c r="D8" s="374">
        <f>'POAI SEPTIEMBRE 2023'!AL10</f>
        <v>12400000000</v>
      </c>
    </row>
    <row r="9" spans="1:4" ht="30" customHeight="1" thickBot="1">
      <c r="A9" s="423" t="s">
        <v>1336</v>
      </c>
      <c r="B9" s="424"/>
      <c r="C9" s="425"/>
      <c r="D9" s="212">
        <f>D10</f>
        <v>1457064026</v>
      </c>
    </row>
    <row r="10" spans="1:4" ht="30" customHeight="1">
      <c r="A10" s="160">
        <v>4</v>
      </c>
      <c r="B10" s="437" t="s">
        <v>1460</v>
      </c>
      <c r="C10" s="438"/>
      <c r="D10" s="372">
        <f>SUM(D11:D17)</f>
        <v>1457064026</v>
      </c>
    </row>
    <row r="11" spans="1:4" ht="66" customHeight="1">
      <c r="A11" s="161">
        <f>A8+1</f>
        <v>5</v>
      </c>
      <c r="B11" s="149">
        <v>2020003630042</v>
      </c>
      <c r="C11" s="150" t="s">
        <v>1337</v>
      </c>
      <c r="D11" s="373">
        <f>'POAI SEPTIEMBRE 2023'!AL11</f>
        <v>140000000</v>
      </c>
    </row>
    <row r="12" spans="1:4" ht="66" customHeight="1">
      <c r="A12" s="162">
        <f t="shared" ref="A12:A17" si="0">A11+1</f>
        <v>6</v>
      </c>
      <c r="B12" s="142">
        <v>2020003630043</v>
      </c>
      <c r="C12" s="145" t="s">
        <v>1338</v>
      </c>
      <c r="D12" s="373">
        <f>'POAI SEPTIEMBRE 2023'!AL12</f>
        <v>55000000</v>
      </c>
    </row>
    <row r="13" spans="1:4" ht="66" customHeight="1">
      <c r="A13" s="162">
        <f t="shared" si="0"/>
        <v>7</v>
      </c>
      <c r="B13" s="142">
        <v>2020003630044</v>
      </c>
      <c r="C13" s="145" t="s">
        <v>1339</v>
      </c>
      <c r="D13" s="373">
        <f>'POAI SEPTIEMBRE 2023'!AL13</f>
        <v>299549126</v>
      </c>
    </row>
    <row r="14" spans="1:4" ht="66" customHeight="1">
      <c r="A14" s="162">
        <f t="shared" si="0"/>
        <v>8</v>
      </c>
      <c r="B14" s="142">
        <v>2020003630045</v>
      </c>
      <c r="C14" s="144" t="s">
        <v>1340</v>
      </c>
      <c r="D14" s="373">
        <f>'POAI SEPTIEMBRE 2023'!AL14</f>
        <v>99367200</v>
      </c>
    </row>
    <row r="15" spans="1:4" ht="66" customHeight="1">
      <c r="A15" s="162">
        <f t="shared" si="0"/>
        <v>9</v>
      </c>
      <c r="B15" s="142">
        <v>2020003630046</v>
      </c>
      <c r="C15" s="144" t="s">
        <v>115</v>
      </c>
      <c r="D15" s="373">
        <f>'POAI SEPTIEMBRE 2023'!AL15</f>
        <v>565230700</v>
      </c>
    </row>
    <row r="16" spans="1:4" ht="66" customHeight="1">
      <c r="A16" s="162">
        <f t="shared" si="0"/>
        <v>10</v>
      </c>
      <c r="B16" s="142">
        <v>2020003630047</v>
      </c>
      <c r="C16" s="145" t="s">
        <v>122</v>
      </c>
      <c r="D16" s="373">
        <f>SUM('POAI SEPTIEMBRE 2023'!AL16:AL21)</f>
        <v>216735000</v>
      </c>
    </row>
    <row r="17" spans="1:4" ht="66" customHeight="1" thickBot="1">
      <c r="A17" s="162">
        <f t="shared" si="0"/>
        <v>11</v>
      </c>
      <c r="B17" s="146">
        <v>2020003630008</v>
      </c>
      <c r="C17" s="147" t="s">
        <v>1341</v>
      </c>
      <c r="D17" s="374">
        <f>'POAI SEPTIEMBRE 2023'!AL22</f>
        <v>81182000</v>
      </c>
    </row>
    <row r="18" spans="1:4" ht="30" customHeight="1" thickBot="1">
      <c r="A18" s="423" t="s">
        <v>1342</v>
      </c>
      <c r="B18" s="424"/>
      <c r="C18" s="425"/>
      <c r="D18" s="212">
        <f>D19</f>
        <v>5228695734</v>
      </c>
    </row>
    <row r="19" spans="1:4" ht="30" customHeight="1">
      <c r="A19" s="160">
        <v>4</v>
      </c>
      <c r="B19" s="437" t="s">
        <v>1460</v>
      </c>
      <c r="C19" s="438"/>
      <c r="D19" s="372">
        <f>SUM(D20:D21)</f>
        <v>5228695734</v>
      </c>
    </row>
    <row r="20" spans="1:4" ht="66" customHeight="1">
      <c r="A20" s="161">
        <f>A17+1</f>
        <v>12</v>
      </c>
      <c r="B20" s="149">
        <v>2020003630048</v>
      </c>
      <c r="C20" s="152" t="s">
        <v>139</v>
      </c>
      <c r="D20" s="373">
        <f>'POAI SEPTIEMBRE 2023'!AL23</f>
        <v>3558695734</v>
      </c>
    </row>
    <row r="21" spans="1:4" ht="66" customHeight="1" thickBot="1">
      <c r="A21" s="164">
        <f>A20+1</f>
        <v>13</v>
      </c>
      <c r="B21" s="146">
        <v>2020003630049</v>
      </c>
      <c r="C21" s="148" t="s">
        <v>1343</v>
      </c>
      <c r="D21" s="374">
        <f>'POAI SEPTIEMBRE 2023'!AL24</f>
        <v>1670000000</v>
      </c>
    </row>
    <row r="22" spans="1:4" ht="30" customHeight="1" thickBot="1">
      <c r="A22" s="423" t="s">
        <v>1344</v>
      </c>
      <c r="B22" s="424"/>
      <c r="C22" s="425"/>
      <c r="D22" s="212">
        <f>D23+D32+D36+D46</f>
        <v>95388240819.809998</v>
      </c>
    </row>
    <row r="23" spans="1:4" ht="30" customHeight="1">
      <c r="A23" s="160">
        <v>1</v>
      </c>
      <c r="B23" s="427" t="s">
        <v>148</v>
      </c>
      <c r="C23" s="428"/>
      <c r="D23" s="372">
        <f>SUM(D24:D31)</f>
        <v>36111014664.099998</v>
      </c>
    </row>
    <row r="24" spans="1:4" ht="66" customHeight="1">
      <c r="A24" s="161">
        <f>A21+1</f>
        <v>14</v>
      </c>
      <c r="B24" s="149">
        <v>2020003630017</v>
      </c>
      <c r="C24" s="152" t="s">
        <v>158</v>
      </c>
      <c r="D24" s="375">
        <f>'POAI SEPTIEMBRE 2023'!AL25</f>
        <v>82327300</v>
      </c>
    </row>
    <row r="25" spans="1:4" ht="66" customHeight="1">
      <c r="A25" s="162">
        <f>A24+1</f>
        <v>15</v>
      </c>
      <c r="B25" s="142">
        <v>2020003630050</v>
      </c>
      <c r="C25" s="145" t="s">
        <v>1345</v>
      </c>
      <c r="D25" s="375">
        <f>'POAI SEPTIEMBRE 2023'!AL26</f>
        <v>3207024296</v>
      </c>
    </row>
    <row r="26" spans="1:4" ht="66" customHeight="1">
      <c r="A26" s="162">
        <f>A25+1</f>
        <v>16</v>
      </c>
      <c r="B26" s="142">
        <v>2021003630001</v>
      </c>
      <c r="C26" s="145" t="s">
        <v>1346</v>
      </c>
      <c r="D26" s="375">
        <f>'POAI SEPTIEMBRE 2023'!AL27</f>
        <v>73966912</v>
      </c>
    </row>
    <row r="27" spans="1:4" ht="66" customHeight="1">
      <c r="A27" s="162">
        <f>A26+1</f>
        <v>17</v>
      </c>
      <c r="B27" s="142">
        <v>2021003630017</v>
      </c>
      <c r="C27" s="145" t="s">
        <v>1347</v>
      </c>
      <c r="D27" s="375">
        <f>'POAI SEPTIEMBRE 2023'!AL28</f>
        <v>1700000000</v>
      </c>
    </row>
    <row r="28" spans="1:4" ht="66" customHeight="1">
      <c r="A28" s="162">
        <f>A27+1</f>
        <v>18</v>
      </c>
      <c r="B28" s="142">
        <v>2022003630007</v>
      </c>
      <c r="C28" s="145" t="s">
        <v>1453</v>
      </c>
      <c r="D28" s="375">
        <f>'POAI SEPTIEMBRE 2023'!AL29</f>
        <v>3179932867</v>
      </c>
    </row>
    <row r="29" spans="1:4" ht="66" customHeight="1">
      <c r="A29" s="162">
        <f>A28+1</f>
        <v>19</v>
      </c>
      <c r="B29" s="142">
        <v>2020003630052</v>
      </c>
      <c r="C29" s="145" t="s">
        <v>198</v>
      </c>
      <c r="D29" s="375">
        <f>'POAI SEPTIEMBRE 2023'!AL30</f>
        <v>6255563289.1000004</v>
      </c>
    </row>
    <row r="30" spans="1:4" ht="66" customHeight="1">
      <c r="A30" s="164"/>
      <c r="B30" s="146">
        <v>2022000040007</v>
      </c>
      <c r="C30" s="148" t="s">
        <v>1448</v>
      </c>
      <c r="D30" s="375">
        <f>'POAI SEPTIEMBRE 2023'!AL50</f>
        <v>0</v>
      </c>
    </row>
    <row r="31" spans="1:4" ht="66" customHeight="1">
      <c r="A31" s="164">
        <f>A29+1</f>
        <v>20</v>
      </c>
      <c r="B31" s="146">
        <v>2023003630002</v>
      </c>
      <c r="C31" s="148" t="s">
        <v>1448</v>
      </c>
      <c r="D31" s="375">
        <f>'POAI SEPTIEMBRE 2023'!AL51</f>
        <v>21612200000</v>
      </c>
    </row>
    <row r="32" spans="1:4" ht="30" customHeight="1">
      <c r="A32" s="165">
        <v>2</v>
      </c>
      <c r="B32" s="426" t="s">
        <v>200</v>
      </c>
      <c r="C32" s="426"/>
      <c r="D32" s="376">
        <f>SUM(D33:D35)</f>
        <v>441000000</v>
      </c>
    </row>
    <row r="33" spans="1:4" ht="39.75" customHeight="1">
      <c r="A33" s="161">
        <f>A31+1</f>
        <v>21</v>
      </c>
      <c r="B33" s="149">
        <v>2021003630018</v>
      </c>
      <c r="C33" s="152" t="s">
        <v>207</v>
      </c>
      <c r="D33" s="375">
        <f>'POAI SEPTIEMBRE 2023'!AL31</f>
        <v>1000000</v>
      </c>
    </row>
    <row r="34" spans="1:4" ht="66" customHeight="1">
      <c r="A34" s="161">
        <f>A33+1</f>
        <v>22</v>
      </c>
      <c r="B34" s="149">
        <v>2021003630019</v>
      </c>
      <c r="C34" s="152" t="s">
        <v>210</v>
      </c>
      <c r="D34" s="375">
        <f>'POAI SEPTIEMBRE 2023'!AL32</f>
        <v>40000000</v>
      </c>
    </row>
    <row r="35" spans="1:4" ht="66" customHeight="1">
      <c r="A35" s="161">
        <f>A34+1</f>
        <v>23</v>
      </c>
      <c r="B35" s="149">
        <v>2023003630004</v>
      </c>
      <c r="C35" s="152" t="s">
        <v>1486</v>
      </c>
      <c r="D35" s="375">
        <f>'POAI SEPTIEMBRE 2023'!AL53</f>
        <v>400000000</v>
      </c>
    </row>
    <row r="36" spans="1:4" ht="28.5" customHeight="1">
      <c r="A36" s="165">
        <v>3</v>
      </c>
      <c r="B36" s="426" t="s">
        <v>212</v>
      </c>
      <c r="C36" s="426"/>
      <c r="D36" s="376">
        <f>SUM(D37:D45)</f>
        <v>57638606135.709991</v>
      </c>
    </row>
    <row r="37" spans="1:4" ht="66" customHeight="1">
      <c r="A37" s="162">
        <f>A35+1</f>
        <v>24</v>
      </c>
      <c r="B37" s="142">
        <v>2020003630053</v>
      </c>
      <c r="C37" s="145" t="s">
        <v>221</v>
      </c>
      <c r="D37" s="375">
        <f>SUM('POAI SEPTIEMBRE 2023'!AL33:AL34)</f>
        <v>34119173645.869999</v>
      </c>
    </row>
    <row r="38" spans="1:4" ht="66" customHeight="1">
      <c r="A38" s="162">
        <f t="shared" ref="A38:A45" si="1">A37+1</f>
        <v>25</v>
      </c>
      <c r="B38" s="142">
        <v>2018000040059</v>
      </c>
      <c r="C38" s="145" t="s">
        <v>1441</v>
      </c>
      <c r="D38" s="375">
        <f>'POAI SEPTIEMBRE 2023'!AL36</f>
        <v>6536661612</v>
      </c>
    </row>
    <row r="39" spans="1:4" ht="66" customHeight="1">
      <c r="A39" s="162">
        <f t="shared" si="1"/>
        <v>26</v>
      </c>
      <c r="B39" s="142">
        <v>2022003630010</v>
      </c>
      <c r="C39" s="145" t="s">
        <v>1443</v>
      </c>
      <c r="D39" s="375">
        <f>'POAI SEPTIEMBRE 2023'!AL37</f>
        <v>9133426135</v>
      </c>
    </row>
    <row r="40" spans="1:4" ht="66" customHeight="1">
      <c r="A40" s="162">
        <f t="shared" si="1"/>
        <v>27</v>
      </c>
      <c r="B40" s="142">
        <v>2020003630054</v>
      </c>
      <c r="C40" s="145" t="s">
        <v>1435</v>
      </c>
      <c r="D40" s="375">
        <f>'POAI SEPTIEMBRE 2023'!AL35</f>
        <v>152514047</v>
      </c>
    </row>
    <row r="41" spans="1:4" ht="66" customHeight="1">
      <c r="A41" s="162">
        <f t="shared" si="1"/>
        <v>28</v>
      </c>
      <c r="B41" s="142">
        <v>2021003630004</v>
      </c>
      <c r="C41" s="145" t="s">
        <v>234</v>
      </c>
      <c r="D41" s="375">
        <f>'POAI SEPTIEMBRE 2023'!AL38</f>
        <v>735000000</v>
      </c>
    </row>
    <row r="42" spans="1:4" ht="66" customHeight="1">
      <c r="A42" s="162">
        <f t="shared" si="1"/>
        <v>29</v>
      </c>
      <c r="B42" s="142">
        <v>2021003630002</v>
      </c>
      <c r="C42" s="145" t="s">
        <v>1348</v>
      </c>
      <c r="D42" s="375">
        <f>'POAI SEPTIEMBRE 2023'!AL39</f>
        <v>1105000000</v>
      </c>
    </row>
    <row r="43" spans="1:4" ht="66" customHeight="1">
      <c r="A43" s="162">
        <f t="shared" si="1"/>
        <v>30</v>
      </c>
      <c r="B43" s="142">
        <v>2020003630057</v>
      </c>
      <c r="C43" s="145" t="s">
        <v>248</v>
      </c>
      <c r="D43" s="375">
        <f>'POAI SEPTIEMBRE 2023'!AL40</f>
        <v>350000000</v>
      </c>
    </row>
    <row r="44" spans="1:4" ht="66" customHeight="1">
      <c r="A44" s="162">
        <f t="shared" si="1"/>
        <v>31</v>
      </c>
      <c r="B44" s="142">
        <v>2020003630014</v>
      </c>
      <c r="C44" s="144" t="s">
        <v>258</v>
      </c>
      <c r="D44" s="375">
        <f>SUM('POAI SEPTIEMBRE 2023'!AL41:AL46)</f>
        <v>5216830695.8400002</v>
      </c>
    </row>
    <row r="45" spans="1:4" ht="66" customHeight="1">
      <c r="A45" s="162">
        <f t="shared" si="1"/>
        <v>32</v>
      </c>
      <c r="B45" s="142">
        <v>2022003630009</v>
      </c>
      <c r="C45" s="144" t="s">
        <v>1481</v>
      </c>
      <c r="D45" s="375">
        <f>'POAI SEPTIEMBRE 2023'!AL52</f>
        <v>290000000</v>
      </c>
    </row>
    <row r="46" spans="1:4" ht="28.5" customHeight="1">
      <c r="A46" s="165">
        <v>4</v>
      </c>
      <c r="B46" s="426" t="s">
        <v>1460</v>
      </c>
      <c r="C46" s="426"/>
      <c r="D46" s="376">
        <f>SUM(D47:D49)</f>
        <v>1197620020</v>
      </c>
    </row>
    <row r="47" spans="1:4" ht="66" customHeight="1">
      <c r="A47" s="162">
        <f>A45+1</f>
        <v>33</v>
      </c>
      <c r="B47" s="142">
        <v>2021003630003</v>
      </c>
      <c r="C47" s="145" t="s">
        <v>276</v>
      </c>
      <c r="D47" s="375">
        <f>'POAI SEPTIEMBRE 2023'!AL47</f>
        <v>573000000</v>
      </c>
    </row>
    <row r="48" spans="1:4" ht="66" customHeight="1">
      <c r="A48" s="164">
        <f>A47+1</f>
        <v>34</v>
      </c>
      <c r="B48" s="146">
        <v>2022003630008</v>
      </c>
      <c r="C48" s="148" t="s">
        <v>1445</v>
      </c>
      <c r="D48" s="375">
        <f>'POAI SEPTIEMBRE 2023'!AL48</f>
        <v>499979386</v>
      </c>
    </row>
    <row r="49" spans="1:4" ht="66" customHeight="1" thickBot="1">
      <c r="A49" s="164">
        <f>A48+1</f>
        <v>35</v>
      </c>
      <c r="B49" s="146">
        <v>2021003630006</v>
      </c>
      <c r="C49" s="148" t="s">
        <v>280</v>
      </c>
      <c r="D49" s="377">
        <f>'POAI SEPTIEMBRE 2023'!AL49</f>
        <v>124640634</v>
      </c>
    </row>
    <row r="50" spans="1:4" ht="30" customHeight="1" thickBot="1">
      <c r="A50" s="423" t="s">
        <v>1349</v>
      </c>
      <c r="B50" s="424"/>
      <c r="C50" s="425"/>
      <c r="D50" s="212">
        <f>D51+D60+D63</f>
        <v>9959166049.1399994</v>
      </c>
    </row>
    <row r="51" spans="1:4" ht="30" customHeight="1">
      <c r="A51" s="160">
        <v>1</v>
      </c>
      <c r="B51" s="427" t="s">
        <v>148</v>
      </c>
      <c r="C51" s="428"/>
      <c r="D51" s="372">
        <f>SUM(D52:D59)</f>
        <v>8332237735.1399994</v>
      </c>
    </row>
    <row r="52" spans="1:4" ht="66" customHeight="1">
      <c r="A52" s="161">
        <f>A49+1</f>
        <v>36</v>
      </c>
      <c r="B52" s="149">
        <v>2020003630060</v>
      </c>
      <c r="C52" s="150" t="s">
        <v>1350</v>
      </c>
      <c r="D52" s="373">
        <f>'POAI SEPTIEMBRE 2023'!AL54</f>
        <v>169255000</v>
      </c>
    </row>
    <row r="53" spans="1:4" ht="66" customHeight="1">
      <c r="A53" s="162">
        <f>A52+1</f>
        <v>37</v>
      </c>
      <c r="B53" s="142">
        <v>2020003630061</v>
      </c>
      <c r="C53" s="144" t="s">
        <v>1351</v>
      </c>
      <c r="D53" s="373">
        <f>'POAI SEPTIEMBRE 2023'!AL55</f>
        <v>67000000</v>
      </c>
    </row>
    <row r="54" spans="1:4" ht="66" customHeight="1">
      <c r="A54" s="162">
        <f t="shared" ref="A54:A65" si="2">A53+1</f>
        <v>38</v>
      </c>
      <c r="B54" s="142">
        <v>2020003630062</v>
      </c>
      <c r="C54" s="144" t="s">
        <v>1352</v>
      </c>
      <c r="D54" s="373">
        <f>'POAI SEPTIEMBRE 2023'!AL56</f>
        <v>67000000</v>
      </c>
    </row>
    <row r="55" spans="1:4" ht="66" customHeight="1">
      <c r="A55" s="162">
        <f t="shared" si="2"/>
        <v>39</v>
      </c>
      <c r="B55" s="142">
        <v>2020003630063</v>
      </c>
      <c r="C55" s="145" t="s">
        <v>1353</v>
      </c>
      <c r="D55" s="373">
        <f>'POAI SEPTIEMBRE 2023'!AL57</f>
        <v>118089677</v>
      </c>
    </row>
    <row r="56" spans="1:4" ht="66" customHeight="1">
      <c r="A56" s="162">
        <f t="shared" si="2"/>
        <v>40</v>
      </c>
      <c r="B56" s="142">
        <v>2020003630064</v>
      </c>
      <c r="C56" s="145" t="s">
        <v>310</v>
      </c>
      <c r="D56" s="373">
        <f>SUM('POAI SEPTIEMBRE 2023'!AL58:AL62)</f>
        <v>497116497</v>
      </c>
    </row>
    <row r="57" spans="1:4" ht="66" customHeight="1">
      <c r="A57" s="162">
        <f t="shared" si="2"/>
        <v>41</v>
      </c>
      <c r="B57" s="142">
        <v>2020003630065</v>
      </c>
      <c r="C57" s="145" t="s">
        <v>1354</v>
      </c>
      <c r="D57" s="373">
        <f>'POAI SEPTIEMBRE 2023'!AL63</f>
        <v>35500000</v>
      </c>
    </row>
    <row r="58" spans="1:4" ht="66" customHeight="1">
      <c r="A58" s="162">
        <f t="shared" si="2"/>
        <v>42</v>
      </c>
      <c r="B58" s="142">
        <v>2020003630066</v>
      </c>
      <c r="C58" s="145" t="s">
        <v>1355</v>
      </c>
      <c r="D58" s="373">
        <f>SUM('POAI SEPTIEMBRE 2023'!AL64)</f>
        <v>7293276561.1399994</v>
      </c>
    </row>
    <row r="59" spans="1:4" ht="53.25" customHeight="1">
      <c r="A59" s="162">
        <f>A58+1</f>
        <v>43</v>
      </c>
      <c r="B59" s="142">
        <v>2020003630068</v>
      </c>
      <c r="C59" s="145" t="s">
        <v>340</v>
      </c>
      <c r="D59" s="373">
        <f>'POAI SEPTIEMBRE 2023'!AL65</f>
        <v>85000000</v>
      </c>
    </row>
    <row r="60" spans="1:4" ht="36" customHeight="1">
      <c r="A60" s="165">
        <v>3</v>
      </c>
      <c r="B60" s="426" t="s">
        <v>212</v>
      </c>
      <c r="C60" s="426"/>
      <c r="D60" s="376">
        <f>SUM(D61:D62)</f>
        <v>838661482</v>
      </c>
    </row>
    <row r="61" spans="1:4" ht="66" customHeight="1">
      <c r="A61" s="162">
        <f>A59+1</f>
        <v>44</v>
      </c>
      <c r="B61" s="142">
        <v>2020003630069</v>
      </c>
      <c r="C61" s="145" t="s">
        <v>345</v>
      </c>
      <c r="D61" s="373">
        <f>'POAI SEPTIEMBRE 2023'!AL66</f>
        <v>144630832</v>
      </c>
    </row>
    <row r="62" spans="1:4" ht="66" customHeight="1">
      <c r="A62" s="162">
        <f t="shared" si="2"/>
        <v>45</v>
      </c>
      <c r="B62" s="142">
        <v>2020003630070</v>
      </c>
      <c r="C62" s="145" t="s">
        <v>352</v>
      </c>
      <c r="D62" s="373">
        <f>SUM('POAI SEPTIEMBRE 2023'!AL67:AL69)</f>
        <v>694030650</v>
      </c>
    </row>
    <row r="63" spans="1:4" ht="31.5" customHeight="1">
      <c r="A63" s="165">
        <v>4</v>
      </c>
      <c r="B63" s="426" t="s">
        <v>1460</v>
      </c>
      <c r="C63" s="426"/>
      <c r="D63" s="376">
        <f>SUM(D64:D65)</f>
        <v>788266832</v>
      </c>
    </row>
    <row r="64" spans="1:4" ht="66" customHeight="1">
      <c r="A64" s="162">
        <f>A62+1</f>
        <v>46</v>
      </c>
      <c r="B64" s="142">
        <v>2020003630067</v>
      </c>
      <c r="C64" s="144" t="s">
        <v>1356</v>
      </c>
      <c r="D64" s="373">
        <f>'POAI SEPTIEMBRE 2023'!AL70</f>
        <v>147930499</v>
      </c>
    </row>
    <row r="65" spans="1:4" ht="66" customHeight="1" thickBot="1">
      <c r="A65" s="164">
        <f t="shared" si="2"/>
        <v>47</v>
      </c>
      <c r="B65" s="146">
        <v>2020003630071</v>
      </c>
      <c r="C65" s="147" t="s">
        <v>1357</v>
      </c>
      <c r="D65" s="374">
        <f>SUM('POAI SEPTIEMBRE 2023'!AL71:AL74)</f>
        <v>640336333</v>
      </c>
    </row>
    <row r="66" spans="1:4" ht="30" customHeight="1" thickBot="1">
      <c r="A66" s="423" t="s">
        <v>1358</v>
      </c>
      <c r="B66" s="424"/>
      <c r="C66" s="425"/>
      <c r="D66" s="212">
        <f>D67</f>
        <v>4901071565.04</v>
      </c>
    </row>
    <row r="67" spans="1:4" ht="30" customHeight="1">
      <c r="A67" s="160">
        <v>1</v>
      </c>
      <c r="B67" s="427" t="s">
        <v>148</v>
      </c>
      <c r="C67" s="428"/>
      <c r="D67" s="372">
        <f>SUM(D68:D71)</f>
        <v>4901071565.04</v>
      </c>
    </row>
    <row r="68" spans="1:4" ht="66" customHeight="1">
      <c r="A68" s="161">
        <f>A65+1</f>
        <v>48</v>
      </c>
      <c r="B68" s="149">
        <v>2020003630021</v>
      </c>
      <c r="C68" s="152" t="s">
        <v>381</v>
      </c>
      <c r="D68" s="373">
        <f>SUM('POAI SEPTIEMBRE 2023'!AL75:AL79)</f>
        <v>3439874526.3099999</v>
      </c>
    </row>
    <row r="69" spans="1:4" ht="66" customHeight="1">
      <c r="A69" s="162">
        <f>A68+1</f>
        <v>49</v>
      </c>
      <c r="B69" s="142">
        <v>2020003630020</v>
      </c>
      <c r="C69" s="145" t="s">
        <v>397</v>
      </c>
      <c r="D69" s="373">
        <f>SUM('POAI SEPTIEMBRE 2023'!AL80:AL81)</f>
        <v>774754138.18000007</v>
      </c>
    </row>
    <row r="70" spans="1:4" ht="66" customHeight="1">
      <c r="A70" s="162">
        <f>A69+1</f>
        <v>50</v>
      </c>
      <c r="B70" s="142">
        <v>2020003630072</v>
      </c>
      <c r="C70" s="144" t="s">
        <v>1359</v>
      </c>
      <c r="D70" s="373">
        <f>'POAI SEPTIEMBRE 2023'!AL82</f>
        <v>369583478.55000001</v>
      </c>
    </row>
    <row r="71" spans="1:4" ht="66" customHeight="1" thickBot="1">
      <c r="A71" s="164">
        <f>A70+1</f>
        <v>51</v>
      </c>
      <c r="B71" s="146">
        <v>2020003630073</v>
      </c>
      <c r="C71" s="147" t="s">
        <v>1360</v>
      </c>
      <c r="D71" s="374">
        <f>SUM('POAI SEPTIEMBRE 2023'!AL83:AL84)</f>
        <v>316859422</v>
      </c>
    </row>
    <row r="72" spans="1:4" ht="30" customHeight="1" thickBot="1">
      <c r="A72" s="423" t="s">
        <v>1361</v>
      </c>
      <c r="B72" s="424"/>
      <c r="C72" s="425"/>
      <c r="D72" s="212">
        <f>D73</f>
        <v>4131910173.9000001</v>
      </c>
    </row>
    <row r="73" spans="1:4" ht="30" customHeight="1">
      <c r="A73" s="165">
        <v>2</v>
      </c>
      <c r="B73" s="426" t="s">
        <v>200</v>
      </c>
      <c r="C73" s="426"/>
      <c r="D73" s="378">
        <f>SUM(D74:D79)</f>
        <v>4131910173.9000001</v>
      </c>
    </row>
    <row r="74" spans="1:4" ht="66" customHeight="1">
      <c r="A74" s="161">
        <f>A71+1</f>
        <v>52</v>
      </c>
      <c r="B74" s="149">
        <v>2020003630074</v>
      </c>
      <c r="C74" s="150" t="s">
        <v>425</v>
      </c>
      <c r="D74" s="373">
        <f>SUM('POAI SEPTIEMBRE 2023'!AL85:AL86)</f>
        <v>164280000</v>
      </c>
    </row>
    <row r="75" spans="1:4" ht="66" customHeight="1">
      <c r="A75" s="162">
        <f>A74+1</f>
        <v>53</v>
      </c>
      <c r="B75" s="142">
        <v>2020003630075</v>
      </c>
      <c r="C75" s="145" t="s">
        <v>1362</v>
      </c>
      <c r="D75" s="373">
        <f>'POAI SEPTIEMBRE 2023'!AL87</f>
        <v>233986739</v>
      </c>
    </row>
    <row r="76" spans="1:4" ht="66" customHeight="1">
      <c r="A76" s="162">
        <f>A75+1</f>
        <v>54</v>
      </c>
      <c r="B76" s="142">
        <v>2020003630076</v>
      </c>
      <c r="C76" s="145" t="s">
        <v>1363</v>
      </c>
      <c r="D76" s="373">
        <f>SUM('POAI SEPTIEMBRE 2023'!AL88:AL89)</f>
        <v>902729739</v>
      </c>
    </row>
    <row r="77" spans="1:4" ht="66" customHeight="1">
      <c r="A77" s="162">
        <f>A76+1</f>
        <v>55</v>
      </c>
      <c r="B77" s="142">
        <v>2020003630077</v>
      </c>
      <c r="C77" s="144" t="s">
        <v>1364</v>
      </c>
      <c r="D77" s="373">
        <f>SUM('POAI SEPTIEMBRE 2023'!AL90)</f>
        <v>1871958529.9000001</v>
      </c>
    </row>
    <row r="78" spans="1:4" ht="66" customHeight="1">
      <c r="A78" s="164">
        <f>A77+1</f>
        <v>56</v>
      </c>
      <c r="B78" s="146">
        <v>2020003630078</v>
      </c>
      <c r="C78" s="147" t="s">
        <v>452</v>
      </c>
      <c r="D78" s="373">
        <f>SUM('POAI SEPTIEMBRE 2023'!AL91:AL94)</f>
        <v>814850166</v>
      </c>
    </row>
    <row r="79" spans="1:4" ht="66" customHeight="1" thickBot="1">
      <c r="A79" s="164">
        <f>A78+1</f>
        <v>57</v>
      </c>
      <c r="B79" s="146">
        <v>2022003630013</v>
      </c>
      <c r="C79" s="147" t="s">
        <v>1455</v>
      </c>
      <c r="D79" s="374">
        <f>'POAI SEPTIEMBRE 2023'!AL95</f>
        <v>144105000</v>
      </c>
    </row>
    <row r="80" spans="1:4" ht="30" customHeight="1" thickBot="1">
      <c r="A80" s="423" t="s">
        <v>1365</v>
      </c>
      <c r="B80" s="424"/>
      <c r="C80" s="425"/>
      <c r="D80" s="212">
        <f>D81+D94</f>
        <v>5930194939</v>
      </c>
    </row>
    <row r="81" spans="1:4" ht="30" customHeight="1">
      <c r="A81" s="165">
        <v>2</v>
      </c>
      <c r="B81" s="426" t="s">
        <v>200</v>
      </c>
      <c r="C81" s="426"/>
      <c r="D81" s="378">
        <f>SUM(D82:D93)</f>
        <v>2375075666.6700001</v>
      </c>
    </row>
    <row r="82" spans="1:4" ht="66" customHeight="1">
      <c r="A82" s="161">
        <f>A79+1</f>
        <v>58</v>
      </c>
      <c r="B82" s="149">
        <v>2020003630079</v>
      </c>
      <c r="C82" s="152" t="s">
        <v>469</v>
      </c>
      <c r="D82" s="375">
        <f>SUM('POAI SEPTIEMBRE 2023'!AL96:AL98)</f>
        <v>728502372</v>
      </c>
    </row>
    <row r="83" spans="1:4" ht="66" customHeight="1">
      <c r="A83" s="162">
        <f>A82+1</f>
        <v>59</v>
      </c>
      <c r="B83" s="142">
        <v>2020003630023</v>
      </c>
      <c r="C83" s="145" t="s">
        <v>480</v>
      </c>
      <c r="D83" s="375">
        <f>SUM('POAI SEPTIEMBRE 2023'!AL99:AL101)</f>
        <v>558445000</v>
      </c>
    </row>
    <row r="84" spans="1:4" ht="66" customHeight="1">
      <c r="A84" s="162">
        <f t="shared" ref="A84:A101" si="3">A83+1</f>
        <v>60</v>
      </c>
      <c r="B84" s="142">
        <v>2020003630080</v>
      </c>
      <c r="C84" s="145" t="s">
        <v>1366</v>
      </c>
      <c r="D84" s="375">
        <f>SUM('POAI SEPTIEMBRE 2023'!AL102:AL103)</f>
        <v>147035000</v>
      </c>
    </row>
    <row r="85" spans="1:4" ht="66" customHeight="1">
      <c r="A85" s="162">
        <f t="shared" si="3"/>
        <v>61</v>
      </c>
      <c r="B85" s="142">
        <v>2020003630022</v>
      </c>
      <c r="C85" s="145" t="s">
        <v>497</v>
      </c>
      <c r="D85" s="375">
        <f>SUM('POAI SEPTIEMBRE 2023'!AL104:AL105)</f>
        <v>151466666.67000002</v>
      </c>
    </row>
    <row r="86" spans="1:4" ht="66" customHeight="1">
      <c r="A86" s="162">
        <f t="shared" si="3"/>
        <v>62</v>
      </c>
      <c r="B86" s="142">
        <v>2020003630081</v>
      </c>
      <c r="C86" s="145" t="s">
        <v>1367</v>
      </c>
      <c r="D86" s="375">
        <f>SUM('POAI SEPTIEMBRE 2023'!AL106)</f>
        <v>39700000</v>
      </c>
    </row>
    <row r="87" spans="1:4" ht="66" customHeight="1">
      <c r="A87" s="162">
        <f t="shared" si="3"/>
        <v>63</v>
      </c>
      <c r="B87" s="142">
        <v>2020003630082</v>
      </c>
      <c r="C87" s="145" t="s">
        <v>1368</v>
      </c>
      <c r="D87" s="375">
        <f>SUM('POAI SEPTIEMBRE 2023'!AL107)</f>
        <v>61807909</v>
      </c>
    </row>
    <row r="88" spans="1:4" ht="66" customHeight="1">
      <c r="A88" s="162">
        <f t="shared" si="3"/>
        <v>64</v>
      </c>
      <c r="B88" s="142">
        <v>2020003630025</v>
      </c>
      <c r="C88" s="145" t="s">
        <v>518</v>
      </c>
      <c r="D88" s="375">
        <f>SUM('POAI SEPTIEMBRE 2023'!AL108:AL109)</f>
        <v>162072092.67000002</v>
      </c>
    </row>
    <row r="89" spans="1:4" ht="66" customHeight="1">
      <c r="A89" s="162">
        <f t="shared" si="3"/>
        <v>65</v>
      </c>
      <c r="B89" s="142">
        <v>2020003630083</v>
      </c>
      <c r="C89" s="145" t="s">
        <v>528</v>
      </c>
      <c r="D89" s="375">
        <f>SUM('POAI SEPTIEMBRE 2023'!AL110)</f>
        <v>106000000</v>
      </c>
    </row>
    <row r="90" spans="1:4" ht="66" customHeight="1">
      <c r="A90" s="162">
        <f t="shared" si="3"/>
        <v>66</v>
      </c>
      <c r="B90" s="142">
        <v>2020003630084</v>
      </c>
      <c r="C90" s="145" t="s">
        <v>1369</v>
      </c>
      <c r="D90" s="375">
        <f>SUM('POAI SEPTIEMBRE 2023'!AL111)</f>
        <v>72725000</v>
      </c>
    </row>
    <row r="91" spans="1:4" ht="66" customHeight="1">
      <c r="A91" s="162">
        <f t="shared" si="3"/>
        <v>67</v>
      </c>
      <c r="B91" s="142">
        <v>2020003630026</v>
      </c>
      <c r="C91" s="145" t="s">
        <v>541</v>
      </c>
      <c r="D91" s="375">
        <f>SUM('POAI SEPTIEMBRE 2023'!AL112:AL113)</f>
        <v>83358333.329999998</v>
      </c>
    </row>
    <row r="92" spans="1:4" ht="66" customHeight="1">
      <c r="A92" s="162">
        <f t="shared" si="3"/>
        <v>68</v>
      </c>
      <c r="B92" s="142">
        <v>2020003630024</v>
      </c>
      <c r="C92" s="145" t="s">
        <v>547</v>
      </c>
      <c r="D92" s="375">
        <f>SUM('POAI SEPTIEMBRE 2023'!AL114:AL116)</f>
        <v>142676627</v>
      </c>
    </row>
    <row r="93" spans="1:4" ht="66" customHeight="1">
      <c r="A93" s="162">
        <f t="shared" si="3"/>
        <v>69</v>
      </c>
      <c r="B93" s="142">
        <v>2020003630085</v>
      </c>
      <c r="C93" s="145" t="s">
        <v>1370</v>
      </c>
      <c r="D93" s="375">
        <f>SUM('POAI SEPTIEMBRE 2023'!AL117:AL118)</f>
        <v>121286666</v>
      </c>
    </row>
    <row r="94" spans="1:4" ht="26.25" customHeight="1">
      <c r="A94" s="165">
        <v>3</v>
      </c>
      <c r="B94" s="426" t="s">
        <v>212</v>
      </c>
      <c r="C94" s="426"/>
      <c r="D94" s="376">
        <f>SUM(D95:D101)</f>
        <v>3555119272.3299999</v>
      </c>
    </row>
    <row r="95" spans="1:4" ht="66" customHeight="1">
      <c r="A95" s="162">
        <f>A93+1</f>
        <v>70</v>
      </c>
      <c r="B95" s="142">
        <v>2020003630027</v>
      </c>
      <c r="C95" s="144" t="s">
        <v>567</v>
      </c>
      <c r="D95" s="375">
        <f>SUM('POAI SEPTIEMBRE 2023'!AL119:AL120)</f>
        <v>195655000</v>
      </c>
    </row>
    <row r="96" spans="1:4" ht="66" customHeight="1">
      <c r="A96" s="162">
        <f t="shared" si="3"/>
        <v>71</v>
      </c>
      <c r="B96" s="142">
        <v>2020003630086</v>
      </c>
      <c r="C96" s="145" t="s">
        <v>1371</v>
      </c>
      <c r="D96" s="375">
        <f>SUM('POAI SEPTIEMBRE 2023'!AL121:AL123)</f>
        <v>2585430691</v>
      </c>
    </row>
    <row r="97" spans="1:4" ht="66" customHeight="1">
      <c r="A97" s="162">
        <f t="shared" si="3"/>
        <v>72</v>
      </c>
      <c r="B97" s="142">
        <v>2020003630028</v>
      </c>
      <c r="C97" s="145" t="s">
        <v>591</v>
      </c>
      <c r="D97" s="375">
        <f>'POAI SEPTIEMBRE 2023'!AL124</f>
        <v>61850000</v>
      </c>
    </row>
    <row r="98" spans="1:4" ht="66" customHeight="1">
      <c r="A98" s="162">
        <f t="shared" si="3"/>
        <v>73</v>
      </c>
      <c r="B98" s="142">
        <v>2020003630087</v>
      </c>
      <c r="C98" s="145" t="s">
        <v>595</v>
      </c>
      <c r="D98" s="375">
        <f>SUM('POAI SEPTIEMBRE 2023'!AL125)</f>
        <v>282950000</v>
      </c>
    </row>
    <row r="99" spans="1:4" ht="66" customHeight="1">
      <c r="A99" s="162">
        <f t="shared" si="3"/>
        <v>74</v>
      </c>
      <c r="B99" s="142">
        <v>2020003630029</v>
      </c>
      <c r="C99" s="145" t="s">
        <v>603</v>
      </c>
      <c r="D99" s="375">
        <f>'POAI SEPTIEMBRE 2023'!AL126</f>
        <v>173700000</v>
      </c>
    </row>
    <row r="100" spans="1:4" ht="66" customHeight="1">
      <c r="A100" s="162">
        <f t="shared" si="3"/>
        <v>75</v>
      </c>
      <c r="B100" s="142">
        <v>2020003630030</v>
      </c>
      <c r="C100" s="145" t="s">
        <v>609</v>
      </c>
      <c r="D100" s="375">
        <f>SUM('POAI SEPTIEMBRE 2023'!AL127:AL129)</f>
        <v>66529007.329999998</v>
      </c>
    </row>
    <row r="101" spans="1:4" ht="66" customHeight="1" thickBot="1">
      <c r="A101" s="164">
        <f t="shared" si="3"/>
        <v>76</v>
      </c>
      <c r="B101" s="146">
        <v>2020003630088</v>
      </c>
      <c r="C101" s="148" t="s">
        <v>622</v>
      </c>
      <c r="D101" s="377">
        <f>SUM('POAI SEPTIEMBRE 2023'!AL130:AL132)</f>
        <v>189004574</v>
      </c>
    </row>
    <row r="102" spans="1:4" ht="30" customHeight="1" thickBot="1">
      <c r="A102" s="423" t="s">
        <v>1419</v>
      </c>
      <c r="B102" s="424"/>
      <c r="C102" s="425"/>
      <c r="D102" s="212">
        <f>D103</f>
        <v>4558243430</v>
      </c>
    </row>
    <row r="103" spans="1:4" ht="30" customHeight="1">
      <c r="A103" s="165">
        <v>4</v>
      </c>
      <c r="B103" s="426" t="s">
        <v>1460</v>
      </c>
      <c r="C103" s="426"/>
      <c r="D103" s="378">
        <f>SUM(D104:D107)</f>
        <v>4558243430</v>
      </c>
    </row>
    <row r="104" spans="1:4" ht="89.25" customHeight="1">
      <c r="A104" s="161">
        <f>A101+1</f>
        <v>77</v>
      </c>
      <c r="B104" s="149">
        <v>2021003630005</v>
      </c>
      <c r="C104" s="151" t="s">
        <v>634</v>
      </c>
      <c r="D104" s="373">
        <f>'POAI SEPTIEMBRE 2023'!AL133</f>
        <v>702243430</v>
      </c>
    </row>
    <row r="105" spans="1:4" ht="66" customHeight="1">
      <c r="A105" s="162">
        <f>A104+1</f>
        <v>78</v>
      </c>
      <c r="B105" s="142">
        <v>2020003630090</v>
      </c>
      <c r="C105" s="144" t="s">
        <v>638</v>
      </c>
      <c r="D105" s="373">
        <f>'POAI SEPTIEMBRE 2023'!AL134</f>
        <v>2594000000</v>
      </c>
    </row>
    <row r="106" spans="1:4" ht="66" customHeight="1">
      <c r="A106" s="164">
        <f>A105+1</f>
        <v>79</v>
      </c>
      <c r="B106" s="146">
        <v>2020003630031</v>
      </c>
      <c r="C106" s="148" t="s">
        <v>642</v>
      </c>
      <c r="D106" s="373">
        <f>'POAI SEPTIEMBRE 2023'!AL135</f>
        <v>862000000</v>
      </c>
    </row>
    <row r="107" spans="1:4" ht="66" customHeight="1" thickBot="1">
      <c r="A107" s="164">
        <f>A106+1</f>
        <v>80</v>
      </c>
      <c r="B107" s="146">
        <v>2022003630012</v>
      </c>
      <c r="C107" s="156" t="s">
        <v>1457</v>
      </c>
      <c r="D107" s="374">
        <f>'POAI SEPTIEMBRE 2023'!AL136</f>
        <v>400000000</v>
      </c>
    </row>
    <row r="108" spans="1:4" ht="30" customHeight="1" thickBot="1">
      <c r="A108" s="423" t="s">
        <v>1372</v>
      </c>
      <c r="B108" s="424"/>
      <c r="C108" s="425"/>
      <c r="D108" s="212">
        <f>D109+D118</f>
        <v>224637789380.59998</v>
      </c>
    </row>
    <row r="109" spans="1:4" ht="26.25" customHeight="1">
      <c r="A109" s="160">
        <v>1</v>
      </c>
      <c r="B109" s="427" t="s">
        <v>148</v>
      </c>
      <c r="C109" s="428"/>
      <c r="D109" s="372">
        <f>SUM(D110:D117)</f>
        <v>224575274702.59998</v>
      </c>
    </row>
    <row r="110" spans="1:4" ht="66" customHeight="1">
      <c r="A110" s="161">
        <f>A107+1</f>
        <v>81</v>
      </c>
      <c r="B110" s="149">
        <v>2020003630091</v>
      </c>
      <c r="C110" s="150" t="s">
        <v>648</v>
      </c>
      <c r="D110" s="375">
        <f>SUM('POAI SEPTIEMBRE 2023'!AL137:AL146)</f>
        <v>25456883435.549999</v>
      </c>
    </row>
    <row r="111" spans="1:4" ht="66" customHeight="1">
      <c r="A111" s="162">
        <f>A110+1</f>
        <v>82</v>
      </c>
      <c r="B111" s="142">
        <v>2020003630092</v>
      </c>
      <c r="C111" s="144" t="s">
        <v>676</v>
      </c>
      <c r="D111" s="375">
        <f>SUM('POAI SEPTIEMBRE 2023'!AL147:AL148)</f>
        <v>24000000</v>
      </c>
    </row>
    <row r="112" spans="1:4" ht="66" customHeight="1">
      <c r="A112" s="162">
        <f t="shared" ref="A112:A117" si="4">A111+1</f>
        <v>83</v>
      </c>
      <c r="B112" s="142">
        <v>2020003630093</v>
      </c>
      <c r="C112" s="144" t="s">
        <v>684</v>
      </c>
      <c r="D112" s="375">
        <f>SUM('POAI SEPTIEMBRE 2023'!AL149:AL158)</f>
        <v>508527157</v>
      </c>
    </row>
    <row r="113" spans="1:4" ht="66" customHeight="1">
      <c r="A113" s="162">
        <f t="shared" si="4"/>
        <v>84</v>
      </c>
      <c r="B113" s="142">
        <v>2020003630016</v>
      </c>
      <c r="C113" s="144" t="s">
        <v>710</v>
      </c>
      <c r="D113" s="375">
        <f>SUM('POAI SEPTIEMBRE 2023'!AL159:AL162)</f>
        <v>197662621973.04999</v>
      </c>
    </row>
    <row r="114" spans="1:4" ht="66" customHeight="1">
      <c r="A114" s="162">
        <f t="shared" si="4"/>
        <v>85</v>
      </c>
      <c r="B114" s="142">
        <v>2020003630094</v>
      </c>
      <c r="C114" s="144" t="s">
        <v>720</v>
      </c>
      <c r="D114" s="375">
        <f>SUM('POAI SEPTIEMBRE 2023'!AL163:AL165)</f>
        <v>630824680</v>
      </c>
    </row>
    <row r="115" spans="1:4" ht="66" customHeight="1">
      <c r="A115" s="162">
        <f t="shared" si="4"/>
        <v>86</v>
      </c>
      <c r="B115" s="142">
        <v>2020003630015</v>
      </c>
      <c r="C115" s="144" t="s">
        <v>729</v>
      </c>
      <c r="D115" s="375">
        <f>SUM('POAI SEPTIEMBRE 2023'!AL166:AL168)</f>
        <v>25000000</v>
      </c>
    </row>
    <row r="116" spans="1:4" ht="66" customHeight="1">
      <c r="A116" s="162">
        <f t="shared" si="4"/>
        <v>87</v>
      </c>
      <c r="B116" s="142">
        <v>2020003630095</v>
      </c>
      <c r="C116" s="144" t="s">
        <v>735</v>
      </c>
      <c r="D116" s="375">
        <f>SUM('POAI SEPTIEMBRE 2023'!AL169:AL170)</f>
        <v>50684457</v>
      </c>
    </row>
    <row r="117" spans="1:4" ht="66" customHeight="1">
      <c r="A117" s="162">
        <f t="shared" si="4"/>
        <v>88</v>
      </c>
      <c r="B117" s="142">
        <v>2020003630096</v>
      </c>
      <c r="C117" s="145" t="s">
        <v>744</v>
      </c>
      <c r="D117" s="375">
        <f>'POAI SEPTIEMBRE 2023'!AL171</f>
        <v>216733000</v>
      </c>
    </row>
    <row r="118" spans="1:4" ht="32.25" customHeight="1">
      <c r="A118" s="165">
        <v>2</v>
      </c>
      <c r="B118" s="426" t="s">
        <v>200</v>
      </c>
      <c r="C118" s="426"/>
      <c r="D118" s="376">
        <f>D119</f>
        <v>62514678</v>
      </c>
    </row>
    <row r="119" spans="1:4" ht="66" customHeight="1" thickBot="1">
      <c r="A119" s="164">
        <f>A117+1</f>
        <v>89</v>
      </c>
      <c r="B119" s="146">
        <v>2020003630097</v>
      </c>
      <c r="C119" s="147" t="s">
        <v>753</v>
      </c>
      <c r="D119" s="377">
        <f>'POAI SEPTIEMBRE 2023'!AL172</f>
        <v>62514678</v>
      </c>
    </row>
    <row r="120" spans="1:4" ht="30" customHeight="1" thickBot="1">
      <c r="A120" s="420" t="s">
        <v>1301</v>
      </c>
      <c r="B120" s="421"/>
      <c r="C120" s="422"/>
      <c r="D120" s="212">
        <f>D121+D140+D143</f>
        <v>9615731819.3800011</v>
      </c>
    </row>
    <row r="121" spans="1:4" ht="30" customHeight="1">
      <c r="A121" s="160">
        <v>1</v>
      </c>
      <c r="B121" s="427" t="s">
        <v>148</v>
      </c>
      <c r="C121" s="428"/>
      <c r="D121" s="372">
        <f>SUM(D122:D139)</f>
        <v>8789978847.3800011</v>
      </c>
    </row>
    <row r="122" spans="1:4" ht="66" customHeight="1">
      <c r="A122" s="161">
        <f>A119+1</f>
        <v>90</v>
      </c>
      <c r="B122" s="136">
        <v>2020003630011</v>
      </c>
      <c r="C122" s="128" t="s">
        <v>1373</v>
      </c>
      <c r="D122" s="379">
        <f>SUM('POAI SEPTIEMBRE 2023'!AL173:AL174)</f>
        <v>239189640</v>
      </c>
    </row>
    <row r="123" spans="1:4" ht="66" customHeight="1">
      <c r="A123" s="162">
        <f>A122+1</f>
        <v>91</v>
      </c>
      <c r="B123" s="137">
        <v>2020003630098</v>
      </c>
      <c r="C123" s="123" t="s">
        <v>1374</v>
      </c>
      <c r="D123" s="379">
        <f>SUM('POAI SEPTIEMBRE 2023'!AL175)</f>
        <v>31700000</v>
      </c>
    </row>
    <row r="124" spans="1:4" ht="66" customHeight="1">
      <c r="A124" s="162">
        <f t="shared" ref="A124:A148" si="5">A123+1</f>
        <v>92</v>
      </c>
      <c r="B124" s="137">
        <v>2020003630099</v>
      </c>
      <c r="C124" s="123" t="s">
        <v>1375</v>
      </c>
      <c r="D124" s="379">
        <f>SUM('POAI SEPTIEMBRE 2023'!AL176:AL177)</f>
        <v>79600000</v>
      </c>
    </row>
    <row r="125" spans="1:4" ht="66" customHeight="1">
      <c r="A125" s="162">
        <f t="shared" si="5"/>
        <v>93</v>
      </c>
      <c r="B125" s="137">
        <v>2020003630100</v>
      </c>
      <c r="C125" s="123" t="s">
        <v>1376</v>
      </c>
      <c r="D125" s="379">
        <f>SUM('POAI SEPTIEMBRE 2023'!AL178)</f>
        <v>208340000</v>
      </c>
    </row>
    <row r="126" spans="1:4" ht="66" customHeight="1">
      <c r="A126" s="162">
        <f t="shared" si="5"/>
        <v>94</v>
      </c>
      <c r="B126" s="137">
        <v>2020003630101</v>
      </c>
      <c r="C126" s="123" t="s">
        <v>799</v>
      </c>
      <c r="D126" s="379">
        <f>'POAI SEPTIEMBRE 2023'!AL179</f>
        <v>493396665</v>
      </c>
    </row>
    <row r="127" spans="1:4" ht="66" customHeight="1">
      <c r="A127" s="162">
        <f t="shared" si="5"/>
        <v>95</v>
      </c>
      <c r="B127" s="137">
        <v>2020003630102</v>
      </c>
      <c r="C127" s="123" t="s">
        <v>806</v>
      </c>
      <c r="D127" s="379">
        <f>'POAI SEPTIEMBRE 2023'!AL180</f>
        <v>442345028</v>
      </c>
    </row>
    <row r="128" spans="1:4" ht="66" customHeight="1">
      <c r="A128" s="162">
        <f t="shared" si="5"/>
        <v>96</v>
      </c>
      <c r="B128" s="137">
        <v>2021003630010</v>
      </c>
      <c r="C128" s="123" t="s">
        <v>1377</v>
      </c>
      <c r="D128" s="379">
        <f>'POAI SEPTIEMBRE 2023'!AL181</f>
        <v>43800000</v>
      </c>
    </row>
    <row r="129" spans="1:4" ht="66" customHeight="1">
      <c r="A129" s="162">
        <f t="shared" si="5"/>
        <v>97</v>
      </c>
      <c r="B129" s="137">
        <v>2020003630033</v>
      </c>
      <c r="C129" s="123" t="s">
        <v>1378</v>
      </c>
      <c r="D129" s="379">
        <f>SUM('POAI SEPTIEMBRE 2023'!AL182:AL183)</f>
        <v>88000000</v>
      </c>
    </row>
    <row r="130" spans="1:4" ht="66" customHeight="1">
      <c r="A130" s="162">
        <f t="shared" si="5"/>
        <v>98</v>
      </c>
      <c r="B130" s="137">
        <v>2020003630034</v>
      </c>
      <c r="C130" s="122" t="s">
        <v>1379</v>
      </c>
      <c r="D130" s="379">
        <f>'POAI SEPTIEMBRE 2023'!AL184</f>
        <v>68481667</v>
      </c>
    </row>
    <row r="131" spans="1:4" ht="66" customHeight="1">
      <c r="A131" s="162">
        <f t="shared" si="5"/>
        <v>99</v>
      </c>
      <c r="B131" s="137">
        <v>2020003630103</v>
      </c>
      <c r="C131" s="122" t="s">
        <v>835</v>
      </c>
      <c r="D131" s="379">
        <f>'POAI SEPTIEMBRE 2023'!AL185</f>
        <v>75827000</v>
      </c>
    </row>
    <row r="132" spans="1:4" ht="66" customHeight="1">
      <c r="A132" s="162">
        <f t="shared" si="5"/>
        <v>100</v>
      </c>
      <c r="B132" s="137">
        <v>2020003630104</v>
      </c>
      <c r="C132" s="122" t="s">
        <v>1380</v>
      </c>
      <c r="D132" s="379">
        <f>'POAI SEPTIEMBRE 2023'!AL186</f>
        <v>74683000</v>
      </c>
    </row>
    <row r="133" spans="1:4" ht="66" customHeight="1">
      <c r="A133" s="162">
        <f t="shared" si="5"/>
        <v>101</v>
      </c>
      <c r="B133" s="137">
        <v>2020003630105</v>
      </c>
      <c r="C133" s="122" t="s">
        <v>844</v>
      </c>
      <c r="D133" s="379">
        <f>'POAI SEPTIEMBRE 2023'!AL187</f>
        <v>37700000</v>
      </c>
    </row>
    <row r="134" spans="1:4" ht="66" customHeight="1">
      <c r="A134" s="162">
        <f t="shared" si="5"/>
        <v>102</v>
      </c>
      <c r="B134" s="137">
        <v>2020003630106</v>
      </c>
      <c r="C134" s="122" t="s">
        <v>1381</v>
      </c>
      <c r="D134" s="379">
        <f>'POAI SEPTIEMBRE 2023'!AL188</f>
        <v>65000000</v>
      </c>
    </row>
    <row r="135" spans="1:4" ht="66" customHeight="1">
      <c r="A135" s="162">
        <f t="shared" si="5"/>
        <v>103</v>
      </c>
      <c r="B135" s="137">
        <v>2020003630036</v>
      </c>
      <c r="C135" s="123" t="s">
        <v>1382</v>
      </c>
      <c r="D135" s="379">
        <f>SUM('POAI SEPTIEMBRE 2023'!AL189:AL190)</f>
        <v>100000000</v>
      </c>
    </row>
    <row r="136" spans="1:4" ht="66" customHeight="1">
      <c r="A136" s="162">
        <f t="shared" si="5"/>
        <v>104</v>
      </c>
      <c r="B136" s="137">
        <v>2020003630037</v>
      </c>
      <c r="C136" s="123" t="s">
        <v>864</v>
      </c>
      <c r="D136" s="379">
        <f>SUM('POAI SEPTIEMBRE 2023'!AL191)</f>
        <v>62000000</v>
      </c>
    </row>
    <row r="137" spans="1:4" ht="66" customHeight="1">
      <c r="A137" s="162">
        <f t="shared" si="5"/>
        <v>105</v>
      </c>
      <c r="B137" s="137">
        <v>2020003630035</v>
      </c>
      <c r="C137" s="122" t="s">
        <v>872</v>
      </c>
      <c r="D137" s="379">
        <f>SUM('POAI SEPTIEMBRE 2023'!AL192:AL193)</f>
        <v>415730000</v>
      </c>
    </row>
    <row r="138" spans="1:4" ht="66" customHeight="1">
      <c r="A138" s="162">
        <f t="shared" si="5"/>
        <v>106</v>
      </c>
      <c r="B138" s="137">
        <v>2020003630012</v>
      </c>
      <c r="C138" s="123" t="s">
        <v>881</v>
      </c>
      <c r="D138" s="379">
        <f>'POAI SEPTIEMBRE 2023'!AL194</f>
        <v>165400000</v>
      </c>
    </row>
    <row r="139" spans="1:4" ht="66" customHeight="1">
      <c r="A139" s="162">
        <f t="shared" si="5"/>
        <v>107</v>
      </c>
      <c r="B139" s="137">
        <v>2020003630109</v>
      </c>
      <c r="C139" s="123" t="s">
        <v>1383</v>
      </c>
      <c r="D139" s="379">
        <f>SUM('POAI SEPTIEMBRE 2023'!AL195:AL196)</f>
        <v>6098785847.3800001</v>
      </c>
    </row>
    <row r="140" spans="1:4" ht="25.5" customHeight="1">
      <c r="A140" s="165">
        <v>2</v>
      </c>
      <c r="B140" s="426" t="s">
        <v>200</v>
      </c>
      <c r="C140" s="426"/>
      <c r="D140" s="376">
        <f>SUM(D141:D142)</f>
        <v>65300000</v>
      </c>
    </row>
    <row r="141" spans="1:4" ht="66" customHeight="1">
      <c r="A141" s="162">
        <f>A139+1</f>
        <v>108</v>
      </c>
      <c r="B141" s="137">
        <v>2020003630113</v>
      </c>
      <c r="C141" s="123" t="s">
        <v>1384</v>
      </c>
      <c r="D141" s="380">
        <f>'POAI SEPTIEMBRE 2023'!AL197</f>
        <v>46300000</v>
      </c>
    </row>
    <row r="142" spans="1:4" ht="66" customHeight="1">
      <c r="A142" s="162">
        <f t="shared" si="5"/>
        <v>109</v>
      </c>
      <c r="B142" s="137">
        <v>2020003630114</v>
      </c>
      <c r="C142" s="123" t="s">
        <v>905</v>
      </c>
      <c r="D142" s="380">
        <f>'POAI SEPTIEMBRE 2023'!AL198</f>
        <v>19000000</v>
      </c>
    </row>
    <row r="143" spans="1:4" ht="25.5" customHeight="1">
      <c r="A143" s="165">
        <v>4</v>
      </c>
      <c r="B143" s="426" t="s">
        <v>1460</v>
      </c>
      <c r="C143" s="426"/>
      <c r="D143" s="376">
        <f>SUM(D144:D148)</f>
        <v>760452972</v>
      </c>
    </row>
    <row r="144" spans="1:4" ht="66" customHeight="1">
      <c r="A144" s="162">
        <f>A142+1</f>
        <v>110</v>
      </c>
      <c r="B144" s="137">
        <v>2020003630115</v>
      </c>
      <c r="C144" s="123" t="s">
        <v>1385</v>
      </c>
      <c r="D144" s="380">
        <f>'POAI SEPTIEMBRE 2023'!AL199</f>
        <v>15000000</v>
      </c>
    </row>
    <row r="145" spans="1:4" ht="66" customHeight="1">
      <c r="A145" s="162">
        <f t="shared" si="5"/>
        <v>111</v>
      </c>
      <c r="B145" s="137">
        <v>2021003630008</v>
      </c>
      <c r="C145" s="122" t="s">
        <v>1386</v>
      </c>
      <c r="D145" s="380">
        <f>'POAI SEPTIEMBRE 2023'!AL200</f>
        <v>273200000</v>
      </c>
    </row>
    <row r="146" spans="1:4" ht="66" customHeight="1">
      <c r="A146" s="162">
        <f t="shared" si="5"/>
        <v>112</v>
      </c>
      <c r="B146" s="137">
        <v>2021003630007</v>
      </c>
      <c r="C146" s="122" t="s">
        <v>1387</v>
      </c>
      <c r="D146" s="380">
        <f>'POAI SEPTIEMBRE 2023'!AL201</f>
        <v>207200000</v>
      </c>
    </row>
    <row r="147" spans="1:4" ht="66" customHeight="1">
      <c r="A147" s="162">
        <f t="shared" si="5"/>
        <v>113</v>
      </c>
      <c r="B147" s="137">
        <v>2020003630111</v>
      </c>
      <c r="C147" s="122" t="s">
        <v>1388</v>
      </c>
      <c r="D147" s="380">
        <f>'POAI SEPTIEMBRE 2023'!AL202</f>
        <v>150052972</v>
      </c>
    </row>
    <row r="148" spans="1:4" ht="66" customHeight="1" thickBot="1">
      <c r="A148" s="164">
        <f t="shared" si="5"/>
        <v>114</v>
      </c>
      <c r="B148" s="135">
        <v>2020003630112</v>
      </c>
      <c r="C148" s="127" t="s">
        <v>931</v>
      </c>
      <c r="D148" s="381">
        <f>'POAI SEPTIEMBRE 2023'!AL203</f>
        <v>115000000</v>
      </c>
    </row>
    <row r="149" spans="1:4" ht="30" customHeight="1" thickBot="1">
      <c r="A149" s="420" t="s">
        <v>1389</v>
      </c>
      <c r="B149" s="421"/>
      <c r="C149" s="422"/>
      <c r="D149" s="212">
        <f>SUM(D151:D173)</f>
        <v>63633783396.419998</v>
      </c>
    </row>
    <row r="150" spans="1:4" ht="24" customHeight="1">
      <c r="A150" s="160">
        <v>1</v>
      </c>
      <c r="B150" s="427" t="s">
        <v>148</v>
      </c>
      <c r="C150" s="428"/>
      <c r="D150" s="372">
        <f>SUM(D151:D173)</f>
        <v>63633783396.419998</v>
      </c>
    </row>
    <row r="151" spans="1:4" ht="66" customHeight="1">
      <c r="A151" s="161">
        <f>A148+1</f>
        <v>115</v>
      </c>
      <c r="B151" s="136">
        <v>2020003630116</v>
      </c>
      <c r="C151" s="126" t="s">
        <v>941</v>
      </c>
      <c r="D151" s="380">
        <f>SUM('POAI SEPTIEMBRE 2023'!AL204:AL211)</f>
        <v>1665766298.6500001</v>
      </c>
    </row>
    <row r="152" spans="1:4" ht="66" customHeight="1">
      <c r="A152" s="162">
        <f>A151+1</f>
        <v>116</v>
      </c>
      <c r="B152" s="137">
        <v>2020003630117</v>
      </c>
      <c r="C152" s="123" t="s">
        <v>968</v>
      </c>
      <c r="D152" s="380">
        <f>'POAI SEPTIEMBRE 2023'!AL212+'POAI SEPTIEMBRE 2023'!AL255</f>
        <v>336500000</v>
      </c>
    </row>
    <row r="153" spans="1:4" ht="66" customHeight="1">
      <c r="A153" s="162">
        <f t="shared" ref="A153:A173" si="6">A152+1</f>
        <v>117</v>
      </c>
      <c r="B153" s="137">
        <v>2020003630118</v>
      </c>
      <c r="C153" s="123" t="s">
        <v>973</v>
      </c>
      <c r="D153" s="380">
        <f>'POAI SEPTIEMBRE 2023'!AL213+'POAI SEPTIEMBRE 2023'!AL214+'POAI SEPTIEMBRE 2023'!AL215</f>
        <v>1427478796</v>
      </c>
    </row>
    <row r="154" spans="1:4" ht="66" customHeight="1">
      <c r="A154" s="162">
        <f t="shared" si="6"/>
        <v>118</v>
      </c>
      <c r="B154" s="137">
        <v>2020003630119</v>
      </c>
      <c r="C154" s="123" t="s">
        <v>981</v>
      </c>
      <c r="D154" s="380">
        <f>'POAI SEPTIEMBRE 2023'!AL216</f>
        <v>92585478</v>
      </c>
    </row>
    <row r="155" spans="1:4" ht="66" customHeight="1">
      <c r="A155" s="162">
        <f t="shared" si="6"/>
        <v>119</v>
      </c>
      <c r="B155" s="137">
        <v>2020003630120</v>
      </c>
      <c r="C155" s="123" t="s">
        <v>986</v>
      </c>
      <c r="D155" s="380">
        <f>'POAI SEPTIEMBRE 2023'!AL217+'POAI SEPTIEMBRE 2023'!AL218+'POAI SEPTIEMBRE 2023'!AL219+'POAI SEPTIEMBRE 2023'!AL220</f>
        <v>114100000</v>
      </c>
    </row>
    <row r="156" spans="1:4" ht="66" customHeight="1">
      <c r="A156" s="162">
        <f t="shared" si="6"/>
        <v>120</v>
      </c>
      <c r="B156" s="137">
        <v>2020003630121</v>
      </c>
      <c r="C156" s="123" t="s">
        <v>1390</v>
      </c>
      <c r="D156" s="380">
        <f>SUM('POAI SEPTIEMBRE 2023'!AL221:AL224)</f>
        <v>223235000</v>
      </c>
    </row>
    <row r="157" spans="1:4" ht="66" customHeight="1">
      <c r="A157" s="162">
        <f t="shared" si="6"/>
        <v>121</v>
      </c>
      <c r="B157" s="137">
        <v>2020003630122</v>
      </c>
      <c r="C157" s="123" t="s">
        <v>1391</v>
      </c>
      <c r="D157" s="380">
        <f>SUM('POAI SEPTIEMBRE 2023'!AL225:AL226)</f>
        <v>231541929</v>
      </c>
    </row>
    <row r="158" spans="1:4" ht="66" customHeight="1">
      <c r="A158" s="162">
        <f t="shared" si="6"/>
        <v>122</v>
      </c>
      <c r="B158" s="137">
        <v>2020003630123</v>
      </c>
      <c r="C158" s="123" t="s">
        <v>1014</v>
      </c>
      <c r="D158" s="380">
        <f>SUM('POAI SEPTIEMBRE 2023'!AL227:AL233)</f>
        <v>2088228796</v>
      </c>
    </row>
    <row r="159" spans="1:4" ht="66" customHeight="1">
      <c r="A159" s="162">
        <f t="shared" si="6"/>
        <v>123</v>
      </c>
      <c r="B159" s="137">
        <v>2020003630124</v>
      </c>
      <c r="C159" s="123" t="s">
        <v>1036</v>
      </c>
      <c r="D159" s="380">
        <f>SUM('POAI SEPTIEMBRE 2023'!AL234:AL235)</f>
        <v>70000000</v>
      </c>
    </row>
    <row r="160" spans="1:4" ht="66" customHeight="1">
      <c r="A160" s="162">
        <f t="shared" si="6"/>
        <v>124</v>
      </c>
      <c r="B160" s="137">
        <v>2020003630125</v>
      </c>
      <c r="C160" s="123" t="s">
        <v>1043</v>
      </c>
      <c r="D160" s="380">
        <f>'POAI SEPTIEMBRE 2023'!AL236+'POAI SEPTIEMBRE 2023'!AL237+'POAI SEPTIEMBRE 2023'!AL256</f>
        <v>370300000</v>
      </c>
    </row>
    <row r="161" spans="1:4" ht="66" customHeight="1">
      <c r="A161" s="162">
        <f t="shared" si="6"/>
        <v>125</v>
      </c>
      <c r="B161" s="137">
        <v>2020003630126</v>
      </c>
      <c r="C161" s="123" t="s">
        <v>1045</v>
      </c>
      <c r="D161" s="380">
        <f>'POAI SEPTIEMBRE 2023'!AL238+'POAI SEPTIEMBRE 2023'!AL257</f>
        <v>228958123</v>
      </c>
    </row>
    <row r="162" spans="1:4" ht="66" customHeight="1">
      <c r="A162" s="162">
        <f t="shared" si="6"/>
        <v>126</v>
      </c>
      <c r="B162" s="137">
        <v>2020003630127</v>
      </c>
      <c r="C162" s="123" t="s">
        <v>1049</v>
      </c>
      <c r="D162" s="380">
        <f>SUM('POAI SEPTIEMBRE 2023'!AL239:AL241)</f>
        <v>285003883</v>
      </c>
    </row>
    <row r="163" spans="1:4" ht="66" customHeight="1">
      <c r="A163" s="162">
        <f t="shared" si="6"/>
        <v>127</v>
      </c>
      <c r="B163" s="137">
        <v>2020003630128</v>
      </c>
      <c r="C163" s="123" t="s">
        <v>1058</v>
      </c>
      <c r="D163" s="380">
        <f>'POAI SEPTIEMBRE 2023'!AL242+'POAI SEPTIEMBRE 2023'!AL258</f>
        <v>642952786</v>
      </c>
    </row>
    <row r="164" spans="1:4" ht="66" customHeight="1">
      <c r="A164" s="162">
        <f t="shared" si="6"/>
        <v>128</v>
      </c>
      <c r="B164" s="137">
        <v>2020003630129</v>
      </c>
      <c r="C164" s="123" t="s">
        <v>1392</v>
      </c>
      <c r="D164" s="380">
        <f>'POAI SEPTIEMBRE 2023'!AL243+'POAI SEPTIEMBRE 2023'!AL259</f>
        <v>330433735</v>
      </c>
    </row>
    <row r="165" spans="1:4" ht="66" customHeight="1">
      <c r="A165" s="162">
        <f t="shared" si="6"/>
        <v>129</v>
      </c>
      <c r="B165" s="137">
        <v>2020003630130</v>
      </c>
      <c r="C165" s="123" t="s">
        <v>1115</v>
      </c>
      <c r="D165" s="380">
        <f>'POAI SEPTIEMBRE 2023'!AL260</f>
        <v>50000000</v>
      </c>
    </row>
    <row r="166" spans="1:4" ht="66" customHeight="1">
      <c r="A166" s="162">
        <f t="shared" si="6"/>
        <v>130</v>
      </c>
      <c r="B166" s="137">
        <v>2020003630131</v>
      </c>
      <c r="C166" s="123" t="s">
        <v>1120</v>
      </c>
      <c r="D166" s="380">
        <f>'POAI SEPTIEMBRE 2023'!AL261</f>
        <v>44500000</v>
      </c>
    </row>
    <row r="167" spans="1:4" ht="66" customHeight="1">
      <c r="A167" s="162">
        <f t="shared" si="6"/>
        <v>131</v>
      </c>
      <c r="B167" s="137">
        <v>2020003630132</v>
      </c>
      <c r="C167" s="123" t="s">
        <v>1393</v>
      </c>
      <c r="D167" s="380">
        <f>'POAI SEPTIEMBRE 2023'!AL262</f>
        <v>116500000</v>
      </c>
    </row>
    <row r="168" spans="1:4" ht="66" customHeight="1">
      <c r="A168" s="162">
        <f t="shared" si="6"/>
        <v>132</v>
      </c>
      <c r="B168" s="137">
        <v>2020003630133</v>
      </c>
      <c r="C168" s="123" t="s">
        <v>1394</v>
      </c>
      <c r="D168" s="380">
        <f>'POAI SEPTIEMBRE 2023'!AL244</f>
        <v>110639061.28999999</v>
      </c>
    </row>
    <row r="169" spans="1:4" ht="66" customHeight="1">
      <c r="A169" s="162">
        <f t="shared" si="6"/>
        <v>133</v>
      </c>
      <c r="B169" s="137">
        <v>2020003630134</v>
      </c>
      <c r="C169" s="123" t="s">
        <v>1070</v>
      </c>
      <c r="D169" s="380">
        <f>'POAI SEPTIEMBRE 2023'!AL245</f>
        <v>600000000</v>
      </c>
    </row>
    <row r="170" spans="1:4" ht="66" customHeight="1">
      <c r="A170" s="162">
        <f t="shared" si="6"/>
        <v>134</v>
      </c>
      <c r="B170" s="137">
        <v>2020003630135</v>
      </c>
      <c r="C170" s="123" t="s">
        <v>1395</v>
      </c>
      <c r="D170" s="380">
        <f>'POAI SEPTIEMBRE 2023'!AL246</f>
        <v>345000000</v>
      </c>
    </row>
    <row r="171" spans="1:4" ht="66" customHeight="1">
      <c r="A171" s="162">
        <f t="shared" si="6"/>
        <v>135</v>
      </c>
      <c r="B171" s="137">
        <v>2020003630136</v>
      </c>
      <c r="C171" s="123" t="s">
        <v>1081</v>
      </c>
      <c r="D171" s="380">
        <f>'POAI SEPTIEMBRE 2023'!AL247</f>
        <v>41342402178.509995</v>
      </c>
    </row>
    <row r="172" spans="1:4" ht="66" customHeight="1">
      <c r="A172" s="162">
        <f t="shared" si="6"/>
        <v>136</v>
      </c>
      <c r="B172" s="137">
        <v>2020003630137</v>
      </c>
      <c r="C172" s="123" t="s">
        <v>1086</v>
      </c>
      <c r="D172" s="380">
        <f>SUM('POAI SEPTIEMBRE 2023'!AL248:AL250)</f>
        <v>11299317367.970001</v>
      </c>
    </row>
    <row r="173" spans="1:4" ht="66" customHeight="1" thickBot="1">
      <c r="A173" s="164">
        <f t="shared" si="6"/>
        <v>137</v>
      </c>
      <c r="B173" s="135">
        <v>2020003630138</v>
      </c>
      <c r="C173" s="124" t="s">
        <v>1097</v>
      </c>
      <c r="D173" s="381">
        <f>SUM('POAI SEPTIEMBRE 2023'!AL251:AL254)</f>
        <v>1618339964</v>
      </c>
    </row>
    <row r="174" spans="1:4" ht="30" customHeight="1" thickBot="1">
      <c r="A174" s="420" t="s">
        <v>1396</v>
      </c>
      <c r="B174" s="421"/>
      <c r="C174" s="422"/>
      <c r="D174" s="212">
        <f>D175+D179+D182</f>
        <v>2328894018</v>
      </c>
    </row>
    <row r="175" spans="1:4" ht="30" customHeight="1">
      <c r="A175" s="160">
        <v>1</v>
      </c>
      <c r="B175" s="427" t="s">
        <v>148</v>
      </c>
      <c r="C175" s="428"/>
      <c r="D175" s="372">
        <f>SUM(D176:D178)</f>
        <v>1723774500</v>
      </c>
    </row>
    <row r="176" spans="1:4" ht="66" customHeight="1">
      <c r="A176" s="161">
        <f>A173+1</f>
        <v>138</v>
      </c>
      <c r="B176" s="136">
        <v>2020003630038</v>
      </c>
      <c r="C176" s="126" t="s">
        <v>1397</v>
      </c>
      <c r="D176" s="380">
        <f>SUM('POAI SEPTIEMBRE 2023'!AL263:AL266)</f>
        <v>382950833</v>
      </c>
    </row>
    <row r="177" spans="1:4" ht="66" customHeight="1">
      <c r="A177" s="162">
        <f>A176+1</f>
        <v>139</v>
      </c>
      <c r="B177" s="137">
        <v>2020003630139</v>
      </c>
      <c r="C177" s="123" t="s">
        <v>1398</v>
      </c>
      <c r="D177" s="380">
        <f>SUM('POAI SEPTIEMBRE 2023'!AL267:AL271)</f>
        <v>916035336</v>
      </c>
    </row>
    <row r="178" spans="1:4" ht="66" customHeight="1">
      <c r="A178" s="162">
        <f>A177+1</f>
        <v>140</v>
      </c>
      <c r="B178" s="137">
        <v>2020003630039</v>
      </c>
      <c r="C178" s="123" t="s">
        <v>1399</v>
      </c>
      <c r="D178" s="380">
        <f>SUM('POAI SEPTIEMBRE 2023'!AL272:AL276)</f>
        <v>424788331</v>
      </c>
    </row>
    <row r="179" spans="1:4" ht="30" customHeight="1">
      <c r="A179" s="165">
        <v>2</v>
      </c>
      <c r="B179" s="426" t="s">
        <v>200</v>
      </c>
      <c r="C179" s="426"/>
      <c r="D179" s="376">
        <f>SUM(D180:D181)</f>
        <v>128119518</v>
      </c>
    </row>
    <row r="180" spans="1:4" ht="66" customHeight="1">
      <c r="A180" s="162">
        <f>A178+1</f>
        <v>141</v>
      </c>
      <c r="B180" s="137">
        <v>2020003630140</v>
      </c>
      <c r="C180" s="123" t="s">
        <v>1400</v>
      </c>
      <c r="D180" s="380">
        <f>SUM('POAI SEPTIEMBRE 2023'!AL277:AL279)</f>
        <v>71719518</v>
      </c>
    </row>
    <row r="181" spans="1:4" ht="66" customHeight="1">
      <c r="A181" s="162">
        <f>A180+1</f>
        <v>142</v>
      </c>
      <c r="B181" s="137">
        <v>2020003630040</v>
      </c>
      <c r="C181" s="123" t="s">
        <v>1401</v>
      </c>
      <c r="D181" s="380">
        <f>'POAI SEPTIEMBRE 2023'!AL280</f>
        <v>56400000</v>
      </c>
    </row>
    <row r="182" spans="1:4" ht="32.25" customHeight="1">
      <c r="A182" s="165">
        <v>4</v>
      </c>
      <c r="B182" s="426" t="s">
        <v>1460</v>
      </c>
      <c r="C182" s="426"/>
      <c r="D182" s="376">
        <f>D183</f>
        <v>477000000</v>
      </c>
    </row>
    <row r="183" spans="1:4" ht="66" customHeight="1" thickBot="1">
      <c r="A183" s="164">
        <f>A181+1</f>
        <v>143</v>
      </c>
      <c r="B183" s="135">
        <v>2020003630141</v>
      </c>
      <c r="C183" s="124" t="s">
        <v>1402</v>
      </c>
      <c r="D183" s="381">
        <f>SUM('POAI SEPTIEMBRE 2023'!AL281:AL286)</f>
        <v>477000000</v>
      </c>
    </row>
    <row r="184" spans="1:4" ht="30" customHeight="1" thickBot="1">
      <c r="A184" s="423" t="s">
        <v>1403</v>
      </c>
      <c r="B184" s="424"/>
      <c r="C184" s="425"/>
      <c r="D184" s="212">
        <f>D185</f>
        <v>10324433912.389999</v>
      </c>
    </row>
    <row r="185" spans="1:4" ht="30" customHeight="1">
      <c r="A185" s="160">
        <v>1</v>
      </c>
      <c r="B185" s="427" t="s">
        <v>148</v>
      </c>
      <c r="C185" s="428"/>
      <c r="D185" s="372">
        <f>SUM(D186:D188)</f>
        <v>10324433912.389999</v>
      </c>
    </row>
    <row r="186" spans="1:4" ht="66" customHeight="1">
      <c r="A186" s="163">
        <f>A183+1</f>
        <v>144</v>
      </c>
      <c r="B186" s="136">
        <v>2020003630009</v>
      </c>
      <c r="C186" s="126" t="s">
        <v>1202</v>
      </c>
      <c r="D186" s="380">
        <f>SUM('POAI SEPTIEMBRE 2023'!AL287:AL290)</f>
        <v>3600656662.8499999</v>
      </c>
    </row>
    <row r="187" spans="1:4" ht="66" customHeight="1">
      <c r="A187" s="162">
        <f>A186+1</f>
        <v>145</v>
      </c>
      <c r="B187" s="137">
        <v>2020003630010</v>
      </c>
      <c r="C187" s="123" t="s">
        <v>1217</v>
      </c>
      <c r="D187" s="380">
        <f>'POAI SEPTIEMBRE 2023'!AL291</f>
        <v>4276859417.54</v>
      </c>
    </row>
    <row r="188" spans="1:4" ht="66" customHeight="1" thickBot="1">
      <c r="A188" s="166">
        <f>A187+1</f>
        <v>146</v>
      </c>
      <c r="B188" s="135">
        <v>2020003630013</v>
      </c>
      <c r="C188" s="124" t="s">
        <v>1222</v>
      </c>
      <c r="D188" s="381">
        <f>'POAI SEPTIEMBRE 2023'!AL292</f>
        <v>2446917832</v>
      </c>
    </row>
    <row r="189" spans="1:4" ht="30" customHeight="1" thickBot="1">
      <c r="A189" s="420" t="s">
        <v>1308</v>
      </c>
      <c r="B189" s="421"/>
      <c r="C189" s="422"/>
      <c r="D189" s="212">
        <f>D190+D193+D197</f>
        <v>4712923248</v>
      </c>
    </row>
    <row r="190" spans="1:4" ht="30" customHeight="1">
      <c r="A190" s="160">
        <v>1</v>
      </c>
      <c r="B190" s="427" t="s">
        <v>148</v>
      </c>
      <c r="C190" s="428"/>
      <c r="D190" s="372">
        <f>SUM(D191:D192)</f>
        <v>2658311172</v>
      </c>
    </row>
    <row r="191" spans="1:4" ht="66" customHeight="1">
      <c r="A191" s="163">
        <f>A188+1</f>
        <v>147</v>
      </c>
      <c r="B191" s="138">
        <v>2020003630142</v>
      </c>
      <c r="C191" s="126" t="s">
        <v>1227</v>
      </c>
      <c r="D191" s="380">
        <f>'POAI SEPTIEMBRE 2023'!AL293</f>
        <v>1462000000</v>
      </c>
    </row>
    <row r="192" spans="1:4" ht="66" customHeight="1">
      <c r="A192" s="162">
        <f>A191+1</f>
        <v>148</v>
      </c>
      <c r="B192" s="142">
        <v>2020003630143</v>
      </c>
      <c r="C192" s="141" t="s">
        <v>1229</v>
      </c>
      <c r="D192" s="380">
        <f>'POAI SEPTIEMBRE 2023'!AL294</f>
        <v>1196311172</v>
      </c>
    </row>
    <row r="193" spans="1:7" ht="28.5" customHeight="1">
      <c r="A193" s="165">
        <v>3</v>
      </c>
      <c r="B193" s="426" t="s">
        <v>212</v>
      </c>
      <c r="C193" s="426"/>
      <c r="D193" s="376">
        <f>SUM(D194:D196)</f>
        <v>1510612076</v>
      </c>
    </row>
    <row r="194" spans="1:7" ht="45.75" customHeight="1">
      <c r="A194" s="162">
        <f>A192+1</f>
        <v>149</v>
      </c>
      <c r="B194" s="142">
        <v>2020003630144</v>
      </c>
      <c r="C194" s="141" t="s">
        <v>1404</v>
      </c>
      <c r="D194" s="380">
        <f>'POAI SEPTIEMBRE 2023'!AL295</f>
        <v>440356768</v>
      </c>
    </row>
    <row r="195" spans="1:7" ht="66" customHeight="1">
      <c r="A195" s="162">
        <f>A194+1</f>
        <v>150</v>
      </c>
      <c r="B195" s="138">
        <v>2020003630145</v>
      </c>
      <c r="C195" s="124" t="s">
        <v>1405</v>
      </c>
      <c r="D195" s="381">
        <f>'POAI SEPTIEMBRE 2023'!AL296+'POAI SEPTIEMBRE 2023'!AL297+'POAI SEPTIEMBRE 2023'!AL298+'POAI SEPTIEMBRE 2023'!AL299+'POAI SEPTIEMBRE 2023'!AL300+'POAI SEPTIEMBRE 2023'!AL301+'POAI SEPTIEMBRE 2023'!AL302</f>
        <v>920255308</v>
      </c>
    </row>
    <row r="196" spans="1:7" ht="66" customHeight="1">
      <c r="A196" s="162">
        <f>A195+1</f>
        <v>151</v>
      </c>
      <c r="B196" s="142">
        <v>2023003630001</v>
      </c>
      <c r="C196" s="145" t="s">
        <v>1477</v>
      </c>
      <c r="D196" s="382">
        <f>'POAI SEPTIEMBRE 2023'!AL303</f>
        <v>150000000</v>
      </c>
    </row>
    <row r="197" spans="1:7" ht="28.5" customHeight="1">
      <c r="A197" s="165">
        <v>4</v>
      </c>
      <c r="B197" s="426" t="s">
        <v>1460</v>
      </c>
      <c r="C197" s="426"/>
      <c r="D197" s="376">
        <f>SUM(D198:D198)</f>
        <v>544000000</v>
      </c>
    </row>
    <row r="198" spans="1:7" ht="66" customHeight="1" thickBot="1">
      <c r="A198" s="164">
        <f>A196+1</f>
        <v>152</v>
      </c>
      <c r="B198" s="146">
        <v>2022003630006</v>
      </c>
      <c r="C198" s="171" t="s">
        <v>1255</v>
      </c>
      <c r="D198" s="381">
        <f>'POAI SEPTIEMBRE 2023'!AL304</f>
        <v>544000000</v>
      </c>
    </row>
    <row r="199" spans="1:7" ht="30" customHeight="1" thickBot="1">
      <c r="A199" s="420" t="s">
        <v>1406</v>
      </c>
      <c r="B199" s="421"/>
      <c r="C199" s="422"/>
      <c r="D199" s="212">
        <f>SUM(D201)</f>
        <v>168932650</v>
      </c>
    </row>
    <row r="200" spans="1:7" ht="30" customHeight="1">
      <c r="A200" s="172">
        <v>3</v>
      </c>
      <c r="B200" s="429" t="s">
        <v>212</v>
      </c>
      <c r="C200" s="429"/>
      <c r="D200" s="378">
        <f>D201</f>
        <v>168932650</v>
      </c>
    </row>
    <row r="201" spans="1:7" ht="66" customHeight="1" thickBot="1">
      <c r="A201" s="166">
        <f>A198+1</f>
        <v>153</v>
      </c>
      <c r="B201" s="138">
        <v>2020003630149</v>
      </c>
      <c r="C201" s="125" t="s">
        <v>1264</v>
      </c>
      <c r="D201" s="383">
        <f>SUM('POAI SEPTIEMBRE 2023'!AL305:AL308)</f>
        <v>168932650</v>
      </c>
    </row>
    <row r="202" spans="1:7" ht="30" customHeight="1" thickBot="1">
      <c r="A202" s="432" t="s">
        <v>1407</v>
      </c>
      <c r="B202" s="433"/>
      <c r="C202" s="434"/>
      <c r="D202" s="139">
        <f>SUM(D3,D9,D18,D22,D50,D66,D72,D80,D102,D108,D120,D149,D174,D184,D189,D199)</f>
        <v>461276584363.67999</v>
      </c>
    </row>
    <row r="203" spans="1:7">
      <c r="B203" s="129"/>
      <c r="C203" s="129"/>
      <c r="D203" s="129"/>
      <c r="E203" s="129"/>
      <c r="F203" s="129"/>
      <c r="G203" s="129"/>
    </row>
    <row r="204" spans="1:7">
      <c r="B204" s="129"/>
      <c r="C204" s="213"/>
      <c r="D204" s="173"/>
      <c r="E204" s="129"/>
      <c r="F204" s="129"/>
      <c r="G204" s="129"/>
    </row>
    <row r="205" spans="1:7">
      <c r="B205" s="129"/>
      <c r="C205" s="213"/>
      <c r="D205" s="174"/>
      <c r="E205" s="129"/>
      <c r="F205" s="129"/>
      <c r="G205" s="129"/>
    </row>
    <row r="206" spans="1:7">
      <c r="B206" s="129"/>
      <c r="C206" s="213"/>
      <c r="D206" s="174"/>
      <c r="E206" s="129"/>
      <c r="F206" s="129"/>
      <c r="G206" s="129"/>
    </row>
    <row r="207" spans="1:7">
      <c r="C207" s="213"/>
      <c r="D207" s="175"/>
    </row>
    <row r="208" spans="1:7">
      <c r="C208" s="213"/>
      <c r="D208" s="175"/>
    </row>
    <row r="209" spans="2:7">
      <c r="B209" s="130"/>
      <c r="C209" s="134" t="s">
        <v>1408</v>
      </c>
      <c r="D209" s="176"/>
      <c r="E209" s="129"/>
      <c r="F209" s="129"/>
      <c r="G209" s="129"/>
    </row>
    <row r="210" spans="2:7" ht="12.75" customHeight="1">
      <c r="B210" s="436" t="s">
        <v>1409</v>
      </c>
      <c r="C210" s="436"/>
      <c r="D210" s="436"/>
      <c r="E210" s="129"/>
      <c r="F210" s="129"/>
      <c r="G210" s="131"/>
    </row>
    <row r="212" spans="2:7" ht="12.75" customHeight="1">
      <c r="B212" s="436"/>
      <c r="C212" s="436"/>
      <c r="D212" s="436"/>
      <c r="E212" s="129"/>
      <c r="F212" s="129"/>
      <c r="G212" s="129"/>
    </row>
    <row r="213" spans="2:7" ht="22.5" customHeight="1">
      <c r="B213" s="435"/>
      <c r="C213" s="431"/>
      <c r="D213" s="431"/>
      <c r="E213" s="129"/>
      <c r="F213" s="129"/>
      <c r="G213" s="129"/>
    </row>
    <row r="214" spans="2:7" ht="24.75" customHeight="1">
      <c r="B214" s="435"/>
      <c r="C214" s="431"/>
      <c r="D214" s="431"/>
      <c r="E214" s="129"/>
      <c r="F214" s="129"/>
      <c r="G214" s="129"/>
    </row>
    <row r="215" spans="2:7" ht="21.75" customHeight="1">
      <c r="B215" s="430"/>
      <c r="C215" s="431"/>
      <c r="D215" s="431"/>
      <c r="E215" s="129"/>
      <c r="F215" s="129"/>
      <c r="G215" s="129"/>
    </row>
  </sheetData>
  <mergeCells count="52">
    <mergeCell ref="B121:C121"/>
    <mergeCell ref="B51:C51"/>
    <mergeCell ref="B60:C60"/>
    <mergeCell ref="B63:C63"/>
    <mergeCell ref="B67:C67"/>
    <mergeCell ref="B73:C73"/>
    <mergeCell ref="A66:C66"/>
    <mergeCell ref="A72:C72"/>
    <mergeCell ref="A80:C80"/>
    <mergeCell ref="A102:C102"/>
    <mergeCell ref="B81:C81"/>
    <mergeCell ref="B94:C94"/>
    <mergeCell ref="B190:C190"/>
    <mergeCell ref="B210:D210"/>
    <mergeCell ref="B212:D212"/>
    <mergeCell ref="A3:C3"/>
    <mergeCell ref="A9:C9"/>
    <mergeCell ref="A18:C18"/>
    <mergeCell ref="A22:C22"/>
    <mergeCell ref="B4:C4"/>
    <mergeCell ref="B10:C10"/>
    <mergeCell ref="B19:C19"/>
    <mergeCell ref="B23:C23"/>
    <mergeCell ref="B32:C32"/>
    <mergeCell ref="B36:C36"/>
    <mergeCell ref="B46:C46"/>
    <mergeCell ref="A50:C50"/>
    <mergeCell ref="B103:C103"/>
    <mergeCell ref="B193:C193"/>
    <mergeCell ref="B197:C197"/>
    <mergeCell ref="B200:C200"/>
    <mergeCell ref="B215:D215"/>
    <mergeCell ref="A199:C199"/>
    <mergeCell ref="A202:C202"/>
    <mergeCell ref="B213:D213"/>
    <mergeCell ref="B214:D214"/>
    <mergeCell ref="A1:D1"/>
    <mergeCell ref="A189:C189"/>
    <mergeCell ref="A108:C108"/>
    <mergeCell ref="A120:C120"/>
    <mergeCell ref="A149:C149"/>
    <mergeCell ref="A174:C174"/>
    <mergeCell ref="A184:C184"/>
    <mergeCell ref="B140:C140"/>
    <mergeCell ref="B143:C143"/>
    <mergeCell ref="B150:C150"/>
    <mergeCell ref="B175:C175"/>
    <mergeCell ref="B179:C179"/>
    <mergeCell ref="B182:C182"/>
    <mergeCell ref="B185:C185"/>
    <mergeCell ref="B118:C118"/>
    <mergeCell ref="B109:C109"/>
  </mergeCells>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A1:E25"/>
  <sheetViews>
    <sheetView showGridLines="0" topLeftCell="A2" zoomScale="70" zoomScaleNormal="70" workbookViewId="0">
      <selection activeCell="C32" sqref="C32"/>
    </sheetView>
  </sheetViews>
  <sheetFormatPr baseColWidth="10" defaultRowHeight="12.75"/>
  <cols>
    <col min="1" max="1" width="35.42578125" style="229" customWidth="1"/>
    <col min="2" max="2" width="24.7109375" style="227" customWidth="1"/>
    <col min="3" max="244" width="11.42578125" style="214"/>
    <col min="245" max="245" width="13.28515625" style="214" customWidth="1"/>
    <col min="246" max="246" width="32.140625" style="214" customWidth="1"/>
    <col min="247" max="247" width="20.7109375" style="214" customWidth="1"/>
    <col min="248" max="248" width="10.42578125" style="214" customWidth="1"/>
    <col min="249" max="249" width="18.5703125" style="214" customWidth="1"/>
    <col min="250" max="250" width="11.7109375" style="214" customWidth="1"/>
    <col min="251" max="251" width="19.28515625" style="214" customWidth="1"/>
    <col min="252" max="252" width="10.28515625" style="214" customWidth="1"/>
    <col min="253" max="253" width="19.42578125" style="214" customWidth="1"/>
    <col min="254" max="254" width="10.28515625" style="214" customWidth="1"/>
    <col min="255" max="255" width="19.5703125" style="214" customWidth="1"/>
    <col min="256" max="256" width="10.42578125" style="214" customWidth="1"/>
    <col min="257" max="257" width="21.140625" style="214" customWidth="1"/>
    <col min="258" max="258" width="11.7109375" style="214" customWidth="1"/>
    <col min="259" max="500" width="11.42578125" style="214"/>
    <col min="501" max="501" width="13.28515625" style="214" customWidth="1"/>
    <col min="502" max="502" width="32.140625" style="214" customWidth="1"/>
    <col min="503" max="503" width="20.7109375" style="214" customWidth="1"/>
    <col min="504" max="504" width="10.42578125" style="214" customWidth="1"/>
    <col min="505" max="505" width="18.5703125" style="214" customWidth="1"/>
    <col min="506" max="506" width="11.7109375" style="214" customWidth="1"/>
    <col min="507" max="507" width="19.28515625" style="214" customWidth="1"/>
    <col min="508" max="508" width="10.28515625" style="214" customWidth="1"/>
    <col min="509" max="509" width="19.42578125" style="214" customWidth="1"/>
    <col min="510" max="510" width="10.28515625" style="214" customWidth="1"/>
    <col min="511" max="511" width="19.5703125" style="214" customWidth="1"/>
    <col min="512" max="512" width="10.42578125" style="214" customWidth="1"/>
    <col min="513" max="513" width="21.140625" style="214" customWidth="1"/>
    <col min="514" max="514" width="11.7109375" style="214" customWidth="1"/>
    <col min="515" max="756" width="11.42578125" style="214"/>
    <col min="757" max="757" width="13.28515625" style="214" customWidth="1"/>
    <col min="758" max="758" width="32.140625" style="214" customWidth="1"/>
    <col min="759" max="759" width="20.7109375" style="214" customWidth="1"/>
    <col min="760" max="760" width="10.42578125" style="214" customWidth="1"/>
    <col min="761" max="761" width="18.5703125" style="214" customWidth="1"/>
    <col min="762" max="762" width="11.7109375" style="214" customWidth="1"/>
    <col min="763" max="763" width="19.28515625" style="214" customWidth="1"/>
    <col min="764" max="764" width="10.28515625" style="214" customWidth="1"/>
    <col min="765" max="765" width="19.42578125" style="214" customWidth="1"/>
    <col min="766" max="766" width="10.28515625" style="214" customWidth="1"/>
    <col min="767" max="767" width="19.5703125" style="214" customWidth="1"/>
    <col min="768" max="768" width="10.42578125" style="214" customWidth="1"/>
    <col min="769" max="769" width="21.140625" style="214" customWidth="1"/>
    <col min="770" max="770" width="11.7109375" style="214" customWidth="1"/>
    <col min="771" max="1012" width="11.42578125" style="214"/>
    <col min="1013" max="1013" width="13.28515625" style="214" customWidth="1"/>
    <col min="1014" max="1014" width="32.140625" style="214" customWidth="1"/>
    <col min="1015" max="1015" width="20.7109375" style="214" customWidth="1"/>
    <col min="1016" max="1016" width="10.42578125" style="214" customWidth="1"/>
    <col min="1017" max="1017" width="18.5703125" style="214" customWidth="1"/>
    <col min="1018" max="1018" width="11.7109375" style="214" customWidth="1"/>
    <col min="1019" max="1019" width="19.28515625" style="214" customWidth="1"/>
    <col min="1020" max="1020" width="10.28515625" style="214" customWidth="1"/>
    <col min="1021" max="1021" width="19.42578125" style="214" customWidth="1"/>
    <col min="1022" max="1022" width="10.28515625" style="214" customWidth="1"/>
    <col min="1023" max="1023" width="19.5703125" style="214" customWidth="1"/>
    <col min="1024" max="1024" width="10.42578125" style="214" customWidth="1"/>
    <col min="1025" max="1025" width="21.140625" style="214" customWidth="1"/>
    <col min="1026" max="1026" width="11.7109375" style="214" customWidth="1"/>
    <col min="1027" max="1268" width="11.42578125" style="214"/>
    <col min="1269" max="1269" width="13.28515625" style="214" customWidth="1"/>
    <col min="1270" max="1270" width="32.140625" style="214" customWidth="1"/>
    <col min="1271" max="1271" width="20.7109375" style="214" customWidth="1"/>
    <col min="1272" max="1272" width="10.42578125" style="214" customWidth="1"/>
    <col min="1273" max="1273" width="18.5703125" style="214" customWidth="1"/>
    <col min="1274" max="1274" width="11.7109375" style="214" customWidth="1"/>
    <col min="1275" max="1275" width="19.28515625" style="214" customWidth="1"/>
    <col min="1276" max="1276" width="10.28515625" style="214" customWidth="1"/>
    <col min="1277" max="1277" width="19.42578125" style="214" customWidth="1"/>
    <col min="1278" max="1278" width="10.28515625" style="214" customWidth="1"/>
    <col min="1279" max="1279" width="19.5703125" style="214" customWidth="1"/>
    <col min="1280" max="1280" width="10.42578125" style="214" customWidth="1"/>
    <col min="1281" max="1281" width="21.140625" style="214" customWidth="1"/>
    <col min="1282" max="1282" width="11.7109375" style="214" customWidth="1"/>
    <col min="1283" max="1524" width="11.42578125" style="214"/>
    <col min="1525" max="1525" width="13.28515625" style="214" customWidth="1"/>
    <col min="1526" max="1526" width="32.140625" style="214" customWidth="1"/>
    <col min="1527" max="1527" width="20.7109375" style="214" customWidth="1"/>
    <col min="1528" max="1528" width="10.42578125" style="214" customWidth="1"/>
    <col min="1529" max="1529" width="18.5703125" style="214" customWidth="1"/>
    <col min="1530" max="1530" width="11.7109375" style="214" customWidth="1"/>
    <col min="1531" max="1531" width="19.28515625" style="214" customWidth="1"/>
    <col min="1532" max="1532" width="10.28515625" style="214" customWidth="1"/>
    <col min="1533" max="1533" width="19.42578125" style="214" customWidth="1"/>
    <col min="1534" max="1534" width="10.28515625" style="214" customWidth="1"/>
    <col min="1535" max="1535" width="19.5703125" style="214" customWidth="1"/>
    <col min="1536" max="1536" width="10.42578125" style="214" customWidth="1"/>
    <col min="1537" max="1537" width="21.140625" style="214" customWidth="1"/>
    <col min="1538" max="1538" width="11.7109375" style="214" customWidth="1"/>
    <col min="1539" max="1780" width="11.42578125" style="214"/>
    <col min="1781" max="1781" width="13.28515625" style="214" customWidth="1"/>
    <col min="1782" max="1782" width="32.140625" style="214" customWidth="1"/>
    <col min="1783" max="1783" width="20.7109375" style="214" customWidth="1"/>
    <col min="1784" max="1784" width="10.42578125" style="214" customWidth="1"/>
    <col min="1785" max="1785" width="18.5703125" style="214" customWidth="1"/>
    <col min="1786" max="1786" width="11.7109375" style="214" customWidth="1"/>
    <col min="1787" max="1787" width="19.28515625" style="214" customWidth="1"/>
    <col min="1788" max="1788" width="10.28515625" style="214" customWidth="1"/>
    <col min="1789" max="1789" width="19.42578125" style="214" customWidth="1"/>
    <col min="1790" max="1790" width="10.28515625" style="214" customWidth="1"/>
    <col min="1791" max="1791" width="19.5703125" style="214" customWidth="1"/>
    <col min="1792" max="1792" width="10.42578125" style="214" customWidth="1"/>
    <col min="1793" max="1793" width="21.140625" style="214" customWidth="1"/>
    <col min="1794" max="1794" width="11.7109375" style="214" customWidth="1"/>
    <col min="1795" max="2036" width="11.42578125" style="214"/>
    <col min="2037" max="2037" width="13.28515625" style="214" customWidth="1"/>
    <col min="2038" max="2038" width="32.140625" style="214" customWidth="1"/>
    <col min="2039" max="2039" width="20.7109375" style="214" customWidth="1"/>
    <col min="2040" max="2040" width="10.42578125" style="214" customWidth="1"/>
    <col min="2041" max="2041" width="18.5703125" style="214" customWidth="1"/>
    <col min="2042" max="2042" width="11.7109375" style="214" customWidth="1"/>
    <col min="2043" max="2043" width="19.28515625" style="214" customWidth="1"/>
    <col min="2044" max="2044" width="10.28515625" style="214" customWidth="1"/>
    <col min="2045" max="2045" width="19.42578125" style="214" customWidth="1"/>
    <col min="2046" max="2046" width="10.28515625" style="214" customWidth="1"/>
    <col min="2047" max="2047" width="19.5703125" style="214" customWidth="1"/>
    <col min="2048" max="2048" width="10.42578125" style="214" customWidth="1"/>
    <col min="2049" max="2049" width="21.140625" style="214" customWidth="1"/>
    <col min="2050" max="2050" width="11.7109375" style="214" customWidth="1"/>
    <col min="2051" max="2292" width="11.42578125" style="214"/>
    <col min="2293" max="2293" width="13.28515625" style="214" customWidth="1"/>
    <col min="2294" max="2294" width="32.140625" style="214" customWidth="1"/>
    <col min="2295" max="2295" width="20.7109375" style="214" customWidth="1"/>
    <col min="2296" max="2296" width="10.42578125" style="214" customWidth="1"/>
    <col min="2297" max="2297" width="18.5703125" style="214" customWidth="1"/>
    <col min="2298" max="2298" width="11.7109375" style="214" customWidth="1"/>
    <col min="2299" max="2299" width="19.28515625" style="214" customWidth="1"/>
    <col min="2300" max="2300" width="10.28515625" style="214" customWidth="1"/>
    <col min="2301" max="2301" width="19.42578125" style="214" customWidth="1"/>
    <col min="2302" max="2302" width="10.28515625" style="214" customWidth="1"/>
    <col min="2303" max="2303" width="19.5703125" style="214" customWidth="1"/>
    <col min="2304" max="2304" width="10.42578125" style="214" customWidth="1"/>
    <col min="2305" max="2305" width="21.140625" style="214" customWidth="1"/>
    <col min="2306" max="2306" width="11.7109375" style="214" customWidth="1"/>
    <col min="2307" max="2548" width="11.42578125" style="214"/>
    <col min="2549" max="2549" width="13.28515625" style="214" customWidth="1"/>
    <col min="2550" max="2550" width="32.140625" style="214" customWidth="1"/>
    <col min="2551" max="2551" width="20.7109375" style="214" customWidth="1"/>
    <col min="2552" max="2552" width="10.42578125" style="214" customWidth="1"/>
    <col min="2553" max="2553" width="18.5703125" style="214" customWidth="1"/>
    <col min="2554" max="2554" width="11.7109375" style="214" customWidth="1"/>
    <col min="2555" max="2555" width="19.28515625" style="214" customWidth="1"/>
    <col min="2556" max="2556" width="10.28515625" style="214" customWidth="1"/>
    <col min="2557" max="2557" width="19.42578125" style="214" customWidth="1"/>
    <col min="2558" max="2558" width="10.28515625" style="214" customWidth="1"/>
    <col min="2559" max="2559" width="19.5703125" style="214" customWidth="1"/>
    <col min="2560" max="2560" width="10.42578125" style="214" customWidth="1"/>
    <col min="2561" max="2561" width="21.140625" style="214" customWidth="1"/>
    <col min="2562" max="2562" width="11.7109375" style="214" customWidth="1"/>
    <col min="2563" max="2804" width="11.42578125" style="214"/>
    <col min="2805" max="2805" width="13.28515625" style="214" customWidth="1"/>
    <col min="2806" max="2806" width="32.140625" style="214" customWidth="1"/>
    <col min="2807" max="2807" width="20.7109375" style="214" customWidth="1"/>
    <col min="2808" max="2808" width="10.42578125" style="214" customWidth="1"/>
    <col min="2809" max="2809" width="18.5703125" style="214" customWidth="1"/>
    <col min="2810" max="2810" width="11.7109375" style="214" customWidth="1"/>
    <col min="2811" max="2811" width="19.28515625" style="214" customWidth="1"/>
    <col min="2812" max="2812" width="10.28515625" style="214" customWidth="1"/>
    <col min="2813" max="2813" width="19.42578125" style="214" customWidth="1"/>
    <col min="2814" max="2814" width="10.28515625" style="214" customWidth="1"/>
    <col min="2815" max="2815" width="19.5703125" style="214" customWidth="1"/>
    <col min="2816" max="2816" width="10.42578125" style="214" customWidth="1"/>
    <col min="2817" max="2817" width="21.140625" style="214" customWidth="1"/>
    <col min="2818" max="2818" width="11.7109375" style="214" customWidth="1"/>
    <col min="2819" max="3060" width="11.42578125" style="214"/>
    <col min="3061" max="3061" width="13.28515625" style="214" customWidth="1"/>
    <col min="3062" max="3062" width="32.140625" style="214" customWidth="1"/>
    <col min="3063" max="3063" width="20.7109375" style="214" customWidth="1"/>
    <col min="3064" max="3064" width="10.42578125" style="214" customWidth="1"/>
    <col min="3065" max="3065" width="18.5703125" style="214" customWidth="1"/>
    <col min="3066" max="3066" width="11.7109375" style="214" customWidth="1"/>
    <col min="3067" max="3067" width="19.28515625" style="214" customWidth="1"/>
    <col min="3068" max="3068" width="10.28515625" style="214" customWidth="1"/>
    <col min="3069" max="3069" width="19.42578125" style="214" customWidth="1"/>
    <col min="3070" max="3070" width="10.28515625" style="214" customWidth="1"/>
    <col min="3071" max="3071" width="19.5703125" style="214" customWidth="1"/>
    <col min="3072" max="3072" width="10.42578125" style="214" customWidth="1"/>
    <col min="3073" max="3073" width="21.140625" style="214" customWidth="1"/>
    <col min="3074" max="3074" width="11.7109375" style="214" customWidth="1"/>
    <col min="3075" max="3316" width="11.42578125" style="214"/>
    <col min="3317" max="3317" width="13.28515625" style="214" customWidth="1"/>
    <col min="3318" max="3318" width="32.140625" style="214" customWidth="1"/>
    <col min="3319" max="3319" width="20.7109375" style="214" customWidth="1"/>
    <col min="3320" max="3320" width="10.42578125" style="214" customWidth="1"/>
    <col min="3321" max="3321" width="18.5703125" style="214" customWidth="1"/>
    <col min="3322" max="3322" width="11.7109375" style="214" customWidth="1"/>
    <col min="3323" max="3323" width="19.28515625" style="214" customWidth="1"/>
    <col min="3324" max="3324" width="10.28515625" style="214" customWidth="1"/>
    <col min="3325" max="3325" width="19.42578125" style="214" customWidth="1"/>
    <col min="3326" max="3326" width="10.28515625" style="214" customWidth="1"/>
    <col min="3327" max="3327" width="19.5703125" style="214" customWidth="1"/>
    <col min="3328" max="3328" width="10.42578125" style="214" customWidth="1"/>
    <col min="3329" max="3329" width="21.140625" style="214" customWidth="1"/>
    <col min="3330" max="3330" width="11.7109375" style="214" customWidth="1"/>
    <col min="3331" max="3572" width="11.42578125" style="214"/>
    <col min="3573" max="3573" width="13.28515625" style="214" customWidth="1"/>
    <col min="3574" max="3574" width="32.140625" style="214" customWidth="1"/>
    <col min="3575" max="3575" width="20.7109375" style="214" customWidth="1"/>
    <col min="3576" max="3576" width="10.42578125" style="214" customWidth="1"/>
    <col min="3577" max="3577" width="18.5703125" style="214" customWidth="1"/>
    <col min="3578" max="3578" width="11.7109375" style="214" customWidth="1"/>
    <col min="3579" max="3579" width="19.28515625" style="214" customWidth="1"/>
    <col min="3580" max="3580" width="10.28515625" style="214" customWidth="1"/>
    <col min="3581" max="3581" width="19.42578125" style="214" customWidth="1"/>
    <col min="3582" max="3582" width="10.28515625" style="214" customWidth="1"/>
    <col min="3583" max="3583" width="19.5703125" style="214" customWidth="1"/>
    <col min="3584" max="3584" width="10.42578125" style="214" customWidth="1"/>
    <col min="3585" max="3585" width="21.140625" style="214" customWidth="1"/>
    <col min="3586" max="3586" width="11.7109375" style="214" customWidth="1"/>
    <col min="3587" max="3828" width="11.42578125" style="214"/>
    <col min="3829" max="3829" width="13.28515625" style="214" customWidth="1"/>
    <col min="3830" max="3830" width="32.140625" style="214" customWidth="1"/>
    <col min="3831" max="3831" width="20.7109375" style="214" customWidth="1"/>
    <col min="3832" max="3832" width="10.42578125" style="214" customWidth="1"/>
    <col min="3833" max="3833" width="18.5703125" style="214" customWidth="1"/>
    <col min="3834" max="3834" width="11.7109375" style="214" customWidth="1"/>
    <col min="3835" max="3835" width="19.28515625" style="214" customWidth="1"/>
    <col min="3836" max="3836" width="10.28515625" style="214" customWidth="1"/>
    <col min="3837" max="3837" width="19.42578125" style="214" customWidth="1"/>
    <col min="3838" max="3838" width="10.28515625" style="214" customWidth="1"/>
    <col min="3839" max="3839" width="19.5703125" style="214" customWidth="1"/>
    <col min="3840" max="3840" width="10.42578125" style="214" customWidth="1"/>
    <col min="3841" max="3841" width="21.140625" style="214" customWidth="1"/>
    <col min="3842" max="3842" width="11.7109375" style="214" customWidth="1"/>
    <col min="3843" max="4084" width="11.42578125" style="214"/>
    <col min="4085" max="4085" width="13.28515625" style="214" customWidth="1"/>
    <col min="4086" max="4086" width="32.140625" style="214" customWidth="1"/>
    <col min="4087" max="4087" width="20.7109375" style="214" customWidth="1"/>
    <col min="4088" max="4088" width="10.42578125" style="214" customWidth="1"/>
    <col min="4089" max="4089" width="18.5703125" style="214" customWidth="1"/>
    <col min="4090" max="4090" width="11.7109375" style="214" customWidth="1"/>
    <col min="4091" max="4091" width="19.28515625" style="214" customWidth="1"/>
    <col min="4092" max="4092" width="10.28515625" style="214" customWidth="1"/>
    <col min="4093" max="4093" width="19.42578125" style="214" customWidth="1"/>
    <col min="4094" max="4094" width="10.28515625" style="214" customWidth="1"/>
    <col min="4095" max="4095" width="19.5703125" style="214" customWidth="1"/>
    <col min="4096" max="4096" width="10.42578125" style="214" customWidth="1"/>
    <col min="4097" max="4097" width="21.140625" style="214" customWidth="1"/>
    <col min="4098" max="4098" width="11.7109375" style="214" customWidth="1"/>
    <col min="4099" max="4340" width="11.42578125" style="214"/>
    <col min="4341" max="4341" width="13.28515625" style="214" customWidth="1"/>
    <col min="4342" max="4342" width="32.140625" style="214" customWidth="1"/>
    <col min="4343" max="4343" width="20.7109375" style="214" customWidth="1"/>
    <col min="4344" max="4344" width="10.42578125" style="214" customWidth="1"/>
    <col min="4345" max="4345" width="18.5703125" style="214" customWidth="1"/>
    <col min="4346" max="4346" width="11.7109375" style="214" customWidth="1"/>
    <col min="4347" max="4347" width="19.28515625" style="214" customWidth="1"/>
    <col min="4348" max="4348" width="10.28515625" style="214" customWidth="1"/>
    <col min="4349" max="4349" width="19.42578125" style="214" customWidth="1"/>
    <col min="4350" max="4350" width="10.28515625" style="214" customWidth="1"/>
    <col min="4351" max="4351" width="19.5703125" style="214" customWidth="1"/>
    <col min="4352" max="4352" width="10.42578125" style="214" customWidth="1"/>
    <col min="4353" max="4353" width="21.140625" style="214" customWidth="1"/>
    <col min="4354" max="4354" width="11.7109375" style="214" customWidth="1"/>
    <col min="4355" max="4596" width="11.42578125" style="214"/>
    <col min="4597" max="4597" width="13.28515625" style="214" customWidth="1"/>
    <col min="4598" max="4598" width="32.140625" style="214" customWidth="1"/>
    <col min="4599" max="4599" width="20.7109375" style="214" customWidth="1"/>
    <col min="4600" max="4600" width="10.42578125" style="214" customWidth="1"/>
    <col min="4601" max="4601" width="18.5703125" style="214" customWidth="1"/>
    <col min="4602" max="4602" width="11.7109375" style="214" customWidth="1"/>
    <col min="4603" max="4603" width="19.28515625" style="214" customWidth="1"/>
    <col min="4604" max="4604" width="10.28515625" style="214" customWidth="1"/>
    <col min="4605" max="4605" width="19.42578125" style="214" customWidth="1"/>
    <col min="4606" max="4606" width="10.28515625" style="214" customWidth="1"/>
    <col min="4607" max="4607" width="19.5703125" style="214" customWidth="1"/>
    <col min="4608" max="4608" width="10.42578125" style="214" customWidth="1"/>
    <col min="4609" max="4609" width="21.140625" style="214" customWidth="1"/>
    <col min="4610" max="4610" width="11.7109375" style="214" customWidth="1"/>
    <col min="4611" max="4852" width="11.42578125" style="214"/>
    <col min="4853" max="4853" width="13.28515625" style="214" customWidth="1"/>
    <col min="4854" max="4854" width="32.140625" style="214" customWidth="1"/>
    <col min="4855" max="4855" width="20.7109375" style="214" customWidth="1"/>
    <col min="4856" max="4856" width="10.42578125" style="214" customWidth="1"/>
    <col min="4857" max="4857" width="18.5703125" style="214" customWidth="1"/>
    <col min="4858" max="4858" width="11.7109375" style="214" customWidth="1"/>
    <col min="4859" max="4859" width="19.28515625" style="214" customWidth="1"/>
    <col min="4860" max="4860" width="10.28515625" style="214" customWidth="1"/>
    <col min="4861" max="4861" width="19.42578125" style="214" customWidth="1"/>
    <col min="4862" max="4862" width="10.28515625" style="214" customWidth="1"/>
    <col min="4863" max="4863" width="19.5703125" style="214" customWidth="1"/>
    <col min="4864" max="4864" width="10.42578125" style="214" customWidth="1"/>
    <col min="4865" max="4865" width="21.140625" style="214" customWidth="1"/>
    <col min="4866" max="4866" width="11.7109375" style="214" customWidth="1"/>
    <col min="4867" max="5108" width="11.42578125" style="214"/>
    <col min="5109" max="5109" width="13.28515625" style="214" customWidth="1"/>
    <col min="5110" max="5110" width="32.140625" style="214" customWidth="1"/>
    <col min="5111" max="5111" width="20.7109375" style="214" customWidth="1"/>
    <col min="5112" max="5112" width="10.42578125" style="214" customWidth="1"/>
    <col min="5113" max="5113" width="18.5703125" style="214" customWidth="1"/>
    <col min="5114" max="5114" width="11.7109375" style="214" customWidth="1"/>
    <col min="5115" max="5115" width="19.28515625" style="214" customWidth="1"/>
    <col min="5116" max="5116" width="10.28515625" style="214" customWidth="1"/>
    <col min="5117" max="5117" width="19.42578125" style="214" customWidth="1"/>
    <col min="5118" max="5118" width="10.28515625" style="214" customWidth="1"/>
    <col min="5119" max="5119" width="19.5703125" style="214" customWidth="1"/>
    <col min="5120" max="5120" width="10.42578125" style="214" customWidth="1"/>
    <col min="5121" max="5121" width="21.140625" style="214" customWidth="1"/>
    <col min="5122" max="5122" width="11.7109375" style="214" customWidth="1"/>
    <col min="5123" max="5364" width="11.42578125" style="214"/>
    <col min="5365" max="5365" width="13.28515625" style="214" customWidth="1"/>
    <col min="5366" max="5366" width="32.140625" style="214" customWidth="1"/>
    <col min="5367" max="5367" width="20.7109375" style="214" customWidth="1"/>
    <col min="5368" max="5368" width="10.42578125" style="214" customWidth="1"/>
    <col min="5369" max="5369" width="18.5703125" style="214" customWidth="1"/>
    <col min="5370" max="5370" width="11.7109375" style="214" customWidth="1"/>
    <col min="5371" max="5371" width="19.28515625" style="214" customWidth="1"/>
    <col min="5372" max="5372" width="10.28515625" style="214" customWidth="1"/>
    <col min="5373" max="5373" width="19.42578125" style="214" customWidth="1"/>
    <col min="5374" max="5374" width="10.28515625" style="214" customWidth="1"/>
    <col min="5375" max="5375" width="19.5703125" style="214" customWidth="1"/>
    <col min="5376" max="5376" width="10.42578125" style="214" customWidth="1"/>
    <col min="5377" max="5377" width="21.140625" style="214" customWidth="1"/>
    <col min="5378" max="5378" width="11.7109375" style="214" customWidth="1"/>
    <col min="5379" max="5620" width="11.42578125" style="214"/>
    <col min="5621" max="5621" width="13.28515625" style="214" customWidth="1"/>
    <col min="5622" max="5622" width="32.140625" style="214" customWidth="1"/>
    <col min="5623" max="5623" width="20.7109375" style="214" customWidth="1"/>
    <col min="5624" max="5624" width="10.42578125" style="214" customWidth="1"/>
    <col min="5625" max="5625" width="18.5703125" style="214" customWidth="1"/>
    <col min="5626" max="5626" width="11.7109375" style="214" customWidth="1"/>
    <col min="5627" max="5627" width="19.28515625" style="214" customWidth="1"/>
    <col min="5628" max="5628" width="10.28515625" style="214" customWidth="1"/>
    <col min="5629" max="5629" width="19.42578125" style="214" customWidth="1"/>
    <col min="5630" max="5630" width="10.28515625" style="214" customWidth="1"/>
    <col min="5631" max="5631" width="19.5703125" style="214" customWidth="1"/>
    <col min="5632" max="5632" width="10.42578125" style="214" customWidth="1"/>
    <col min="5633" max="5633" width="21.140625" style="214" customWidth="1"/>
    <col min="5634" max="5634" width="11.7109375" style="214" customWidth="1"/>
    <col min="5635" max="5876" width="11.42578125" style="214"/>
    <col min="5877" max="5877" width="13.28515625" style="214" customWidth="1"/>
    <col min="5878" max="5878" width="32.140625" style="214" customWidth="1"/>
    <col min="5879" max="5879" width="20.7109375" style="214" customWidth="1"/>
    <col min="5880" max="5880" width="10.42578125" style="214" customWidth="1"/>
    <col min="5881" max="5881" width="18.5703125" style="214" customWidth="1"/>
    <col min="5882" max="5882" width="11.7109375" style="214" customWidth="1"/>
    <col min="5883" max="5883" width="19.28515625" style="214" customWidth="1"/>
    <col min="5884" max="5884" width="10.28515625" style="214" customWidth="1"/>
    <col min="5885" max="5885" width="19.42578125" style="214" customWidth="1"/>
    <col min="5886" max="5886" width="10.28515625" style="214" customWidth="1"/>
    <col min="5887" max="5887" width="19.5703125" style="214" customWidth="1"/>
    <col min="5888" max="5888" width="10.42578125" style="214" customWidth="1"/>
    <col min="5889" max="5889" width="21.140625" style="214" customWidth="1"/>
    <col min="5890" max="5890" width="11.7109375" style="214" customWidth="1"/>
    <col min="5891" max="6132" width="11.42578125" style="214"/>
    <col min="6133" max="6133" width="13.28515625" style="214" customWidth="1"/>
    <col min="6134" max="6134" width="32.140625" style="214" customWidth="1"/>
    <col min="6135" max="6135" width="20.7109375" style="214" customWidth="1"/>
    <col min="6136" max="6136" width="10.42578125" style="214" customWidth="1"/>
    <col min="6137" max="6137" width="18.5703125" style="214" customWidth="1"/>
    <col min="6138" max="6138" width="11.7109375" style="214" customWidth="1"/>
    <col min="6139" max="6139" width="19.28515625" style="214" customWidth="1"/>
    <col min="6140" max="6140" width="10.28515625" style="214" customWidth="1"/>
    <col min="6141" max="6141" width="19.42578125" style="214" customWidth="1"/>
    <col min="6142" max="6142" width="10.28515625" style="214" customWidth="1"/>
    <col min="6143" max="6143" width="19.5703125" style="214" customWidth="1"/>
    <col min="6144" max="6144" width="10.42578125" style="214" customWidth="1"/>
    <col min="6145" max="6145" width="21.140625" style="214" customWidth="1"/>
    <col min="6146" max="6146" width="11.7109375" style="214" customWidth="1"/>
    <col min="6147" max="6388" width="11.42578125" style="214"/>
    <col min="6389" max="6389" width="13.28515625" style="214" customWidth="1"/>
    <col min="6390" max="6390" width="32.140625" style="214" customWidth="1"/>
    <col min="6391" max="6391" width="20.7109375" style="214" customWidth="1"/>
    <col min="6392" max="6392" width="10.42578125" style="214" customWidth="1"/>
    <col min="6393" max="6393" width="18.5703125" style="214" customWidth="1"/>
    <col min="6394" max="6394" width="11.7109375" style="214" customWidth="1"/>
    <col min="6395" max="6395" width="19.28515625" style="214" customWidth="1"/>
    <col min="6396" max="6396" width="10.28515625" style="214" customWidth="1"/>
    <col min="6397" max="6397" width="19.42578125" style="214" customWidth="1"/>
    <col min="6398" max="6398" width="10.28515625" style="214" customWidth="1"/>
    <col min="6399" max="6399" width="19.5703125" style="214" customWidth="1"/>
    <col min="6400" max="6400" width="10.42578125" style="214" customWidth="1"/>
    <col min="6401" max="6401" width="21.140625" style="214" customWidth="1"/>
    <col min="6402" max="6402" width="11.7109375" style="214" customWidth="1"/>
    <col min="6403" max="6644" width="11.42578125" style="214"/>
    <col min="6645" max="6645" width="13.28515625" style="214" customWidth="1"/>
    <col min="6646" max="6646" width="32.140625" style="214" customWidth="1"/>
    <col min="6647" max="6647" width="20.7109375" style="214" customWidth="1"/>
    <col min="6648" max="6648" width="10.42578125" style="214" customWidth="1"/>
    <col min="6649" max="6649" width="18.5703125" style="214" customWidth="1"/>
    <col min="6650" max="6650" width="11.7109375" style="214" customWidth="1"/>
    <col min="6651" max="6651" width="19.28515625" style="214" customWidth="1"/>
    <col min="6652" max="6652" width="10.28515625" style="214" customWidth="1"/>
    <col min="6653" max="6653" width="19.42578125" style="214" customWidth="1"/>
    <col min="6654" max="6654" width="10.28515625" style="214" customWidth="1"/>
    <col min="6655" max="6655" width="19.5703125" style="214" customWidth="1"/>
    <col min="6656" max="6656" width="10.42578125" style="214" customWidth="1"/>
    <col min="6657" max="6657" width="21.140625" style="214" customWidth="1"/>
    <col min="6658" max="6658" width="11.7109375" style="214" customWidth="1"/>
    <col min="6659" max="6900" width="11.42578125" style="214"/>
    <col min="6901" max="6901" width="13.28515625" style="214" customWidth="1"/>
    <col min="6902" max="6902" width="32.140625" style="214" customWidth="1"/>
    <col min="6903" max="6903" width="20.7109375" style="214" customWidth="1"/>
    <col min="6904" max="6904" width="10.42578125" style="214" customWidth="1"/>
    <col min="6905" max="6905" width="18.5703125" style="214" customWidth="1"/>
    <col min="6906" max="6906" width="11.7109375" style="214" customWidth="1"/>
    <col min="6907" max="6907" width="19.28515625" style="214" customWidth="1"/>
    <col min="6908" max="6908" width="10.28515625" style="214" customWidth="1"/>
    <col min="6909" max="6909" width="19.42578125" style="214" customWidth="1"/>
    <col min="6910" max="6910" width="10.28515625" style="214" customWidth="1"/>
    <col min="6911" max="6911" width="19.5703125" style="214" customWidth="1"/>
    <col min="6912" max="6912" width="10.42578125" style="214" customWidth="1"/>
    <col min="6913" max="6913" width="21.140625" style="214" customWidth="1"/>
    <col min="6914" max="6914" width="11.7109375" style="214" customWidth="1"/>
    <col min="6915" max="7156" width="11.42578125" style="214"/>
    <col min="7157" max="7157" width="13.28515625" style="214" customWidth="1"/>
    <col min="7158" max="7158" width="32.140625" style="214" customWidth="1"/>
    <col min="7159" max="7159" width="20.7109375" style="214" customWidth="1"/>
    <col min="7160" max="7160" width="10.42578125" style="214" customWidth="1"/>
    <col min="7161" max="7161" width="18.5703125" style="214" customWidth="1"/>
    <col min="7162" max="7162" width="11.7109375" style="214" customWidth="1"/>
    <col min="7163" max="7163" width="19.28515625" style="214" customWidth="1"/>
    <col min="7164" max="7164" width="10.28515625" style="214" customWidth="1"/>
    <col min="7165" max="7165" width="19.42578125" style="214" customWidth="1"/>
    <col min="7166" max="7166" width="10.28515625" style="214" customWidth="1"/>
    <col min="7167" max="7167" width="19.5703125" style="214" customWidth="1"/>
    <col min="7168" max="7168" width="10.42578125" style="214" customWidth="1"/>
    <col min="7169" max="7169" width="21.140625" style="214" customWidth="1"/>
    <col min="7170" max="7170" width="11.7109375" style="214" customWidth="1"/>
    <col min="7171" max="7412" width="11.42578125" style="214"/>
    <col min="7413" max="7413" width="13.28515625" style="214" customWidth="1"/>
    <col min="7414" max="7414" width="32.140625" style="214" customWidth="1"/>
    <col min="7415" max="7415" width="20.7109375" style="214" customWidth="1"/>
    <col min="7416" max="7416" width="10.42578125" style="214" customWidth="1"/>
    <col min="7417" max="7417" width="18.5703125" style="214" customWidth="1"/>
    <col min="7418" max="7418" width="11.7109375" style="214" customWidth="1"/>
    <col min="7419" max="7419" width="19.28515625" style="214" customWidth="1"/>
    <col min="7420" max="7420" width="10.28515625" style="214" customWidth="1"/>
    <col min="7421" max="7421" width="19.42578125" style="214" customWidth="1"/>
    <col min="7422" max="7422" width="10.28515625" style="214" customWidth="1"/>
    <col min="7423" max="7423" width="19.5703125" style="214" customWidth="1"/>
    <col min="7424" max="7424" width="10.42578125" style="214" customWidth="1"/>
    <col min="7425" max="7425" width="21.140625" style="214" customWidth="1"/>
    <col min="7426" max="7426" width="11.7109375" style="214" customWidth="1"/>
    <col min="7427" max="7668" width="11.42578125" style="214"/>
    <col min="7669" max="7669" width="13.28515625" style="214" customWidth="1"/>
    <col min="7670" max="7670" width="32.140625" style="214" customWidth="1"/>
    <col min="7671" max="7671" width="20.7109375" style="214" customWidth="1"/>
    <col min="7672" max="7672" width="10.42578125" style="214" customWidth="1"/>
    <col min="7673" max="7673" width="18.5703125" style="214" customWidth="1"/>
    <col min="7674" max="7674" width="11.7109375" style="214" customWidth="1"/>
    <col min="7675" max="7675" width="19.28515625" style="214" customWidth="1"/>
    <col min="7676" max="7676" width="10.28515625" style="214" customWidth="1"/>
    <col min="7677" max="7677" width="19.42578125" style="214" customWidth="1"/>
    <col min="7678" max="7678" width="10.28515625" style="214" customWidth="1"/>
    <col min="7679" max="7679" width="19.5703125" style="214" customWidth="1"/>
    <col min="7680" max="7680" width="10.42578125" style="214" customWidth="1"/>
    <col min="7681" max="7681" width="21.140625" style="214" customWidth="1"/>
    <col min="7682" max="7682" width="11.7109375" style="214" customWidth="1"/>
    <col min="7683" max="7924" width="11.42578125" style="214"/>
    <col min="7925" max="7925" width="13.28515625" style="214" customWidth="1"/>
    <col min="7926" max="7926" width="32.140625" style="214" customWidth="1"/>
    <col min="7927" max="7927" width="20.7109375" style="214" customWidth="1"/>
    <col min="7928" max="7928" width="10.42578125" style="214" customWidth="1"/>
    <col min="7929" max="7929" width="18.5703125" style="214" customWidth="1"/>
    <col min="7930" max="7930" width="11.7109375" style="214" customWidth="1"/>
    <col min="7931" max="7931" width="19.28515625" style="214" customWidth="1"/>
    <col min="7932" max="7932" width="10.28515625" style="214" customWidth="1"/>
    <col min="7933" max="7933" width="19.42578125" style="214" customWidth="1"/>
    <col min="7934" max="7934" width="10.28515625" style="214" customWidth="1"/>
    <col min="7935" max="7935" width="19.5703125" style="214" customWidth="1"/>
    <col min="7936" max="7936" width="10.42578125" style="214" customWidth="1"/>
    <col min="7937" max="7937" width="21.140625" style="214" customWidth="1"/>
    <col min="7938" max="7938" width="11.7109375" style="214" customWidth="1"/>
    <col min="7939" max="8180" width="11.42578125" style="214"/>
    <col min="8181" max="8181" width="13.28515625" style="214" customWidth="1"/>
    <col min="8182" max="8182" width="32.140625" style="214" customWidth="1"/>
    <col min="8183" max="8183" width="20.7109375" style="214" customWidth="1"/>
    <col min="8184" max="8184" width="10.42578125" style="214" customWidth="1"/>
    <col min="8185" max="8185" width="18.5703125" style="214" customWidth="1"/>
    <col min="8186" max="8186" width="11.7109375" style="214" customWidth="1"/>
    <col min="8187" max="8187" width="19.28515625" style="214" customWidth="1"/>
    <col min="8188" max="8188" width="10.28515625" style="214" customWidth="1"/>
    <col min="8189" max="8189" width="19.42578125" style="214" customWidth="1"/>
    <col min="8190" max="8190" width="10.28515625" style="214" customWidth="1"/>
    <col min="8191" max="8191" width="19.5703125" style="214" customWidth="1"/>
    <col min="8192" max="8192" width="10.42578125" style="214" customWidth="1"/>
    <col min="8193" max="8193" width="21.140625" style="214" customWidth="1"/>
    <col min="8194" max="8194" width="11.7109375" style="214" customWidth="1"/>
    <col min="8195" max="8436" width="11.42578125" style="214"/>
    <col min="8437" max="8437" width="13.28515625" style="214" customWidth="1"/>
    <col min="8438" max="8438" width="32.140625" style="214" customWidth="1"/>
    <col min="8439" max="8439" width="20.7109375" style="214" customWidth="1"/>
    <col min="8440" max="8440" width="10.42578125" style="214" customWidth="1"/>
    <col min="8441" max="8441" width="18.5703125" style="214" customWidth="1"/>
    <col min="8442" max="8442" width="11.7109375" style="214" customWidth="1"/>
    <col min="8443" max="8443" width="19.28515625" style="214" customWidth="1"/>
    <col min="8444" max="8444" width="10.28515625" style="214" customWidth="1"/>
    <col min="8445" max="8445" width="19.42578125" style="214" customWidth="1"/>
    <col min="8446" max="8446" width="10.28515625" style="214" customWidth="1"/>
    <col min="8447" max="8447" width="19.5703125" style="214" customWidth="1"/>
    <col min="8448" max="8448" width="10.42578125" style="214" customWidth="1"/>
    <col min="8449" max="8449" width="21.140625" style="214" customWidth="1"/>
    <col min="8450" max="8450" width="11.7109375" style="214" customWidth="1"/>
    <col min="8451" max="8692" width="11.42578125" style="214"/>
    <col min="8693" max="8693" width="13.28515625" style="214" customWidth="1"/>
    <col min="8694" max="8694" width="32.140625" style="214" customWidth="1"/>
    <col min="8695" max="8695" width="20.7109375" style="214" customWidth="1"/>
    <col min="8696" max="8696" width="10.42578125" style="214" customWidth="1"/>
    <col min="8697" max="8697" width="18.5703125" style="214" customWidth="1"/>
    <col min="8698" max="8698" width="11.7109375" style="214" customWidth="1"/>
    <col min="8699" max="8699" width="19.28515625" style="214" customWidth="1"/>
    <col min="8700" max="8700" width="10.28515625" style="214" customWidth="1"/>
    <col min="8701" max="8701" width="19.42578125" style="214" customWidth="1"/>
    <col min="8702" max="8702" width="10.28515625" style="214" customWidth="1"/>
    <col min="8703" max="8703" width="19.5703125" style="214" customWidth="1"/>
    <col min="8704" max="8704" width="10.42578125" style="214" customWidth="1"/>
    <col min="8705" max="8705" width="21.140625" style="214" customWidth="1"/>
    <col min="8706" max="8706" width="11.7109375" style="214" customWidth="1"/>
    <col min="8707" max="8948" width="11.42578125" style="214"/>
    <col min="8949" max="8949" width="13.28515625" style="214" customWidth="1"/>
    <col min="8950" max="8950" width="32.140625" style="214" customWidth="1"/>
    <col min="8951" max="8951" width="20.7109375" style="214" customWidth="1"/>
    <col min="8952" max="8952" width="10.42578125" style="214" customWidth="1"/>
    <col min="8953" max="8953" width="18.5703125" style="214" customWidth="1"/>
    <col min="8954" max="8954" width="11.7109375" style="214" customWidth="1"/>
    <col min="8955" max="8955" width="19.28515625" style="214" customWidth="1"/>
    <col min="8956" max="8956" width="10.28515625" style="214" customWidth="1"/>
    <col min="8957" max="8957" width="19.42578125" style="214" customWidth="1"/>
    <col min="8958" max="8958" width="10.28515625" style="214" customWidth="1"/>
    <col min="8959" max="8959" width="19.5703125" style="214" customWidth="1"/>
    <col min="8960" max="8960" width="10.42578125" style="214" customWidth="1"/>
    <col min="8961" max="8961" width="21.140625" style="214" customWidth="1"/>
    <col min="8962" max="8962" width="11.7109375" style="214" customWidth="1"/>
    <col min="8963" max="9204" width="11.42578125" style="214"/>
    <col min="9205" max="9205" width="13.28515625" style="214" customWidth="1"/>
    <col min="9206" max="9206" width="32.140625" style="214" customWidth="1"/>
    <col min="9207" max="9207" width="20.7109375" style="214" customWidth="1"/>
    <col min="9208" max="9208" width="10.42578125" style="214" customWidth="1"/>
    <col min="9209" max="9209" width="18.5703125" style="214" customWidth="1"/>
    <col min="9210" max="9210" width="11.7109375" style="214" customWidth="1"/>
    <col min="9211" max="9211" width="19.28515625" style="214" customWidth="1"/>
    <col min="9212" max="9212" width="10.28515625" style="214" customWidth="1"/>
    <col min="9213" max="9213" width="19.42578125" style="214" customWidth="1"/>
    <col min="9214" max="9214" width="10.28515625" style="214" customWidth="1"/>
    <col min="9215" max="9215" width="19.5703125" style="214" customWidth="1"/>
    <col min="9216" max="9216" width="10.42578125" style="214" customWidth="1"/>
    <col min="9217" max="9217" width="21.140625" style="214" customWidth="1"/>
    <col min="9218" max="9218" width="11.7109375" style="214" customWidth="1"/>
    <col min="9219" max="9460" width="11.42578125" style="214"/>
    <col min="9461" max="9461" width="13.28515625" style="214" customWidth="1"/>
    <col min="9462" max="9462" width="32.140625" style="214" customWidth="1"/>
    <col min="9463" max="9463" width="20.7109375" style="214" customWidth="1"/>
    <col min="9464" max="9464" width="10.42578125" style="214" customWidth="1"/>
    <col min="9465" max="9465" width="18.5703125" style="214" customWidth="1"/>
    <col min="9466" max="9466" width="11.7109375" style="214" customWidth="1"/>
    <col min="9467" max="9467" width="19.28515625" style="214" customWidth="1"/>
    <col min="9468" max="9468" width="10.28515625" style="214" customWidth="1"/>
    <col min="9469" max="9469" width="19.42578125" style="214" customWidth="1"/>
    <col min="9470" max="9470" width="10.28515625" style="214" customWidth="1"/>
    <col min="9471" max="9471" width="19.5703125" style="214" customWidth="1"/>
    <col min="9472" max="9472" width="10.42578125" style="214" customWidth="1"/>
    <col min="9473" max="9473" width="21.140625" style="214" customWidth="1"/>
    <col min="9474" max="9474" width="11.7109375" style="214" customWidth="1"/>
    <col min="9475" max="9716" width="11.42578125" style="214"/>
    <col min="9717" max="9717" width="13.28515625" style="214" customWidth="1"/>
    <col min="9718" max="9718" width="32.140625" style="214" customWidth="1"/>
    <col min="9719" max="9719" width="20.7109375" style="214" customWidth="1"/>
    <col min="9720" max="9720" width="10.42578125" style="214" customWidth="1"/>
    <col min="9721" max="9721" width="18.5703125" style="214" customWidth="1"/>
    <col min="9722" max="9722" width="11.7109375" style="214" customWidth="1"/>
    <col min="9723" max="9723" width="19.28515625" style="214" customWidth="1"/>
    <col min="9724" max="9724" width="10.28515625" style="214" customWidth="1"/>
    <col min="9725" max="9725" width="19.42578125" style="214" customWidth="1"/>
    <col min="9726" max="9726" width="10.28515625" style="214" customWidth="1"/>
    <col min="9727" max="9727" width="19.5703125" style="214" customWidth="1"/>
    <col min="9728" max="9728" width="10.42578125" style="214" customWidth="1"/>
    <col min="9729" max="9729" width="21.140625" style="214" customWidth="1"/>
    <col min="9730" max="9730" width="11.7109375" style="214" customWidth="1"/>
    <col min="9731" max="9972" width="11.42578125" style="214"/>
    <col min="9973" max="9973" width="13.28515625" style="214" customWidth="1"/>
    <col min="9974" max="9974" width="32.140625" style="214" customWidth="1"/>
    <col min="9975" max="9975" width="20.7109375" style="214" customWidth="1"/>
    <col min="9976" max="9976" width="10.42578125" style="214" customWidth="1"/>
    <col min="9977" max="9977" width="18.5703125" style="214" customWidth="1"/>
    <col min="9978" max="9978" width="11.7109375" style="214" customWidth="1"/>
    <col min="9979" max="9979" width="19.28515625" style="214" customWidth="1"/>
    <col min="9980" max="9980" width="10.28515625" style="214" customWidth="1"/>
    <col min="9981" max="9981" width="19.42578125" style="214" customWidth="1"/>
    <col min="9982" max="9982" width="10.28515625" style="214" customWidth="1"/>
    <col min="9983" max="9983" width="19.5703125" style="214" customWidth="1"/>
    <col min="9984" max="9984" width="10.42578125" style="214" customWidth="1"/>
    <col min="9985" max="9985" width="21.140625" style="214" customWidth="1"/>
    <col min="9986" max="9986" width="11.7109375" style="214" customWidth="1"/>
    <col min="9987" max="10228" width="11.42578125" style="214"/>
    <col min="10229" max="10229" width="13.28515625" style="214" customWidth="1"/>
    <col min="10230" max="10230" width="32.140625" style="214" customWidth="1"/>
    <col min="10231" max="10231" width="20.7109375" style="214" customWidth="1"/>
    <col min="10232" max="10232" width="10.42578125" style="214" customWidth="1"/>
    <col min="10233" max="10233" width="18.5703125" style="214" customWidth="1"/>
    <col min="10234" max="10234" width="11.7109375" style="214" customWidth="1"/>
    <col min="10235" max="10235" width="19.28515625" style="214" customWidth="1"/>
    <col min="10236" max="10236" width="10.28515625" style="214" customWidth="1"/>
    <col min="10237" max="10237" width="19.42578125" style="214" customWidth="1"/>
    <col min="10238" max="10238" width="10.28515625" style="214" customWidth="1"/>
    <col min="10239" max="10239" width="19.5703125" style="214" customWidth="1"/>
    <col min="10240" max="10240" width="10.42578125" style="214" customWidth="1"/>
    <col min="10241" max="10241" width="21.140625" style="214" customWidth="1"/>
    <col min="10242" max="10242" width="11.7109375" style="214" customWidth="1"/>
    <col min="10243" max="10484" width="11.42578125" style="214"/>
    <col min="10485" max="10485" width="13.28515625" style="214" customWidth="1"/>
    <col min="10486" max="10486" width="32.140625" style="214" customWidth="1"/>
    <col min="10487" max="10487" width="20.7109375" style="214" customWidth="1"/>
    <col min="10488" max="10488" width="10.42578125" style="214" customWidth="1"/>
    <col min="10489" max="10489" width="18.5703125" style="214" customWidth="1"/>
    <col min="10490" max="10490" width="11.7109375" style="214" customWidth="1"/>
    <col min="10491" max="10491" width="19.28515625" style="214" customWidth="1"/>
    <col min="10492" max="10492" width="10.28515625" style="214" customWidth="1"/>
    <col min="10493" max="10493" width="19.42578125" style="214" customWidth="1"/>
    <col min="10494" max="10494" width="10.28515625" style="214" customWidth="1"/>
    <col min="10495" max="10495" width="19.5703125" style="214" customWidth="1"/>
    <col min="10496" max="10496" width="10.42578125" style="214" customWidth="1"/>
    <col min="10497" max="10497" width="21.140625" style="214" customWidth="1"/>
    <col min="10498" max="10498" width="11.7109375" style="214" customWidth="1"/>
    <col min="10499" max="10740" width="11.42578125" style="214"/>
    <col min="10741" max="10741" width="13.28515625" style="214" customWidth="1"/>
    <col min="10742" max="10742" width="32.140625" style="214" customWidth="1"/>
    <col min="10743" max="10743" width="20.7109375" style="214" customWidth="1"/>
    <col min="10744" max="10744" width="10.42578125" style="214" customWidth="1"/>
    <col min="10745" max="10745" width="18.5703125" style="214" customWidth="1"/>
    <col min="10746" max="10746" width="11.7109375" style="214" customWidth="1"/>
    <col min="10747" max="10747" width="19.28515625" style="214" customWidth="1"/>
    <col min="10748" max="10748" width="10.28515625" style="214" customWidth="1"/>
    <col min="10749" max="10749" width="19.42578125" style="214" customWidth="1"/>
    <col min="10750" max="10750" width="10.28515625" style="214" customWidth="1"/>
    <col min="10751" max="10751" width="19.5703125" style="214" customWidth="1"/>
    <col min="10752" max="10752" width="10.42578125" style="214" customWidth="1"/>
    <col min="10753" max="10753" width="21.140625" style="214" customWidth="1"/>
    <col min="10754" max="10754" width="11.7109375" style="214" customWidth="1"/>
    <col min="10755" max="10996" width="11.42578125" style="214"/>
    <col min="10997" max="10997" width="13.28515625" style="214" customWidth="1"/>
    <col min="10998" max="10998" width="32.140625" style="214" customWidth="1"/>
    <col min="10999" max="10999" width="20.7109375" style="214" customWidth="1"/>
    <col min="11000" max="11000" width="10.42578125" style="214" customWidth="1"/>
    <col min="11001" max="11001" width="18.5703125" style="214" customWidth="1"/>
    <col min="11002" max="11002" width="11.7109375" style="214" customWidth="1"/>
    <col min="11003" max="11003" width="19.28515625" style="214" customWidth="1"/>
    <col min="11004" max="11004" width="10.28515625" style="214" customWidth="1"/>
    <col min="11005" max="11005" width="19.42578125" style="214" customWidth="1"/>
    <col min="11006" max="11006" width="10.28515625" style="214" customWidth="1"/>
    <col min="11007" max="11007" width="19.5703125" style="214" customWidth="1"/>
    <col min="11008" max="11008" width="10.42578125" style="214" customWidth="1"/>
    <col min="11009" max="11009" width="21.140625" style="214" customWidth="1"/>
    <col min="11010" max="11010" width="11.7109375" style="214" customWidth="1"/>
    <col min="11011" max="11252" width="11.42578125" style="214"/>
    <col min="11253" max="11253" width="13.28515625" style="214" customWidth="1"/>
    <col min="11254" max="11254" width="32.140625" style="214" customWidth="1"/>
    <col min="11255" max="11255" width="20.7109375" style="214" customWidth="1"/>
    <col min="11256" max="11256" width="10.42578125" style="214" customWidth="1"/>
    <col min="11257" max="11257" width="18.5703125" style="214" customWidth="1"/>
    <col min="11258" max="11258" width="11.7109375" style="214" customWidth="1"/>
    <col min="11259" max="11259" width="19.28515625" style="214" customWidth="1"/>
    <col min="11260" max="11260" width="10.28515625" style="214" customWidth="1"/>
    <col min="11261" max="11261" width="19.42578125" style="214" customWidth="1"/>
    <col min="11262" max="11262" width="10.28515625" style="214" customWidth="1"/>
    <col min="11263" max="11263" width="19.5703125" style="214" customWidth="1"/>
    <col min="11264" max="11264" width="10.42578125" style="214" customWidth="1"/>
    <col min="11265" max="11265" width="21.140625" style="214" customWidth="1"/>
    <col min="11266" max="11266" width="11.7109375" style="214" customWidth="1"/>
    <col min="11267" max="11508" width="11.42578125" style="214"/>
    <col min="11509" max="11509" width="13.28515625" style="214" customWidth="1"/>
    <col min="11510" max="11510" width="32.140625" style="214" customWidth="1"/>
    <col min="11511" max="11511" width="20.7109375" style="214" customWidth="1"/>
    <col min="11512" max="11512" width="10.42578125" style="214" customWidth="1"/>
    <col min="11513" max="11513" width="18.5703125" style="214" customWidth="1"/>
    <col min="11514" max="11514" width="11.7109375" style="214" customWidth="1"/>
    <col min="11515" max="11515" width="19.28515625" style="214" customWidth="1"/>
    <col min="11516" max="11516" width="10.28515625" style="214" customWidth="1"/>
    <col min="11517" max="11517" width="19.42578125" style="214" customWidth="1"/>
    <col min="11518" max="11518" width="10.28515625" style="214" customWidth="1"/>
    <col min="11519" max="11519" width="19.5703125" style="214" customWidth="1"/>
    <col min="11520" max="11520" width="10.42578125" style="214" customWidth="1"/>
    <col min="11521" max="11521" width="21.140625" style="214" customWidth="1"/>
    <col min="11522" max="11522" width="11.7109375" style="214" customWidth="1"/>
    <col min="11523" max="11764" width="11.42578125" style="214"/>
    <col min="11765" max="11765" width="13.28515625" style="214" customWidth="1"/>
    <col min="11766" max="11766" width="32.140625" style="214" customWidth="1"/>
    <col min="11767" max="11767" width="20.7109375" style="214" customWidth="1"/>
    <col min="11768" max="11768" width="10.42578125" style="214" customWidth="1"/>
    <col min="11769" max="11769" width="18.5703125" style="214" customWidth="1"/>
    <col min="11770" max="11770" width="11.7109375" style="214" customWidth="1"/>
    <col min="11771" max="11771" width="19.28515625" style="214" customWidth="1"/>
    <col min="11772" max="11772" width="10.28515625" style="214" customWidth="1"/>
    <col min="11773" max="11773" width="19.42578125" style="214" customWidth="1"/>
    <col min="11774" max="11774" width="10.28515625" style="214" customWidth="1"/>
    <col min="11775" max="11775" width="19.5703125" style="214" customWidth="1"/>
    <col min="11776" max="11776" width="10.42578125" style="214" customWidth="1"/>
    <col min="11777" max="11777" width="21.140625" style="214" customWidth="1"/>
    <col min="11778" max="11778" width="11.7109375" style="214" customWidth="1"/>
    <col min="11779" max="12020" width="11.42578125" style="214"/>
    <col min="12021" max="12021" width="13.28515625" style="214" customWidth="1"/>
    <col min="12022" max="12022" width="32.140625" style="214" customWidth="1"/>
    <col min="12023" max="12023" width="20.7109375" style="214" customWidth="1"/>
    <col min="12024" max="12024" width="10.42578125" style="214" customWidth="1"/>
    <col min="12025" max="12025" width="18.5703125" style="214" customWidth="1"/>
    <col min="12026" max="12026" width="11.7109375" style="214" customWidth="1"/>
    <col min="12027" max="12027" width="19.28515625" style="214" customWidth="1"/>
    <col min="12028" max="12028" width="10.28515625" style="214" customWidth="1"/>
    <col min="12029" max="12029" width="19.42578125" style="214" customWidth="1"/>
    <col min="12030" max="12030" width="10.28515625" style="214" customWidth="1"/>
    <col min="12031" max="12031" width="19.5703125" style="214" customWidth="1"/>
    <col min="12032" max="12032" width="10.42578125" style="214" customWidth="1"/>
    <col min="12033" max="12033" width="21.140625" style="214" customWidth="1"/>
    <col min="12034" max="12034" width="11.7109375" style="214" customWidth="1"/>
    <col min="12035" max="12276" width="11.42578125" style="214"/>
    <col min="12277" max="12277" width="13.28515625" style="214" customWidth="1"/>
    <col min="12278" max="12278" width="32.140625" style="214" customWidth="1"/>
    <col min="12279" max="12279" width="20.7109375" style="214" customWidth="1"/>
    <col min="12280" max="12280" width="10.42578125" style="214" customWidth="1"/>
    <col min="12281" max="12281" width="18.5703125" style="214" customWidth="1"/>
    <col min="12282" max="12282" width="11.7109375" style="214" customWidth="1"/>
    <col min="12283" max="12283" width="19.28515625" style="214" customWidth="1"/>
    <col min="12284" max="12284" width="10.28515625" style="214" customWidth="1"/>
    <col min="12285" max="12285" width="19.42578125" style="214" customWidth="1"/>
    <col min="12286" max="12286" width="10.28515625" style="214" customWidth="1"/>
    <col min="12287" max="12287" width="19.5703125" style="214" customWidth="1"/>
    <col min="12288" max="12288" width="10.42578125" style="214" customWidth="1"/>
    <col min="12289" max="12289" width="21.140625" style="214" customWidth="1"/>
    <col min="12290" max="12290" width="11.7109375" style="214" customWidth="1"/>
    <col min="12291" max="12532" width="11.42578125" style="214"/>
    <col min="12533" max="12533" width="13.28515625" style="214" customWidth="1"/>
    <col min="12534" max="12534" width="32.140625" style="214" customWidth="1"/>
    <col min="12535" max="12535" width="20.7109375" style="214" customWidth="1"/>
    <col min="12536" max="12536" width="10.42578125" style="214" customWidth="1"/>
    <col min="12537" max="12537" width="18.5703125" style="214" customWidth="1"/>
    <col min="12538" max="12538" width="11.7109375" style="214" customWidth="1"/>
    <col min="12539" max="12539" width="19.28515625" style="214" customWidth="1"/>
    <col min="12540" max="12540" width="10.28515625" style="214" customWidth="1"/>
    <col min="12541" max="12541" width="19.42578125" style="214" customWidth="1"/>
    <col min="12542" max="12542" width="10.28515625" style="214" customWidth="1"/>
    <col min="12543" max="12543" width="19.5703125" style="214" customWidth="1"/>
    <col min="12544" max="12544" width="10.42578125" style="214" customWidth="1"/>
    <col min="12545" max="12545" width="21.140625" style="214" customWidth="1"/>
    <col min="12546" max="12546" width="11.7109375" style="214" customWidth="1"/>
    <col min="12547" max="12788" width="11.42578125" style="214"/>
    <col min="12789" max="12789" width="13.28515625" style="214" customWidth="1"/>
    <col min="12790" max="12790" width="32.140625" style="214" customWidth="1"/>
    <col min="12791" max="12791" width="20.7109375" style="214" customWidth="1"/>
    <col min="12792" max="12792" width="10.42578125" style="214" customWidth="1"/>
    <col min="12793" max="12793" width="18.5703125" style="214" customWidth="1"/>
    <col min="12794" max="12794" width="11.7109375" style="214" customWidth="1"/>
    <col min="12795" max="12795" width="19.28515625" style="214" customWidth="1"/>
    <col min="12796" max="12796" width="10.28515625" style="214" customWidth="1"/>
    <col min="12797" max="12797" width="19.42578125" style="214" customWidth="1"/>
    <col min="12798" max="12798" width="10.28515625" style="214" customWidth="1"/>
    <col min="12799" max="12799" width="19.5703125" style="214" customWidth="1"/>
    <col min="12800" max="12800" width="10.42578125" style="214" customWidth="1"/>
    <col min="12801" max="12801" width="21.140625" style="214" customWidth="1"/>
    <col min="12802" max="12802" width="11.7109375" style="214" customWidth="1"/>
    <col min="12803" max="13044" width="11.42578125" style="214"/>
    <col min="13045" max="13045" width="13.28515625" style="214" customWidth="1"/>
    <col min="13046" max="13046" width="32.140625" style="214" customWidth="1"/>
    <col min="13047" max="13047" width="20.7109375" style="214" customWidth="1"/>
    <col min="13048" max="13048" width="10.42578125" style="214" customWidth="1"/>
    <col min="13049" max="13049" width="18.5703125" style="214" customWidth="1"/>
    <col min="13050" max="13050" width="11.7109375" style="214" customWidth="1"/>
    <col min="13051" max="13051" width="19.28515625" style="214" customWidth="1"/>
    <col min="13052" max="13052" width="10.28515625" style="214" customWidth="1"/>
    <col min="13053" max="13053" width="19.42578125" style="214" customWidth="1"/>
    <col min="13054" max="13054" width="10.28515625" style="214" customWidth="1"/>
    <col min="13055" max="13055" width="19.5703125" style="214" customWidth="1"/>
    <col min="13056" max="13056" width="10.42578125" style="214" customWidth="1"/>
    <col min="13057" max="13057" width="21.140625" style="214" customWidth="1"/>
    <col min="13058" max="13058" width="11.7109375" style="214" customWidth="1"/>
    <col min="13059" max="13300" width="11.42578125" style="214"/>
    <col min="13301" max="13301" width="13.28515625" style="214" customWidth="1"/>
    <col min="13302" max="13302" width="32.140625" style="214" customWidth="1"/>
    <col min="13303" max="13303" width="20.7109375" style="214" customWidth="1"/>
    <col min="13304" max="13304" width="10.42578125" style="214" customWidth="1"/>
    <col min="13305" max="13305" width="18.5703125" style="214" customWidth="1"/>
    <col min="13306" max="13306" width="11.7109375" style="214" customWidth="1"/>
    <col min="13307" max="13307" width="19.28515625" style="214" customWidth="1"/>
    <col min="13308" max="13308" width="10.28515625" style="214" customWidth="1"/>
    <col min="13309" max="13309" width="19.42578125" style="214" customWidth="1"/>
    <col min="13310" max="13310" width="10.28515625" style="214" customWidth="1"/>
    <col min="13311" max="13311" width="19.5703125" style="214" customWidth="1"/>
    <col min="13312" max="13312" width="10.42578125" style="214" customWidth="1"/>
    <col min="13313" max="13313" width="21.140625" style="214" customWidth="1"/>
    <col min="13314" max="13314" width="11.7109375" style="214" customWidth="1"/>
    <col min="13315" max="13556" width="11.42578125" style="214"/>
    <col min="13557" max="13557" width="13.28515625" style="214" customWidth="1"/>
    <col min="13558" max="13558" width="32.140625" style="214" customWidth="1"/>
    <col min="13559" max="13559" width="20.7109375" style="214" customWidth="1"/>
    <col min="13560" max="13560" width="10.42578125" style="214" customWidth="1"/>
    <col min="13561" max="13561" width="18.5703125" style="214" customWidth="1"/>
    <col min="13562" max="13562" width="11.7109375" style="214" customWidth="1"/>
    <col min="13563" max="13563" width="19.28515625" style="214" customWidth="1"/>
    <col min="13564" max="13564" width="10.28515625" style="214" customWidth="1"/>
    <col min="13565" max="13565" width="19.42578125" style="214" customWidth="1"/>
    <col min="13566" max="13566" width="10.28515625" style="214" customWidth="1"/>
    <col min="13567" max="13567" width="19.5703125" style="214" customWidth="1"/>
    <col min="13568" max="13568" width="10.42578125" style="214" customWidth="1"/>
    <col min="13569" max="13569" width="21.140625" style="214" customWidth="1"/>
    <col min="13570" max="13570" width="11.7109375" style="214" customWidth="1"/>
    <col min="13571" max="13812" width="11.42578125" style="214"/>
    <col min="13813" max="13813" width="13.28515625" style="214" customWidth="1"/>
    <col min="13814" max="13814" width="32.140625" style="214" customWidth="1"/>
    <col min="13815" max="13815" width="20.7109375" style="214" customWidth="1"/>
    <col min="13816" max="13816" width="10.42578125" style="214" customWidth="1"/>
    <col min="13817" max="13817" width="18.5703125" style="214" customWidth="1"/>
    <col min="13818" max="13818" width="11.7109375" style="214" customWidth="1"/>
    <col min="13819" max="13819" width="19.28515625" style="214" customWidth="1"/>
    <col min="13820" max="13820" width="10.28515625" style="214" customWidth="1"/>
    <col min="13821" max="13821" width="19.42578125" style="214" customWidth="1"/>
    <col min="13822" max="13822" width="10.28515625" style="214" customWidth="1"/>
    <col min="13823" max="13823" width="19.5703125" style="214" customWidth="1"/>
    <col min="13824" max="13824" width="10.42578125" style="214" customWidth="1"/>
    <col min="13825" max="13825" width="21.140625" style="214" customWidth="1"/>
    <col min="13826" max="13826" width="11.7109375" style="214" customWidth="1"/>
    <col min="13827" max="14068" width="11.42578125" style="214"/>
    <col min="14069" max="14069" width="13.28515625" style="214" customWidth="1"/>
    <col min="14070" max="14070" width="32.140625" style="214" customWidth="1"/>
    <col min="14071" max="14071" width="20.7109375" style="214" customWidth="1"/>
    <col min="14072" max="14072" width="10.42578125" style="214" customWidth="1"/>
    <col min="14073" max="14073" width="18.5703125" style="214" customWidth="1"/>
    <col min="14074" max="14074" width="11.7109375" style="214" customWidth="1"/>
    <col min="14075" max="14075" width="19.28515625" style="214" customWidth="1"/>
    <col min="14076" max="14076" width="10.28515625" style="214" customWidth="1"/>
    <col min="14077" max="14077" width="19.42578125" style="214" customWidth="1"/>
    <col min="14078" max="14078" width="10.28515625" style="214" customWidth="1"/>
    <col min="14079" max="14079" width="19.5703125" style="214" customWidth="1"/>
    <col min="14080" max="14080" width="10.42578125" style="214" customWidth="1"/>
    <col min="14081" max="14081" width="21.140625" style="214" customWidth="1"/>
    <col min="14082" max="14082" width="11.7109375" style="214" customWidth="1"/>
    <col min="14083" max="14324" width="11.42578125" style="214"/>
    <col min="14325" max="14325" width="13.28515625" style="214" customWidth="1"/>
    <col min="14326" max="14326" width="32.140625" style="214" customWidth="1"/>
    <col min="14327" max="14327" width="20.7109375" style="214" customWidth="1"/>
    <col min="14328" max="14328" width="10.42578125" style="214" customWidth="1"/>
    <col min="14329" max="14329" width="18.5703125" style="214" customWidth="1"/>
    <col min="14330" max="14330" width="11.7109375" style="214" customWidth="1"/>
    <col min="14331" max="14331" width="19.28515625" style="214" customWidth="1"/>
    <col min="14332" max="14332" width="10.28515625" style="214" customWidth="1"/>
    <col min="14333" max="14333" width="19.42578125" style="214" customWidth="1"/>
    <col min="14334" max="14334" width="10.28515625" style="214" customWidth="1"/>
    <col min="14335" max="14335" width="19.5703125" style="214" customWidth="1"/>
    <col min="14336" max="14336" width="10.42578125" style="214" customWidth="1"/>
    <col min="14337" max="14337" width="21.140625" style="214" customWidth="1"/>
    <col min="14338" max="14338" width="11.7109375" style="214" customWidth="1"/>
    <col min="14339" max="14580" width="11.42578125" style="214"/>
    <col min="14581" max="14581" width="13.28515625" style="214" customWidth="1"/>
    <col min="14582" max="14582" width="32.140625" style="214" customWidth="1"/>
    <col min="14583" max="14583" width="20.7109375" style="214" customWidth="1"/>
    <col min="14584" max="14584" width="10.42578125" style="214" customWidth="1"/>
    <col min="14585" max="14585" width="18.5703125" style="214" customWidth="1"/>
    <col min="14586" max="14586" width="11.7109375" style="214" customWidth="1"/>
    <col min="14587" max="14587" width="19.28515625" style="214" customWidth="1"/>
    <col min="14588" max="14588" width="10.28515625" style="214" customWidth="1"/>
    <col min="14589" max="14589" width="19.42578125" style="214" customWidth="1"/>
    <col min="14590" max="14590" width="10.28515625" style="214" customWidth="1"/>
    <col min="14591" max="14591" width="19.5703125" style="214" customWidth="1"/>
    <col min="14592" max="14592" width="10.42578125" style="214" customWidth="1"/>
    <col min="14593" max="14593" width="21.140625" style="214" customWidth="1"/>
    <col min="14594" max="14594" width="11.7109375" style="214" customWidth="1"/>
    <col min="14595" max="14836" width="11.42578125" style="214"/>
    <col min="14837" max="14837" width="13.28515625" style="214" customWidth="1"/>
    <col min="14838" max="14838" width="32.140625" style="214" customWidth="1"/>
    <col min="14839" max="14839" width="20.7109375" style="214" customWidth="1"/>
    <col min="14840" max="14840" width="10.42578125" style="214" customWidth="1"/>
    <col min="14841" max="14841" width="18.5703125" style="214" customWidth="1"/>
    <col min="14842" max="14842" width="11.7109375" style="214" customWidth="1"/>
    <col min="14843" max="14843" width="19.28515625" style="214" customWidth="1"/>
    <col min="14844" max="14844" width="10.28515625" style="214" customWidth="1"/>
    <col min="14845" max="14845" width="19.42578125" style="214" customWidth="1"/>
    <col min="14846" max="14846" width="10.28515625" style="214" customWidth="1"/>
    <col min="14847" max="14847" width="19.5703125" style="214" customWidth="1"/>
    <col min="14848" max="14848" width="10.42578125" style="214" customWidth="1"/>
    <col min="14849" max="14849" width="21.140625" style="214" customWidth="1"/>
    <col min="14850" max="14850" width="11.7109375" style="214" customWidth="1"/>
    <col min="14851" max="15092" width="11.42578125" style="214"/>
    <col min="15093" max="15093" width="13.28515625" style="214" customWidth="1"/>
    <col min="15094" max="15094" width="32.140625" style="214" customWidth="1"/>
    <col min="15095" max="15095" width="20.7109375" style="214" customWidth="1"/>
    <col min="15096" max="15096" width="10.42578125" style="214" customWidth="1"/>
    <col min="15097" max="15097" width="18.5703125" style="214" customWidth="1"/>
    <col min="15098" max="15098" width="11.7109375" style="214" customWidth="1"/>
    <col min="15099" max="15099" width="19.28515625" style="214" customWidth="1"/>
    <col min="15100" max="15100" width="10.28515625" style="214" customWidth="1"/>
    <col min="15101" max="15101" width="19.42578125" style="214" customWidth="1"/>
    <col min="15102" max="15102" width="10.28515625" style="214" customWidth="1"/>
    <col min="15103" max="15103" width="19.5703125" style="214" customWidth="1"/>
    <col min="15104" max="15104" width="10.42578125" style="214" customWidth="1"/>
    <col min="15105" max="15105" width="21.140625" style="214" customWidth="1"/>
    <col min="15106" max="15106" width="11.7109375" style="214" customWidth="1"/>
    <col min="15107" max="15348" width="11.42578125" style="214"/>
    <col min="15349" max="15349" width="13.28515625" style="214" customWidth="1"/>
    <col min="15350" max="15350" width="32.140625" style="214" customWidth="1"/>
    <col min="15351" max="15351" width="20.7109375" style="214" customWidth="1"/>
    <col min="15352" max="15352" width="10.42578125" style="214" customWidth="1"/>
    <col min="15353" max="15353" width="18.5703125" style="214" customWidth="1"/>
    <col min="15354" max="15354" width="11.7109375" style="214" customWidth="1"/>
    <col min="15355" max="15355" width="19.28515625" style="214" customWidth="1"/>
    <col min="15356" max="15356" width="10.28515625" style="214" customWidth="1"/>
    <col min="15357" max="15357" width="19.42578125" style="214" customWidth="1"/>
    <col min="15358" max="15358" width="10.28515625" style="214" customWidth="1"/>
    <col min="15359" max="15359" width="19.5703125" style="214" customWidth="1"/>
    <col min="15360" max="15360" width="10.42578125" style="214" customWidth="1"/>
    <col min="15361" max="15361" width="21.140625" style="214" customWidth="1"/>
    <col min="15362" max="15362" width="11.7109375" style="214" customWidth="1"/>
    <col min="15363" max="15604" width="11.42578125" style="214"/>
    <col min="15605" max="15605" width="13.28515625" style="214" customWidth="1"/>
    <col min="15606" max="15606" width="32.140625" style="214" customWidth="1"/>
    <col min="15607" max="15607" width="20.7109375" style="214" customWidth="1"/>
    <col min="15608" max="15608" width="10.42578125" style="214" customWidth="1"/>
    <col min="15609" max="15609" width="18.5703125" style="214" customWidth="1"/>
    <col min="15610" max="15610" width="11.7109375" style="214" customWidth="1"/>
    <col min="15611" max="15611" width="19.28515625" style="214" customWidth="1"/>
    <col min="15612" max="15612" width="10.28515625" style="214" customWidth="1"/>
    <col min="15613" max="15613" width="19.42578125" style="214" customWidth="1"/>
    <col min="15614" max="15614" width="10.28515625" style="214" customWidth="1"/>
    <col min="15615" max="15615" width="19.5703125" style="214" customWidth="1"/>
    <col min="15616" max="15616" width="10.42578125" style="214" customWidth="1"/>
    <col min="15617" max="15617" width="21.140625" style="214" customWidth="1"/>
    <col min="15618" max="15618" width="11.7109375" style="214" customWidth="1"/>
    <col min="15619" max="15860" width="11.42578125" style="214"/>
    <col min="15861" max="15861" width="13.28515625" style="214" customWidth="1"/>
    <col min="15862" max="15862" width="32.140625" style="214" customWidth="1"/>
    <col min="15863" max="15863" width="20.7109375" style="214" customWidth="1"/>
    <col min="15864" max="15864" width="10.42578125" style="214" customWidth="1"/>
    <col min="15865" max="15865" width="18.5703125" style="214" customWidth="1"/>
    <col min="15866" max="15866" width="11.7109375" style="214" customWidth="1"/>
    <col min="15867" max="15867" width="19.28515625" style="214" customWidth="1"/>
    <col min="15868" max="15868" width="10.28515625" style="214" customWidth="1"/>
    <col min="15869" max="15869" width="19.42578125" style="214" customWidth="1"/>
    <col min="15870" max="15870" width="10.28515625" style="214" customWidth="1"/>
    <col min="15871" max="15871" width="19.5703125" style="214" customWidth="1"/>
    <col min="15872" max="15872" width="10.42578125" style="214" customWidth="1"/>
    <col min="15873" max="15873" width="21.140625" style="214" customWidth="1"/>
    <col min="15874" max="15874" width="11.7109375" style="214" customWidth="1"/>
    <col min="15875" max="16116" width="11.42578125" style="214"/>
    <col min="16117" max="16117" width="13.28515625" style="214" customWidth="1"/>
    <col min="16118" max="16118" width="32.140625" style="214" customWidth="1"/>
    <col min="16119" max="16119" width="20.7109375" style="214" customWidth="1"/>
    <col min="16120" max="16120" width="10.42578125" style="214" customWidth="1"/>
    <col min="16121" max="16121" width="18.5703125" style="214" customWidth="1"/>
    <col min="16122" max="16122" width="11.7109375" style="214" customWidth="1"/>
    <col min="16123" max="16123" width="19.28515625" style="214" customWidth="1"/>
    <col min="16124" max="16124" width="10.28515625" style="214" customWidth="1"/>
    <col min="16125" max="16125" width="19.42578125" style="214" customWidth="1"/>
    <col min="16126" max="16126" width="10.28515625" style="214" customWidth="1"/>
    <col min="16127" max="16127" width="19.5703125" style="214" customWidth="1"/>
    <col min="16128" max="16128" width="10.42578125" style="214" customWidth="1"/>
    <col min="16129" max="16129" width="21.140625" style="214" customWidth="1"/>
    <col min="16130" max="16130" width="11.7109375" style="214" customWidth="1"/>
    <col min="16131" max="16384" width="11.42578125" style="214"/>
  </cols>
  <sheetData>
    <row r="1" spans="1:2" ht="67.5" hidden="1" customHeight="1">
      <c r="A1" s="439" t="s">
        <v>1474</v>
      </c>
      <c r="B1" s="439"/>
    </row>
    <row r="2" spans="1:2" s="215" customFormat="1" ht="66.75" customHeight="1">
      <c r="A2" s="234" t="s">
        <v>22</v>
      </c>
      <c r="B2" s="235" t="s">
        <v>1475</v>
      </c>
    </row>
    <row r="3" spans="1:2" s="219" customFormat="1">
      <c r="A3" s="216" t="s">
        <v>1465</v>
      </c>
      <c r="B3" s="218">
        <f>'RELACIÓN PROYECTOS'!D3</f>
        <v>14299509202</v>
      </c>
    </row>
    <row r="4" spans="1:2" s="219" customFormat="1">
      <c r="A4" s="216" t="s">
        <v>1410</v>
      </c>
      <c r="B4" s="218">
        <f>'RELACIÓN PROYECTOS'!D9</f>
        <v>1457064026</v>
      </c>
    </row>
    <row r="5" spans="1:2" s="219" customFormat="1">
      <c r="A5" s="216" t="s">
        <v>1466</v>
      </c>
      <c r="B5" s="218">
        <f>'RELACIÓN PROYECTOS'!D18</f>
        <v>5228695734</v>
      </c>
    </row>
    <row r="6" spans="1:2" s="219" customFormat="1">
      <c r="A6" s="216" t="s">
        <v>1411</v>
      </c>
      <c r="B6" s="220">
        <f>'RELACIÓN PROYECTOS'!D22</f>
        <v>95388240819.809998</v>
      </c>
    </row>
    <row r="7" spans="1:2" s="219" customFormat="1">
      <c r="A7" s="216" t="s">
        <v>1412</v>
      </c>
      <c r="B7" s="220">
        <f>'RELACIÓN PROYECTOS'!D50</f>
        <v>9959166049.1399994</v>
      </c>
    </row>
    <row r="8" spans="1:2" s="219" customFormat="1">
      <c r="A8" s="216" t="s">
        <v>170</v>
      </c>
      <c r="B8" s="218">
        <f>'RELACIÓN PROYECTOS'!D66</f>
        <v>4901071565.04</v>
      </c>
    </row>
    <row r="9" spans="1:2" s="219" customFormat="1" ht="19.5" customHeight="1">
      <c r="A9" s="221" t="s">
        <v>1413</v>
      </c>
      <c r="B9" s="218">
        <f>'RELACIÓN PROYECTOS'!D72</f>
        <v>4131910173.9000001</v>
      </c>
    </row>
    <row r="10" spans="1:2" s="219" customFormat="1" ht="25.5">
      <c r="A10" s="221" t="s">
        <v>1467</v>
      </c>
      <c r="B10" s="218">
        <f>'RELACIÓN PROYECTOS'!D80</f>
        <v>5930194939</v>
      </c>
    </row>
    <row r="11" spans="1:2" s="223" customFormat="1">
      <c r="A11" s="216" t="s">
        <v>1420</v>
      </c>
      <c r="B11" s="238">
        <f>'RELACIÓN PROYECTOS'!D102</f>
        <v>4558243430</v>
      </c>
    </row>
    <row r="12" spans="1:2" s="223" customFormat="1">
      <c r="A12" s="216" t="s">
        <v>160</v>
      </c>
      <c r="B12" s="239">
        <f>'RELACIÓN PROYECTOS'!D108</f>
        <v>224637789380.59998</v>
      </c>
    </row>
    <row r="13" spans="1:2" s="219" customFormat="1">
      <c r="A13" s="216" t="s">
        <v>1414</v>
      </c>
      <c r="B13" s="238">
        <f>'RELACIÓN PROYECTOS'!D120</f>
        <v>9615731819.3800011</v>
      </c>
    </row>
    <row r="14" spans="1:2" s="219" customFormat="1">
      <c r="A14" s="216" t="s">
        <v>1415</v>
      </c>
      <c r="B14" s="218">
        <f>'RELACIÓN PROYECTOS'!D149</f>
        <v>63633783396.419998</v>
      </c>
    </row>
    <row r="15" spans="1:2" s="219" customFormat="1" ht="25.5">
      <c r="A15" s="221" t="s">
        <v>1468</v>
      </c>
      <c r="B15" s="218">
        <f>'RELACIÓN PROYECTOS'!D174</f>
        <v>2328894018</v>
      </c>
    </row>
    <row r="16" spans="1:2" s="226" customFormat="1" ht="16.5" customHeight="1">
      <c r="A16" s="224" t="s">
        <v>1469</v>
      </c>
      <c r="B16" s="225">
        <f>SUM(B3:B15)</f>
        <v>446070294553.28998</v>
      </c>
    </row>
    <row r="17" spans="1:5">
      <c r="A17" s="216" t="s">
        <v>1470</v>
      </c>
      <c r="B17" s="222">
        <f>'RELACIÓN PROYECTOS'!D184</f>
        <v>10324433912.389999</v>
      </c>
    </row>
    <row r="18" spans="1:5" s="227" customFormat="1">
      <c r="A18" s="216" t="s">
        <v>1416</v>
      </c>
      <c r="B18" s="217">
        <f>'RELACIÓN PROYECTOS'!D189</f>
        <v>4712923248</v>
      </c>
    </row>
    <row r="19" spans="1:5" s="227" customFormat="1">
      <c r="A19" s="221" t="s">
        <v>1471</v>
      </c>
      <c r="B19" s="217">
        <f>'RELACIÓN PROYECTOS'!D199</f>
        <v>168932650</v>
      </c>
    </row>
    <row r="20" spans="1:5" s="227" customFormat="1">
      <c r="A20" s="228" t="s">
        <v>1472</v>
      </c>
      <c r="B20" s="225">
        <f>SUM(B17:B19)</f>
        <v>15206289810.389999</v>
      </c>
    </row>
    <row r="21" spans="1:5" s="227" customFormat="1">
      <c r="A21" s="229"/>
      <c r="B21" s="230"/>
    </row>
    <row r="22" spans="1:5" s="227" customFormat="1">
      <c r="A22" s="236" t="s">
        <v>1473</v>
      </c>
      <c r="B22" s="237">
        <f>B16+B20</f>
        <v>461276584363.67999</v>
      </c>
    </row>
    <row r="23" spans="1:5" s="233" customFormat="1" ht="14.25">
      <c r="A23" s="231"/>
      <c r="B23" s="232"/>
    </row>
    <row r="24" spans="1:5" s="227" customFormat="1">
      <c r="C24" s="214"/>
      <c r="D24" s="214"/>
      <c r="E24" s="214"/>
    </row>
    <row r="25" spans="1:5" s="227" customFormat="1">
      <c r="C25" s="214"/>
      <c r="D25" s="214"/>
      <c r="E25" s="214"/>
    </row>
  </sheetData>
  <mergeCells count="1">
    <mergeCell ref="A1:B1"/>
  </mergeCells>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POAI SEPTIEMBRE 2023</vt:lpstr>
      <vt:lpstr>RESUMEN PROGRAMAS</vt:lpstr>
      <vt:lpstr>FUENTES POR UNIDAD</vt:lpstr>
      <vt:lpstr>LÍNEA ESTRATEGICA</vt:lpstr>
      <vt:lpstr>RELACIÓN PROYECTOS</vt:lpstr>
      <vt:lpstr>CONSOLIDADO UNIDADES</vt:lpstr>
      <vt:lpstr>'POAI SEPTIEMBRE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2023-11-14T18:37:26Z</dcterms:modified>
  <cp:category/>
  <cp:contentStatus/>
</cp:coreProperties>
</file>